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ficenter.sharepoint.com/sites/engenharia-DESENV-PFC/Shared Documents/DESENV-PFC/PMI MS-040/Rev DEZ-24/Textos &amp; Planilhas/OPEX - Ciclo 2 - REV 01/"/>
    </mc:Choice>
  </mc:AlternateContent>
  <xr:revisionPtr revIDLastSave="0" documentId="8_{C514A22B-BB95-40FC-9B5F-EA05FEC3BA79}" xr6:coauthVersionLast="47" xr6:coauthVersionMax="47" xr10:uidLastSave="{00000000-0000-0000-0000-000000000000}"/>
  <bookViews>
    <workbookView xWindow="-108" yWindow="-108" windowWidth="23256" windowHeight="12456" tabRatio="898" activeTab="2" xr2:uid="{8E33ABB6-5E70-445D-AD8B-D646E4942229}"/>
  </bookViews>
  <sheets>
    <sheet name="Cont Revisão" sheetId="15" r:id="rId1"/>
    <sheet name="BDI" sheetId="12" r:id="rId2"/>
    <sheet name="Cronograma" sheetId="11" r:id="rId3"/>
    <sheet name="MC Conservação Rotina" sheetId="10" r:id="rId4"/>
    <sheet name="Quantidades" sheetId="3" r:id="rId5"/>
    <sheet name="Preços Unitários" sheetId="9" r:id="rId6"/>
    <sheet name="CPUS" sheetId="13" r:id="rId7"/>
    <sheet name="Ext Equiv" sheetId="14" r:id="rId8"/>
    <sheet name="Padrão Conserva" sheetId="2" r:id="rId9"/>
    <sheet name="Disp Segurança" sheetId="4" r:id="rId10"/>
    <sheet name="Lista OAEs" sheetId="5" r:id="rId11"/>
  </sheets>
  <externalReferences>
    <externalReference r:id="rId12"/>
    <externalReference r:id="rId13"/>
    <externalReference r:id="rId14"/>
  </externalReferences>
  <definedNames>
    <definedName name="_xlnm._FilterDatabase" localSheetId="9" hidden="1">'Disp Segurança'!$B$16:$F$224</definedName>
    <definedName name="_xlnm.Print_Area" localSheetId="3">'MC Conservação Rotina'!$B$11:$AI$177</definedName>
    <definedName name="_xlnm.Print_Titles" localSheetId="3">'MC Conservação Rotina'!$B:$D,'MC Conservação Rotina'!$15:$16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7" i="14" l="1"/>
  <c r="M96" i="14"/>
  <c r="M94" i="14"/>
  <c r="M93" i="14"/>
  <c r="AI148" i="14"/>
  <c r="AI147" i="14"/>
  <c r="AI146" i="14"/>
  <c r="AI145" i="14"/>
  <c r="AI144" i="14"/>
  <c r="AH144" i="14"/>
  <c r="AG144" i="14"/>
  <c r="AF144" i="14"/>
  <c r="AE144" i="14"/>
  <c r="AD144" i="14"/>
  <c r="AC144" i="14"/>
  <c r="AB144" i="14"/>
  <c r="AA144" i="14"/>
  <c r="Z144" i="14"/>
  <c r="Y144" i="14"/>
  <c r="X144" i="14"/>
  <c r="W144" i="14"/>
  <c r="V144" i="14"/>
  <c r="U144" i="14"/>
  <c r="T144" i="14"/>
  <c r="S144" i="14"/>
  <c r="R144" i="14"/>
  <c r="Q144" i="14"/>
  <c r="P144" i="14"/>
  <c r="O144" i="14"/>
  <c r="N144" i="14"/>
  <c r="M144" i="14"/>
  <c r="L144" i="14"/>
  <c r="K144" i="14"/>
  <c r="J144" i="14"/>
  <c r="I144" i="14"/>
  <c r="H144" i="14"/>
  <c r="G144" i="14"/>
  <c r="F144" i="14"/>
  <c r="E144" i="14"/>
  <c r="AI143" i="14"/>
  <c r="AH142" i="14"/>
  <c r="AG142" i="14"/>
  <c r="AF142" i="14"/>
  <c r="AE142" i="14"/>
  <c r="AD142" i="14"/>
  <c r="AC142" i="14"/>
  <c r="AB142" i="14"/>
  <c r="AA142" i="14"/>
  <c r="Z142" i="14"/>
  <c r="Y142" i="14"/>
  <c r="X142" i="14"/>
  <c r="W142" i="14"/>
  <c r="V142" i="14"/>
  <c r="U142" i="14"/>
  <c r="T142" i="14"/>
  <c r="S142" i="14"/>
  <c r="R142" i="14"/>
  <c r="Q142" i="14"/>
  <c r="P142" i="14"/>
  <c r="O142" i="14"/>
  <c r="N142" i="14"/>
  <c r="M142" i="14"/>
  <c r="L142" i="14"/>
  <c r="K142" i="14"/>
  <c r="J142" i="14"/>
  <c r="I142" i="14"/>
  <c r="H142" i="14"/>
  <c r="G142" i="14"/>
  <c r="F142" i="14"/>
  <c r="AI142" i="14" s="1"/>
  <c r="E142" i="14"/>
  <c r="AI141" i="14"/>
  <c r="AI140" i="14"/>
  <c r="AI139" i="14"/>
  <c r="AI138" i="14"/>
  <c r="AI137" i="14"/>
  <c r="AH136" i="14"/>
  <c r="AG136" i="14"/>
  <c r="AF136" i="14"/>
  <c r="AE136" i="14"/>
  <c r="AD136" i="14"/>
  <c r="AC136" i="14"/>
  <c r="AB136" i="14"/>
  <c r="AA136" i="14"/>
  <c r="Z136" i="14"/>
  <c r="Y136" i="14"/>
  <c r="X136" i="14"/>
  <c r="W136" i="14"/>
  <c r="V136" i="14"/>
  <c r="U136" i="14"/>
  <c r="T136" i="14"/>
  <c r="S136" i="14"/>
  <c r="R136" i="14"/>
  <c r="Q136" i="14"/>
  <c r="P136" i="14"/>
  <c r="O136" i="14"/>
  <c r="N136" i="14"/>
  <c r="M136" i="14"/>
  <c r="L136" i="14"/>
  <c r="K136" i="14"/>
  <c r="J136" i="14"/>
  <c r="I136" i="14"/>
  <c r="H136" i="14"/>
  <c r="G136" i="14"/>
  <c r="F136" i="14"/>
  <c r="AI136" i="14" s="1"/>
  <c r="E136" i="14"/>
  <c r="AI135" i="14"/>
  <c r="AI134" i="14"/>
  <c r="AH133" i="14"/>
  <c r="AG133" i="14"/>
  <c r="AF133" i="14"/>
  <c r="AE133" i="14"/>
  <c r="AD133" i="14"/>
  <c r="AC133" i="14"/>
  <c r="AB133" i="14"/>
  <c r="AA133" i="14"/>
  <c r="Z133" i="14"/>
  <c r="Y133" i="14"/>
  <c r="X133" i="14"/>
  <c r="W133" i="14"/>
  <c r="V133" i="14"/>
  <c r="U133" i="14"/>
  <c r="T133" i="14"/>
  <c r="S133" i="14"/>
  <c r="R133" i="14"/>
  <c r="Q133" i="14"/>
  <c r="P133" i="14"/>
  <c r="O133" i="14"/>
  <c r="N133" i="14"/>
  <c r="M133" i="14"/>
  <c r="L133" i="14"/>
  <c r="K133" i="14"/>
  <c r="J133" i="14"/>
  <c r="I133" i="14"/>
  <c r="H133" i="14"/>
  <c r="G133" i="14"/>
  <c r="F133" i="14"/>
  <c r="E133" i="14"/>
  <c r="AI133" i="14" s="1"/>
  <c r="AI132" i="14"/>
  <c r="AI131" i="14"/>
  <c r="AI130" i="14"/>
  <c r="AI129" i="14"/>
  <c r="AI128" i="14"/>
  <c r="AI127" i="14"/>
  <c r="AI126" i="14"/>
  <c r="AI125" i="14"/>
  <c r="AI124" i="14"/>
  <c r="AI123" i="14"/>
  <c r="AH122" i="14"/>
  <c r="AG122" i="14"/>
  <c r="AF122" i="14"/>
  <c r="AE122" i="14"/>
  <c r="AD122" i="14"/>
  <c r="AC122" i="14"/>
  <c r="AB122" i="14"/>
  <c r="AA122" i="14"/>
  <c r="Z122" i="14"/>
  <c r="Y122" i="14"/>
  <c r="X122" i="14"/>
  <c r="W122" i="14"/>
  <c r="V122" i="14"/>
  <c r="U122" i="14"/>
  <c r="T122" i="14"/>
  <c r="S122" i="14"/>
  <c r="R122" i="14"/>
  <c r="Q122" i="14"/>
  <c r="P122" i="14"/>
  <c r="O122" i="14"/>
  <c r="N122" i="14"/>
  <c r="M122" i="14"/>
  <c r="L122" i="14"/>
  <c r="K122" i="14"/>
  <c r="J122" i="14"/>
  <c r="I122" i="14"/>
  <c r="H122" i="14"/>
  <c r="AI122" i="14" s="1"/>
  <c r="G122" i="14"/>
  <c r="F122" i="14"/>
  <c r="E122" i="14"/>
  <c r="L121" i="14"/>
  <c r="AI121" i="14" s="1"/>
  <c r="AH120" i="14"/>
  <c r="AG120" i="14"/>
  <c r="AF120" i="14"/>
  <c r="AE120" i="14"/>
  <c r="AD120" i="14"/>
  <c r="AC120" i="14"/>
  <c r="AB120" i="14"/>
  <c r="AA120" i="14"/>
  <c r="Z120" i="14"/>
  <c r="Y120" i="14"/>
  <c r="X120" i="14"/>
  <c r="W120" i="14"/>
  <c r="V120" i="14"/>
  <c r="U120" i="14"/>
  <c r="T120" i="14"/>
  <c r="S120" i="14"/>
  <c r="R120" i="14"/>
  <c r="Q120" i="14"/>
  <c r="P120" i="14"/>
  <c r="O120" i="14"/>
  <c r="N120" i="14"/>
  <c r="M120" i="14"/>
  <c r="K120" i="14"/>
  <c r="J120" i="14"/>
  <c r="I120" i="14"/>
  <c r="H120" i="14"/>
  <c r="G120" i="14"/>
  <c r="F120" i="14"/>
  <c r="E120" i="14"/>
  <c r="G76" i="9"/>
  <c r="I76" i="9" s="1"/>
  <c r="G73" i="9"/>
  <c r="I73" i="9" s="1"/>
  <c r="G70" i="9"/>
  <c r="I70" i="9" s="1"/>
  <c r="G69" i="9"/>
  <c r="H69" i="9" s="1"/>
  <c r="G68" i="9"/>
  <c r="I68" i="9" s="1"/>
  <c r="G67" i="9"/>
  <c r="H67" i="9" s="1"/>
  <c r="G66" i="9"/>
  <c r="I66" i="9" s="1"/>
  <c r="G65" i="9"/>
  <c r="H65" i="9" s="1"/>
  <c r="G62" i="9"/>
  <c r="I62" i="9" s="1"/>
  <c r="G61" i="9"/>
  <c r="H61" i="9" s="1"/>
  <c r="G60" i="9"/>
  <c r="I60" i="9" s="1"/>
  <c r="G57" i="9"/>
  <c r="H57" i="9" s="1"/>
  <c r="G56" i="9"/>
  <c r="I56" i="9" s="1"/>
  <c r="G55" i="9"/>
  <c r="H55" i="9" s="1"/>
  <c r="G54" i="9"/>
  <c r="I54" i="9" s="1"/>
  <c r="G53" i="9"/>
  <c r="H53" i="9" s="1"/>
  <c r="G50" i="9"/>
  <c r="I50" i="9" s="1"/>
  <c r="G49" i="9"/>
  <c r="H49" i="9" s="1"/>
  <c r="G48" i="9"/>
  <c r="I48" i="9" s="1"/>
  <c r="G47" i="9"/>
  <c r="I47" i="9" s="1"/>
  <c r="G46" i="9"/>
  <c r="I46" i="9" s="1"/>
  <c r="G45" i="9"/>
  <c r="H45" i="9" s="1"/>
  <c r="G42" i="9"/>
  <c r="I42" i="9" s="1"/>
  <c r="G41" i="9"/>
  <c r="H41" i="9" s="1"/>
  <c r="G40" i="9"/>
  <c r="I40" i="9" s="1"/>
  <c r="G38" i="9"/>
  <c r="H38" i="9" s="1"/>
  <c r="G37" i="9"/>
  <c r="I37" i="9" s="1"/>
  <c r="G35" i="9"/>
  <c r="H35" i="9" s="1"/>
  <c r="G34" i="9"/>
  <c r="I34" i="9" s="1"/>
  <c r="G33" i="9"/>
  <c r="I33" i="9" s="1"/>
  <c r="G32" i="9"/>
  <c r="I32" i="9" s="1"/>
  <c r="G29" i="9"/>
  <c r="H29" i="9" s="1"/>
  <c r="G28" i="9"/>
  <c r="I28" i="9" s="1"/>
  <c r="G27" i="9"/>
  <c r="H27" i="9" s="1"/>
  <c r="G26" i="9"/>
  <c r="I26" i="9" s="1"/>
  <c r="G24" i="9"/>
  <c r="H24" i="9" s="1"/>
  <c r="G23" i="9"/>
  <c r="I23" i="9" s="1"/>
  <c r="G22" i="9"/>
  <c r="I22" i="9" s="1"/>
  <c r="G21" i="9"/>
  <c r="I21" i="9" s="1"/>
  <c r="G20" i="9"/>
  <c r="H20" i="9" s="1"/>
  <c r="G19" i="9"/>
  <c r="I19" i="9" s="1"/>
  <c r="F59" i="14"/>
  <c r="G59" i="14" s="1"/>
  <c r="H59" i="14" s="1"/>
  <c r="I59" i="14" s="1"/>
  <c r="J59" i="14" s="1"/>
  <c r="K59" i="14" s="1"/>
  <c r="L59" i="14" s="1"/>
  <c r="M59" i="14" s="1"/>
  <c r="N59" i="14" s="1"/>
  <c r="O59" i="14" s="1"/>
  <c r="P59" i="14" s="1"/>
  <c r="Q59" i="14" s="1"/>
  <c r="R59" i="14" s="1"/>
  <c r="S59" i="14" s="1"/>
  <c r="T59" i="14" s="1"/>
  <c r="U59" i="14" s="1"/>
  <c r="V59" i="14" s="1"/>
  <c r="W59" i="14" s="1"/>
  <c r="X59" i="14" s="1"/>
  <c r="Y59" i="14" s="1"/>
  <c r="Z59" i="14" s="1"/>
  <c r="AA59" i="14" s="1"/>
  <c r="AB59" i="14" s="1"/>
  <c r="AC59" i="14" s="1"/>
  <c r="AD59" i="14" s="1"/>
  <c r="AE59" i="14" s="1"/>
  <c r="AF59" i="14" s="1"/>
  <c r="AG59" i="14" s="1"/>
  <c r="AH59" i="14" s="1"/>
  <c r="E59" i="14"/>
  <c r="E58" i="14"/>
  <c r="F58" i="14" s="1"/>
  <c r="E57" i="14"/>
  <c r="F57" i="14" s="1"/>
  <c r="E56" i="14"/>
  <c r="F56" i="14" s="1"/>
  <c r="F55" i="14"/>
  <c r="G55" i="14" s="1"/>
  <c r="H55" i="14" s="1"/>
  <c r="I55" i="14" s="1"/>
  <c r="J55" i="14" s="1"/>
  <c r="K55" i="14" s="1"/>
  <c r="L55" i="14" s="1"/>
  <c r="M55" i="14" s="1"/>
  <c r="N55" i="14" s="1"/>
  <c r="O55" i="14" s="1"/>
  <c r="P55" i="14" s="1"/>
  <c r="Q55" i="14" s="1"/>
  <c r="R55" i="14" s="1"/>
  <c r="S55" i="14" s="1"/>
  <c r="T55" i="14" s="1"/>
  <c r="U55" i="14" s="1"/>
  <c r="V55" i="14" s="1"/>
  <c r="W55" i="14" s="1"/>
  <c r="X55" i="14" s="1"/>
  <c r="Y55" i="14" s="1"/>
  <c r="Z55" i="14" s="1"/>
  <c r="AA55" i="14" s="1"/>
  <c r="AB55" i="14" s="1"/>
  <c r="AC55" i="14" s="1"/>
  <c r="AD55" i="14" s="1"/>
  <c r="AE55" i="14" s="1"/>
  <c r="AF55" i="14" s="1"/>
  <c r="AG55" i="14" s="1"/>
  <c r="AH55" i="14" s="1"/>
  <c r="E55" i="14"/>
  <c r="E54" i="14"/>
  <c r="F54" i="14" s="1"/>
  <c r="G54" i="14" s="1"/>
  <c r="H54" i="14" s="1"/>
  <c r="I54" i="14" s="1"/>
  <c r="J54" i="14" s="1"/>
  <c r="K54" i="14" s="1"/>
  <c r="L54" i="14" s="1"/>
  <c r="M54" i="14" s="1"/>
  <c r="N54" i="14" s="1"/>
  <c r="O54" i="14" s="1"/>
  <c r="P54" i="14" s="1"/>
  <c r="Q54" i="14" s="1"/>
  <c r="R54" i="14" s="1"/>
  <c r="S54" i="14" s="1"/>
  <c r="T54" i="14" s="1"/>
  <c r="U54" i="14" s="1"/>
  <c r="V54" i="14" s="1"/>
  <c r="W54" i="14" s="1"/>
  <c r="X54" i="14" s="1"/>
  <c r="Y54" i="14" s="1"/>
  <c r="Z54" i="14" s="1"/>
  <c r="AA54" i="14" s="1"/>
  <c r="AB54" i="14" s="1"/>
  <c r="AC54" i="14" s="1"/>
  <c r="AD54" i="14" s="1"/>
  <c r="AE54" i="14" s="1"/>
  <c r="AF54" i="14" s="1"/>
  <c r="AG54" i="14" s="1"/>
  <c r="AH54" i="14" s="1"/>
  <c r="F53" i="14"/>
  <c r="G53" i="14" s="1"/>
  <c r="H53" i="14" s="1"/>
  <c r="I53" i="14" s="1"/>
  <c r="J53" i="14" s="1"/>
  <c r="K53" i="14" s="1"/>
  <c r="L53" i="14" s="1"/>
  <c r="M53" i="14" s="1"/>
  <c r="N53" i="14" s="1"/>
  <c r="O53" i="14" s="1"/>
  <c r="P53" i="14" s="1"/>
  <c r="Q53" i="14" s="1"/>
  <c r="R53" i="14" s="1"/>
  <c r="S53" i="14" s="1"/>
  <c r="T53" i="14" s="1"/>
  <c r="U53" i="14" s="1"/>
  <c r="V53" i="14" s="1"/>
  <c r="W53" i="14" s="1"/>
  <c r="X53" i="14" s="1"/>
  <c r="Y53" i="14" s="1"/>
  <c r="Z53" i="14" s="1"/>
  <c r="AA53" i="14" s="1"/>
  <c r="AB53" i="14" s="1"/>
  <c r="AC53" i="14" s="1"/>
  <c r="AD53" i="14" s="1"/>
  <c r="AE53" i="14" s="1"/>
  <c r="AF53" i="14" s="1"/>
  <c r="AG53" i="14" s="1"/>
  <c r="AH53" i="14" s="1"/>
  <c r="E53" i="14"/>
  <c r="E52" i="14"/>
  <c r="AI49" i="14"/>
  <c r="AI48" i="14"/>
  <c r="F47" i="14"/>
  <c r="G47" i="14" s="1"/>
  <c r="H47" i="14" s="1"/>
  <c r="I47" i="14" s="1"/>
  <c r="J47" i="14" s="1"/>
  <c r="K47" i="14" s="1"/>
  <c r="L47" i="14" s="1"/>
  <c r="M47" i="14" s="1"/>
  <c r="N47" i="14" s="1"/>
  <c r="O47" i="14" s="1"/>
  <c r="P47" i="14" s="1"/>
  <c r="Q47" i="14" s="1"/>
  <c r="R47" i="14" s="1"/>
  <c r="S47" i="14" s="1"/>
  <c r="T47" i="14" s="1"/>
  <c r="U47" i="14" s="1"/>
  <c r="V47" i="14" s="1"/>
  <c r="W47" i="14" s="1"/>
  <c r="X47" i="14" s="1"/>
  <c r="Y47" i="14" s="1"/>
  <c r="Z47" i="14" s="1"/>
  <c r="AA47" i="14" s="1"/>
  <c r="AB47" i="14" s="1"/>
  <c r="AC47" i="14" s="1"/>
  <c r="AD47" i="14" s="1"/>
  <c r="AE47" i="14" s="1"/>
  <c r="AF47" i="14" s="1"/>
  <c r="AG47" i="14" s="1"/>
  <c r="AH47" i="14" s="1"/>
  <c r="E47" i="14"/>
  <c r="E46" i="14"/>
  <c r="F45" i="14"/>
  <c r="G45" i="14" s="1"/>
  <c r="H45" i="14" s="1"/>
  <c r="I45" i="14" s="1"/>
  <c r="J45" i="14" s="1"/>
  <c r="K45" i="14" s="1"/>
  <c r="L45" i="14" s="1"/>
  <c r="M45" i="14" s="1"/>
  <c r="N45" i="14" s="1"/>
  <c r="O45" i="14" s="1"/>
  <c r="P45" i="14" s="1"/>
  <c r="Q45" i="14" s="1"/>
  <c r="R45" i="14" s="1"/>
  <c r="S45" i="14" s="1"/>
  <c r="T45" i="14" s="1"/>
  <c r="U45" i="14" s="1"/>
  <c r="V45" i="14" s="1"/>
  <c r="W45" i="14" s="1"/>
  <c r="X45" i="14" s="1"/>
  <c r="Y45" i="14" s="1"/>
  <c r="Z45" i="14" s="1"/>
  <c r="AA45" i="14" s="1"/>
  <c r="AB45" i="14" s="1"/>
  <c r="AC45" i="14" s="1"/>
  <c r="AD45" i="14" s="1"/>
  <c r="AE45" i="14" s="1"/>
  <c r="AF45" i="14" s="1"/>
  <c r="AG45" i="14" s="1"/>
  <c r="AH45" i="14" s="1"/>
  <c r="E45" i="14"/>
  <c r="AI45" i="14" s="1"/>
  <c r="E44" i="14"/>
  <c r="F44" i="14" s="1"/>
  <c r="E43" i="14"/>
  <c r="F43" i="14" s="1"/>
  <c r="G43" i="14" s="1"/>
  <c r="H43" i="14" s="1"/>
  <c r="I43" i="14" s="1"/>
  <c r="J43" i="14" s="1"/>
  <c r="K43" i="14" s="1"/>
  <c r="L43" i="14" s="1"/>
  <c r="M43" i="14" s="1"/>
  <c r="N43" i="14" s="1"/>
  <c r="O43" i="14" s="1"/>
  <c r="P43" i="14" s="1"/>
  <c r="Q43" i="14" s="1"/>
  <c r="R43" i="14" s="1"/>
  <c r="S43" i="14" s="1"/>
  <c r="T43" i="14" s="1"/>
  <c r="U43" i="14" s="1"/>
  <c r="V43" i="14" s="1"/>
  <c r="W43" i="14" s="1"/>
  <c r="X43" i="14" s="1"/>
  <c r="Y43" i="14" s="1"/>
  <c r="Z43" i="14" s="1"/>
  <c r="AA43" i="14" s="1"/>
  <c r="AB43" i="14" s="1"/>
  <c r="AC43" i="14" s="1"/>
  <c r="AD43" i="14" s="1"/>
  <c r="AE43" i="14" s="1"/>
  <c r="AF43" i="14" s="1"/>
  <c r="AG43" i="14" s="1"/>
  <c r="AH43" i="14" s="1"/>
  <c r="E42" i="14"/>
  <c r="F42" i="14" s="1"/>
  <c r="E39" i="14"/>
  <c r="E38" i="14"/>
  <c r="F38" i="14" s="1"/>
  <c r="AI37" i="14"/>
  <c r="AI36" i="14"/>
  <c r="AI35" i="14"/>
  <c r="AI34" i="14"/>
  <c r="AI33" i="14"/>
  <c r="AI32" i="14"/>
  <c r="E29" i="14"/>
  <c r="F28" i="14"/>
  <c r="G28" i="14" s="1"/>
  <c r="H28" i="14" s="1"/>
  <c r="I28" i="14" s="1"/>
  <c r="J28" i="14" s="1"/>
  <c r="K28" i="14" s="1"/>
  <c r="L28" i="14" s="1"/>
  <c r="M28" i="14" s="1"/>
  <c r="N28" i="14" s="1"/>
  <c r="O28" i="14" s="1"/>
  <c r="P28" i="14" s="1"/>
  <c r="Q28" i="14" s="1"/>
  <c r="R28" i="14" s="1"/>
  <c r="S28" i="14" s="1"/>
  <c r="T28" i="14" s="1"/>
  <c r="U28" i="14" s="1"/>
  <c r="V28" i="14" s="1"/>
  <c r="W28" i="14" s="1"/>
  <c r="X28" i="14" s="1"/>
  <c r="Y28" i="14" s="1"/>
  <c r="Z28" i="14" s="1"/>
  <c r="AA28" i="14" s="1"/>
  <c r="AB28" i="14" s="1"/>
  <c r="AC28" i="14" s="1"/>
  <c r="AD28" i="14" s="1"/>
  <c r="AE28" i="14" s="1"/>
  <c r="AF28" i="14" s="1"/>
  <c r="AG28" i="14" s="1"/>
  <c r="AH28" i="14" s="1"/>
  <c r="E28" i="14"/>
  <c r="K27" i="14"/>
  <c r="L27" i="14" s="1"/>
  <c r="M27" i="14" s="1"/>
  <c r="N27" i="14" s="1"/>
  <c r="O27" i="14" s="1"/>
  <c r="P27" i="14" s="1"/>
  <c r="Q27" i="14" s="1"/>
  <c r="R27" i="14" s="1"/>
  <c r="S27" i="14" s="1"/>
  <c r="T27" i="14" s="1"/>
  <c r="U27" i="14" s="1"/>
  <c r="V27" i="14" s="1"/>
  <c r="W27" i="14" s="1"/>
  <c r="X27" i="14" s="1"/>
  <c r="Y27" i="14" s="1"/>
  <c r="Z27" i="14" s="1"/>
  <c r="AA27" i="14" s="1"/>
  <c r="AB27" i="14" s="1"/>
  <c r="AC27" i="14" s="1"/>
  <c r="AD27" i="14" s="1"/>
  <c r="AE27" i="14" s="1"/>
  <c r="AF27" i="14" s="1"/>
  <c r="AG27" i="14" s="1"/>
  <c r="AH27" i="14" s="1"/>
  <c r="E27" i="14"/>
  <c r="F27" i="14" s="1"/>
  <c r="G27" i="14" s="1"/>
  <c r="H27" i="14" s="1"/>
  <c r="I27" i="14" s="1"/>
  <c r="J27" i="14" s="1"/>
  <c r="E26" i="14"/>
  <c r="F26" i="14" s="1"/>
  <c r="G26" i="14" s="1"/>
  <c r="H26" i="14" s="1"/>
  <c r="I26" i="14" s="1"/>
  <c r="J26" i="14" s="1"/>
  <c r="K26" i="14" s="1"/>
  <c r="L26" i="14" s="1"/>
  <c r="M26" i="14" s="1"/>
  <c r="N26" i="14" s="1"/>
  <c r="O26" i="14" s="1"/>
  <c r="P26" i="14" s="1"/>
  <c r="Q26" i="14" s="1"/>
  <c r="R26" i="14" s="1"/>
  <c r="S26" i="14" s="1"/>
  <c r="T26" i="14" s="1"/>
  <c r="U26" i="14" s="1"/>
  <c r="V26" i="14" s="1"/>
  <c r="W26" i="14" s="1"/>
  <c r="X26" i="14" s="1"/>
  <c r="Y26" i="14" s="1"/>
  <c r="Z26" i="14" s="1"/>
  <c r="AA26" i="14" s="1"/>
  <c r="AB26" i="14" s="1"/>
  <c r="AC26" i="14" s="1"/>
  <c r="AD26" i="14" s="1"/>
  <c r="AE26" i="14" s="1"/>
  <c r="AF26" i="14" s="1"/>
  <c r="AG26" i="14" s="1"/>
  <c r="AH26" i="14" s="1"/>
  <c r="E25" i="14"/>
  <c r="F25" i="14" s="1"/>
  <c r="E24" i="14"/>
  <c r="F24" i="14" s="1"/>
  <c r="F23" i="14"/>
  <c r="G23" i="14" s="1"/>
  <c r="H23" i="14" s="1"/>
  <c r="I23" i="14" s="1"/>
  <c r="J23" i="14" s="1"/>
  <c r="K23" i="14" s="1"/>
  <c r="L23" i="14" s="1"/>
  <c r="M23" i="14" s="1"/>
  <c r="N23" i="14" s="1"/>
  <c r="O23" i="14" s="1"/>
  <c r="P23" i="14" s="1"/>
  <c r="Q23" i="14" s="1"/>
  <c r="R23" i="14" s="1"/>
  <c r="S23" i="14" s="1"/>
  <c r="T23" i="14" s="1"/>
  <c r="U23" i="14" s="1"/>
  <c r="V23" i="14" s="1"/>
  <c r="W23" i="14" s="1"/>
  <c r="X23" i="14" s="1"/>
  <c r="Y23" i="14" s="1"/>
  <c r="Z23" i="14" s="1"/>
  <c r="AA23" i="14" s="1"/>
  <c r="AB23" i="14" s="1"/>
  <c r="AC23" i="14" s="1"/>
  <c r="AD23" i="14" s="1"/>
  <c r="AE23" i="14" s="1"/>
  <c r="AF23" i="14" s="1"/>
  <c r="AG23" i="14" s="1"/>
  <c r="AH23" i="14" s="1"/>
  <c r="E23" i="14"/>
  <c r="AI23" i="14" s="1"/>
  <c r="E22" i="14"/>
  <c r="L120" i="14" l="1"/>
  <c r="AI120" i="14" s="1"/>
  <c r="H22" i="9"/>
  <c r="J22" i="9" s="1"/>
  <c r="E22" i="9" s="1"/>
  <c r="H33" i="9"/>
  <c r="J33" i="9" s="1"/>
  <c r="E33" i="9" s="1"/>
  <c r="H47" i="9"/>
  <c r="J47" i="9" s="1"/>
  <c r="E47" i="9" s="1"/>
  <c r="H73" i="9"/>
  <c r="J73" i="9" s="1"/>
  <c r="E73" i="9" s="1"/>
  <c r="I20" i="9"/>
  <c r="J20" i="9" s="1"/>
  <c r="E20" i="9" s="1"/>
  <c r="I24" i="9"/>
  <c r="J24" i="9" s="1"/>
  <c r="E24" i="9" s="1"/>
  <c r="I27" i="9"/>
  <c r="J27" i="9" s="1"/>
  <c r="E27" i="9" s="1"/>
  <c r="I29" i="9"/>
  <c r="J29" i="9" s="1"/>
  <c r="E29" i="9" s="1"/>
  <c r="I35" i="9"/>
  <c r="J35" i="9" s="1"/>
  <c r="E35" i="9" s="1"/>
  <c r="I38" i="9"/>
  <c r="J38" i="9" s="1"/>
  <c r="E38" i="9" s="1"/>
  <c r="I41" i="9"/>
  <c r="J41" i="9" s="1"/>
  <c r="E41" i="9" s="1"/>
  <c r="I45" i="9"/>
  <c r="J45" i="9" s="1"/>
  <c r="E45" i="9" s="1"/>
  <c r="I49" i="9"/>
  <c r="J49" i="9" s="1"/>
  <c r="E49" i="9" s="1"/>
  <c r="I53" i="9"/>
  <c r="J53" i="9" s="1"/>
  <c r="E53" i="9" s="1"/>
  <c r="I55" i="9"/>
  <c r="J55" i="9" s="1"/>
  <c r="E55" i="9" s="1"/>
  <c r="I57" i="9"/>
  <c r="J57" i="9" s="1"/>
  <c r="E57" i="9" s="1"/>
  <c r="I61" i="9"/>
  <c r="J61" i="9" s="1"/>
  <c r="E61" i="9" s="1"/>
  <c r="I65" i="9"/>
  <c r="J65" i="9" s="1"/>
  <c r="E65" i="9" s="1"/>
  <c r="I67" i="9"/>
  <c r="J67" i="9" s="1"/>
  <c r="E67" i="9" s="1"/>
  <c r="I69" i="9"/>
  <c r="J69" i="9" s="1"/>
  <c r="E69" i="9" s="1"/>
  <c r="H19" i="9"/>
  <c r="J19" i="9" s="1"/>
  <c r="E19" i="9" s="1"/>
  <c r="H21" i="9"/>
  <c r="J21" i="9" s="1"/>
  <c r="E21" i="9" s="1"/>
  <c r="H23" i="9"/>
  <c r="J23" i="9" s="1"/>
  <c r="E23" i="9" s="1"/>
  <c r="H26" i="9"/>
  <c r="J26" i="9" s="1"/>
  <c r="E26" i="9" s="1"/>
  <c r="H28" i="9"/>
  <c r="J28" i="9" s="1"/>
  <c r="E28" i="9" s="1"/>
  <c r="H32" i="9"/>
  <c r="J32" i="9" s="1"/>
  <c r="E32" i="9" s="1"/>
  <c r="H34" i="9"/>
  <c r="J34" i="9" s="1"/>
  <c r="E34" i="9" s="1"/>
  <c r="H37" i="9"/>
  <c r="J37" i="9" s="1"/>
  <c r="E37" i="9" s="1"/>
  <c r="H40" i="9"/>
  <c r="J40" i="9" s="1"/>
  <c r="E40" i="9" s="1"/>
  <c r="H42" i="9"/>
  <c r="J42" i="9" s="1"/>
  <c r="E42" i="9" s="1"/>
  <c r="H46" i="9"/>
  <c r="J46" i="9" s="1"/>
  <c r="E46" i="9" s="1"/>
  <c r="H48" i="9"/>
  <c r="J48" i="9" s="1"/>
  <c r="E48" i="9" s="1"/>
  <c r="H50" i="9"/>
  <c r="J50" i="9" s="1"/>
  <c r="E50" i="9" s="1"/>
  <c r="H54" i="9"/>
  <c r="J54" i="9" s="1"/>
  <c r="E54" i="9" s="1"/>
  <c r="H56" i="9"/>
  <c r="J56" i="9" s="1"/>
  <c r="E56" i="9" s="1"/>
  <c r="H60" i="9"/>
  <c r="J60" i="9" s="1"/>
  <c r="E60" i="9" s="1"/>
  <c r="H62" i="9"/>
  <c r="J62" i="9" s="1"/>
  <c r="E62" i="9" s="1"/>
  <c r="H66" i="9"/>
  <c r="J66" i="9" s="1"/>
  <c r="E66" i="9" s="1"/>
  <c r="H68" i="9"/>
  <c r="J68" i="9" s="1"/>
  <c r="E68" i="9" s="1"/>
  <c r="H70" i="9"/>
  <c r="J70" i="9" s="1"/>
  <c r="E70" i="9" s="1"/>
  <c r="H76" i="9"/>
  <c r="J76" i="9" s="1"/>
  <c r="E76" i="9" s="1"/>
  <c r="G56" i="14"/>
  <c r="H56" i="14" s="1"/>
  <c r="I56" i="14" s="1"/>
  <c r="J56" i="14" s="1"/>
  <c r="K56" i="14" s="1"/>
  <c r="L56" i="14" s="1"/>
  <c r="M56" i="14" s="1"/>
  <c r="N56" i="14" s="1"/>
  <c r="O56" i="14" s="1"/>
  <c r="P56" i="14" s="1"/>
  <c r="Q56" i="14" s="1"/>
  <c r="R56" i="14" s="1"/>
  <c r="S56" i="14" s="1"/>
  <c r="T56" i="14" s="1"/>
  <c r="U56" i="14" s="1"/>
  <c r="V56" i="14" s="1"/>
  <c r="W56" i="14" s="1"/>
  <c r="X56" i="14" s="1"/>
  <c r="Y56" i="14" s="1"/>
  <c r="Z56" i="14" s="1"/>
  <c r="AA56" i="14" s="1"/>
  <c r="AB56" i="14" s="1"/>
  <c r="AC56" i="14" s="1"/>
  <c r="AD56" i="14" s="1"/>
  <c r="AE56" i="14" s="1"/>
  <c r="AF56" i="14" s="1"/>
  <c r="AG56" i="14" s="1"/>
  <c r="AH56" i="14" s="1"/>
  <c r="G57" i="14"/>
  <c r="H57" i="14" s="1"/>
  <c r="I57" i="14" s="1"/>
  <c r="J57" i="14" s="1"/>
  <c r="K57" i="14" s="1"/>
  <c r="L57" i="14" s="1"/>
  <c r="M57" i="14" s="1"/>
  <c r="N57" i="14" s="1"/>
  <c r="O57" i="14" s="1"/>
  <c r="P57" i="14" s="1"/>
  <c r="Q57" i="14" s="1"/>
  <c r="R57" i="14" s="1"/>
  <c r="S57" i="14" s="1"/>
  <c r="T57" i="14" s="1"/>
  <c r="U57" i="14" s="1"/>
  <c r="V57" i="14" s="1"/>
  <c r="W57" i="14" s="1"/>
  <c r="X57" i="14" s="1"/>
  <c r="Y57" i="14" s="1"/>
  <c r="Z57" i="14" s="1"/>
  <c r="AA57" i="14" s="1"/>
  <c r="AB57" i="14" s="1"/>
  <c r="AC57" i="14" s="1"/>
  <c r="AD57" i="14" s="1"/>
  <c r="AE57" i="14" s="1"/>
  <c r="AF57" i="14" s="1"/>
  <c r="AG57" i="14" s="1"/>
  <c r="AH57" i="14" s="1"/>
  <c r="AI57" i="14"/>
  <c r="AI52" i="14"/>
  <c r="G58" i="14"/>
  <c r="H58" i="14" s="1"/>
  <c r="I58" i="14" s="1"/>
  <c r="J58" i="14" s="1"/>
  <c r="K58" i="14" s="1"/>
  <c r="L58" i="14" s="1"/>
  <c r="M58" i="14" s="1"/>
  <c r="N58" i="14" s="1"/>
  <c r="O58" i="14" s="1"/>
  <c r="P58" i="14" s="1"/>
  <c r="Q58" i="14" s="1"/>
  <c r="R58" i="14" s="1"/>
  <c r="S58" i="14" s="1"/>
  <c r="T58" i="14" s="1"/>
  <c r="U58" i="14" s="1"/>
  <c r="V58" i="14" s="1"/>
  <c r="W58" i="14" s="1"/>
  <c r="X58" i="14" s="1"/>
  <c r="Y58" i="14" s="1"/>
  <c r="Z58" i="14" s="1"/>
  <c r="AA58" i="14" s="1"/>
  <c r="AB58" i="14" s="1"/>
  <c r="AC58" i="14" s="1"/>
  <c r="AD58" i="14" s="1"/>
  <c r="AE58" i="14" s="1"/>
  <c r="AF58" i="14" s="1"/>
  <c r="AG58" i="14" s="1"/>
  <c r="AH58" i="14" s="1"/>
  <c r="AI58" i="14"/>
  <c r="AI53" i="14"/>
  <c r="AI59" i="14"/>
  <c r="F52" i="14"/>
  <c r="G52" i="14" s="1"/>
  <c r="H52" i="14" s="1"/>
  <c r="I52" i="14" s="1"/>
  <c r="J52" i="14" s="1"/>
  <c r="K52" i="14" s="1"/>
  <c r="L52" i="14" s="1"/>
  <c r="M52" i="14" s="1"/>
  <c r="N52" i="14" s="1"/>
  <c r="O52" i="14" s="1"/>
  <c r="P52" i="14" s="1"/>
  <c r="Q52" i="14" s="1"/>
  <c r="R52" i="14" s="1"/>
  <c r="S52" i="14" s="1"/>
  <c r="T52" i="14" s="1"/>
  <c r="U52" i="14" s="1"/>
  <c r="V52" i="14" s="1"/>
  <c r="W52" i="14" s="1"/>
  <c r="X52" i="14" s="1"/>
  <c r="Y52" i="14" s="1"/>
  <c r="Z52" i="14" s="1"/>
  <c r="AA52" i="14" s="1"/>
  <c r="AB52" i="14" s="1"/>
  <c r="AC52" i="14" s="1"/>
  <c r="AD52" i="14" s="1"/>
  <c r="AE52" i="14" s="1"/>
  <c r="AF52" i="14" s="1"/>
  <c r="AG52" i="14" s="1"/>
  <c r="AH52" i="14" s="1"/>
  <c r="AI55" i="14"/>
  <c r="AI54" i="14"/>
  <c r="AI44" i="14"/>
  <c r="G44" i="14"/>
  <c r="H44" i="14" s="1"/>
  <c r="I44" i="14" s="1"/>
  <c r="J44" i="14" s="1"/>
  <c r="K44" i="14" s="1"/>
  <c r="L44" i="14" s="1"/>
  <c r="M44" i="14" s="1"/>
  <c r="N44" i="14" s="1"/>
  <c r="O44" i="14" s="1"/>
  <c r="P44" i="14" s="1"/>
  <c r="Q44" i="14" s="1"/>
  <c r="R44" i="14" s="1"/>
  <c r="S44" i="14" s="1"/>
  <c r="T44" i="14" s="1"/>
  <c r="U44" i="14" s="1"/>
  <c r="V44" i="14" s="1"/>
  <c r="W44" i="14" s="1"/>
  <c r="X44" i="14" s="1"/>
  <c r="Y44" i="14" s="1"/>
  <c r="Z44" i="14" s="1"/>
  <c r="AA44" i="14" s="1"/>
  <c r="AB44" i="14" s="1"/>
  <c r="AC44" i="14" s="1"/>
  <c r="AD44" i="14" s="1"/>
  <c r="AE44" i="14" s="1"/>
  <c r="AF44" i="14" s="1"/>
  <c r="AG44" i="14" s="1"/>
  <c r="AH44" i="14" s="1"/>
  <c r="AI47" i="14"/>
  <c r="G42" i="14"/>
  <c r="H42" i="14" s="1"/>
  <c r="I42" i="14" s="1"/>
  <c r="J42" i="14" s="1"/>
  <c r="K42" i="14" s="1"/>
  <c r="L42" i="14" s="1"/>
  <c r="M42" i="14" s="1"/>
  <c r="N42" i="14" s="1"/>
  <c r="O42" i="14" s="1"/>
  <c r="P42" i="14" s="1"/>
  <c r="Q42" i="14" s="1"/>
  <c r="R42" i="14" s="1"/>
  <c r="S42" i="14" s="1"/>
  <c r="T42" i="14" s="1"/>
  <c r="U42" i="14" s="1"/>
  <c r="V42" i="14" s="1"/>
  <c r="W42" i="14" s="1"/>
  <c r="X42" i="14" s="1"/>
  <c r="Y42" i="14" s="1"/>
  <c r="Z42" i="14" s="1"/>
  <c r="AA42" i="14" s="1"/>
  <c r="AB42" i="14" s="1"/>
  <c r="AC42" i="14" s="1"/>
  <c r="AD42" i="14" s="1"/>
  <c r="AE42" i="14" s="1"/>
  <c r="AF42" i="14" s="1"/>
  <c r="AG42" i="14" s="1"/>
  <c r="AH42" i="14" s="1"/>
  <c r="AI42" i="14"/>
  <c r="AI43" i="14"/>
  <c r="F46" i="14"/>
  <c r="G46" i="14" s="1"/>
  <c r="H46" i="14" s="1"/>
  <c r="I46" i="14" s="1"/>
  <c r="J46" i="14" s="1"/>
  <c r="K46" i="14" s="1"/>
  <c r="L46" i="14" s="1"/>
  <c r="M46" i="14" s="1"/>
  <c r="N46" i="14" s="1"/>
  <c r="O46" i="14" s="1"/>
  <c r="P46" i="14" s="1"/>
  <c r="Q46" i="14" s="1"/>
  <c r="R46" i="14" s="1"/>
  <c r="S46" i="14" s="1"/>
  <c r="T46" i="14" s="1"/>
  <c r="U46" i="14" s="1"/>
  <c r="V46" i="14" s="1"/>
  <c r="W46" i="14" s="1"/>
  <c r="X46" i="14" s="1"/>
  <c r="Y46" i="14" s="1"/>
  <c r="Z46" i="14" s="1"/>
  <c r="AA46" i="14" s="1"/>
  <c r="AB46" i="14" s="1"/>
  <c r="AC46" i="14" s="1"/>
  <c r="AD46" i="14" s="1"/>
  <c r="AE46" i="14" s="1"/>
  <c r="AF46" i="14" s="1"/>
  <c r="AG46" i="14" s="1"/>
  <c r="AH46" i="14" s="1"/>
  <c r="G38" i="14"/>
  <c r="H38" i="14" s="1"/>
  <c r="I38" i="14" s="1"/>
  <c r="J38" i="14" s="1"/>
  <c r="K38" i="14" s="1"/>
  <c r="L38" i="14" s="1"/>
  <c r="M38" i="14" s="1"/>
  <c r="N38" i="14" s="1"/>
  <c r="O38" i="14" s="1"/>
  <c r="P38" i="14" s="1"/>
  <c r="Q38" i="14" s="1"/>
  <c r="R38" i="14" s="1"/>
  <c r="S38" i="14" s="1"/>
  <c r="T38" i="14" s="1"/>
  <c r="U38" i="14" s="1"/>
  <c r="V38" i="14" s="1"/>
  <c r="W38" i="14" s="1"/>
  <c r="X38" i="14" s="1"/>
  <c r="Y38" i="14" s="1"/>
  <c r="Z38" i="14" s="1"/>
  <c r="AA38" i="14" s="1"/>
  <c r="AB38" i="14" s="1"/>
  <c r="AC38" i="14" s="1"/>
  <c r="AD38" i="14" s="1"/>
  <c r="AE38" i="14" s="1"/>
  <c r="AF38" i="14" s="1"/>
  <c r="AG38" i="14" s="1"/>
  <c r="AH38" i="14" s="1"/>
  <c r="F39" i="14"/>
  <c r="G39" i="14" s="1"/>
  <c r="H39" i="14" s="1"/>
  <c r="I39" i="14" s="1"/>
  <c r="J39" i="14" s="1"/>
  <c r="K39" i="14" s="1"/>
  <c r="L39" i="14" s="1"/>
  <c r="M39" i="14" s="1"/>
  <c r="N39" i="14" s="1"/>
  <c r="O39" i="14" s="1"/>
  <c r="P39" i="14" s="1"/>
  <c r="Q39" i="14" s="1"/>
  <c r="R39" i="14" s="1"/>
  <c r="S39" i="14" s="1"/>
  <c r="T39" i="14" s="1"/>
  <c r="U39" i="14" s="1"/>
  <c r="V39" i="14" s="1"/>
  <c r="W39" i="14" s="1"/>
  <c r="X39" i="14" s="1"/>
  <c r="Y39" i="14" s="1"/>
  <c r="Z39" i="14" s="1"/>
  <c r="AA39" i="14" s="1"/>
  <c r="AB39" i="14" s="1"/>
  <c r="AC39" i="14" s="1"/>
  <c r="AD39" i="14" s="1"/>
  <c r="AE39" i="14" s="1"/>
  <c r="AF39" i="14" s="1"/>
  <c r="AG39" i="14" s="1"/>
  <c r="AH39" i="14" s="1"/>
  <c r="G25" i="14"/>
  <c r="H25" i="14" s="1"/>
  <c r="I25" i="14" s="1"/>
  <c r="J25" i="14" s="1"/>
  <c r="K25" i="14" s="1"/>
  <c r="L25" i="14" s="1"/>
  <c r="M25" i="14" s="1"/>
  <c r="N25" i="14" s="1"/>
  <c r="O25" i="14" s="1"/>
  <c r="P25" i="14" s="1"/>
  <c r="Q25" i="14" s="1"/>
  <c r="R25" i="14" s="1"/>
  <c r="S25" i="14" s="1"/>
  <c r="T25" i="14" s="1"/>
  <c r="U25" i="14" s="1"/>
  <c r="V25" i="14" s="1"/>
  <c r="W25" i="14" s="1"/>
  <c r="X25" i="14" s="1"/>
  <c r="Y25" i="14" s="1"/>
  <c r="Z25" i="14" s="1"/>
  <c r="AA25" i="14" s="1"/>
  <c r="AB25" i="14" s="1"/>
  <c r="AC25" i="14" s="1"/>
  <c r="AD25" i="14" s="1"/>
  <c r="AE25" i="14" s="1"/>
  <c r="AF25" i="14" s="1"/>
  <c r="AG25" i="14" s="1"/>
  <c r="AH25" i="14" s="1"/>
  <c r="AI25" i="14"/>
  <c r="G24" i="14"/>
  <c r="H24" i="14" s="1"/>
  <c r="I24" i="14" s="1"/>
  <c r="J24" i="14" s="1"/>
  <c r="K24" i="14" s="1"/>
  <c r="L24" i="14" s="1"/>
  <c r="M24" i="14" s="1"/>
  <c r="N24" i="14" s="1"/>
  <c r="O24" i="14" s="1"/>
  <c r="P24" i="14" s="1"/>
  <c r="Q24" i="14" s="1"/>
  <c r="R24" i="14" s="1"/>
  <c r="S24" i="14" s="1"/>
  <c r="T24" i="14" s="1"/>
  <c r="U24" i="14" s="1"/>
  <c r="V24" i="14" s="1"/>
  <c r="W24" i="14" s="1"/>
  <c r="X24" i="14" s="1"/>
  <c r="Y24" i="14" s="1"/>
  <c r="Z24" i="14" s="1"/>
  <c r="AA24" i="14" s="1"/>
  <c r="AB24" i="14" s="1"/>
  <c r="AC24" i="14" s="1"/>
  <c r="AD24" i="14" s="1"/>
  <c r="AE24" i="14" s="1"/>
  <c r="AF24" i="14" s="1"/>
  <c r="AG24" i="14" s="1"/>
  <c r="AH24" i="14" s="1"/>
  <c r="AI29" i="14"/>
  <c r="AI28" i="14"/>
  <c r="F22" i="14"/>
  <c r="G22" i="14" s="1"/>
  <c r="H22" i="14" s="1"/>
  <c r="I22" i="14" s="1"/>
  <c r="J22" i="14" s="1"/>
  <c r="K22" i="14" s="1"/>
  <c r="L22" i="14" s="1"/>
  <c r="M22" i="14" s="1"/>
  <c r="N22" i="14" s="1"/>
  <c r="O22" i="14" s="1"/>
  <c r="P22" i="14" s="1"/>
  <c r="Q22" i="14" s="1"/>
  <c r="R22" i="14" s="1"/>
  <c r="S22" i="14" s="1"/>
  <c r="T22" i="14" s="1"/>
  <c r="U22" i="14" s="1"/>
  <c r="V22" i="14" s="1"/>
  <c r="W22" i="14" s="1"/>
  <c r="X22" i="14" s="1"/>
  <c r="Y22" i="14" s="1"/>
  <c r="Z22" i="14" s="1"/>
  <c r="AA22" i="14" s="1"/>
  <c r="AB22" i="14" s="1"/>
  <c r="AC22" i="14" s="1"/>
  <c r="AD22" i="14" s="1"/>
  <c r="AE22" i="14" s="1"/>
  <c r="AF22" i="14" s="1"/>
  <c r="AG22" i="14" s="1"/>
  <c r="AH22" i="14" s="1"/>
  <c r="AI27" i="14"/>
  <c r="AI26" i="14"/>
  <c r="F29" i="14"/>
  <c r="G29" i="14" s="1"/>
  <c r="H29" i="14" s="1"/>
  <c r="I29" i="14" s="1"/>
  <c r="J29" i="14" s="1"/>
  <c r="K29" i="14" s="1"/>
  <c r="L29" i="14" s="1"/>
  <c r="M29" i="14" s="1"/>
  <c r="N29" i="14" s="1"/>
  <c r="O29" i="14" s="1"/>
  <c r="P29" i="14" s="1"/>
  <c r="Q29" i="14" s="1"/>
  <c r="R29" i="14" s="1"/>
  <c r="S29" i="14" s="1"/>
  <c r="T29" i="14" s="1"/>
  <c r="U29" i="14" s="1"/>
  <c r="V29" i="14" s="1"/>
  <c r="W29" i="14" s="1"/>
  <c r="X29" i="14" s="1"/>
  <c r="Y29" i="14" s="1"/>
  <c r="Z29" i="14" s="1"/>
  <c r="AA29" i="14" s="1"/>
  <c r="AB29" i="14" s="1"/>
  <c r="AC29" i="14" s="1"/>
  <c r="AD29" i="14" s="1"/>
  <c r="AE29" i="14" s="1"/>
  <c r="AF29" i="14" s="1"/>
  <c r="AG29" i="14" s="1"/>
  <c r="AH29" i="14" s="1"/>
  <c r="AI56" i="14" l="1"/>
  <c r="AI46" i="14"/>
  <c r="AI39" i="14"/>
  <c r="AI38" i="14"/>
  <c r="AI24" i="14"/>
  <c r="AI22" i="14"/>
  <c r="J280" i="14" l="1"/>
  <c r="J264" i="14"/>
  <c r="J3317" i="13"/>
  <c r="J3308" i="13"/>
  <c r="J3295" i="13"/>
  <c r="J3294" i="13"/>
  <c r="J3301" i="13" s="1"/>
  <c r="J3282" i="13"/>
  <c r="J3281" i="13"/>
  <c r="J3279" i="13"/>
  <c r="J3273" i="13"/>
  <c r="J3272" i="13"/>
  <c r="J3257" i="13"/>
  <c r="J3248" i="13"/>
  <c r="J3241" i="13"/>
  <c r="J3238" i="13"/>
  <c r="J3237" i="13"/>
  <c r="J3236" i="13"/>
  <c r="J3235" i="13"/>
  <c r="J3234" i="13"/>
  <c r="J3224" i="13"/>
  <c r="J3223" i="13"/>
  <c r="J3222" i="13"/>
  <c r="J3221" i="13"/>
  <c r="J3228" i="13" s="1"/>
  <c r="J3214" i="13"/>
  <c r="J3213" i="13"/>
  <c r="J3212" i="13"/>
  <c r="J3197" i="13"/>
  <c r="J3184" i="13"/>
  <c r="J3188" i="13" s="1"/>
  <c r="J3183" i="13"/>
  <c r="J3181" i="13"/>
  <c r="J3161" i="13"/>
  <c r="J3155" i="13"/>
  <c r="J3154" i="13"/>
  <c r="J3153" i="13"/>
  <c r="J3152" i="13"/>
  <c r="J3159" i="13" s="1"/>
  <c r="J3132" i="13"/>
  <c r="J3131" i="13"/>
  <c r="J3130" i="13"/>
  <c r="J3137" i="13" s="1"/>
  <c r="J3128" i="13"/>
  <c r="J3119" i="13"/>
  <c r="J3118" i="13"/>
  <c r="J3117" i="13"/>
  <c r="J3116" i="13"/>
  <c r="J3115" i="13"/>
  <c r="J3114" i="13"/>
  <c r="J3121" i="13" s="1"/>
  <c r="J3102" i="13"/>
  <c r="J3101" i="13"/>
  <c r="J3108" i="13" s="1"/>
  <c r="J3109" i="13" s="1"/>
  <c r="J3095" i="13"/>
  <c r="J3094" i="13"/>
  <c r="J3093" i="13"/>
  <c r="J3092" i="13"/>
  <c r="J3099" i="13" s="1"/>
  <c r="J3071" i="13"/>
  <c r="J3070" i="13"/>
  <c r="J3077" i="13" s="1"/>
  <c r="J3068" i="13"/>
  <c r="J3061" i="13"/>
  <c r="J3057" i="13"/>
  <c r="J3056" i="13"/>
  <c r="J3055" i="13"/>
  <c r="J3054" i="13"/>
  <c r="J3042" i="13"/>
  <c r="J3041" i="13"/>
  <c r="J3048" i="13" s="1"/>
  <c r="J3049" i="13" s="1"/>
  <c r="J3039" i="13"/>
  <c r="J3017" i="13"/>
  <c r="J3004" i="13"/>
  <c r="J3003" i="13"/>
  <c r="J3008" i="13" s="1"/>
  <c r="J3001" i="13"/>
  <c r="J2981" i="13"/>
  <c r="J2988" i="13" s="1"/>
  <c r="J2989" i="13" s="1"/>
  <c r="J2975" i="13"/>
  <c r="J2974" i="13"/>
  <c r="J2973" i="13"/>
  <c r="J2972" i="13"/>
  <c r="J2979" i="13" s="1"/>
  <c r="J2952" i="13"/>
  <c r="J2951" i="13"/>
  <c r="J2950" i="13"/>
  <c r="J2957" i="13" s="1"/>
  <c r="J2944" i="13"/>
  <c r="J2948" i="13" s="1"/>
  <c r="J2943" i="13"/>
  <c r="J2935" i="13"/>
  <c r="J2934" i="13"/>
  <c r="J2941" i="13" s="1"/>
  <c r="J2921" i="13"/>
  <c r="J2928" i="13" s="1"/>
  <c r="J2929" i="13" s="1"/>
  <c r="J2912" i="13"/>
  <c r="J2919" i="13" s="1"/>
  <c r="J2897" i="13"/>
  <c r="J2890" i="13"/>
  <c r="J2888" i="13"/>
  <c r="J2874" i="13"/>
  <c r="J2881" i="13" s="1"/>
  <c r="J2861" i="13"/>
  <c r="J2868" i="13" s="1"/>
  <c r="J2869" i="13" s="1"/>
  <c r="J2852" i="13"/>
  <c r="J2859" i="13" s="1"/>
  <c r="J2837" i="13"/>
  <c r="J2835" i="13"/>
  <c r="J2834" i="13"/>
  <c r="J2833" i="13"/>
  <c r="J2832" i="13"/>
  <c r="J2831" i="13"/>
  <c r="J2830" i="13"/>
  <c r="J2828" i="13"/>
  <c r="J2820" i="13"/>
  <c r="J2819" i="13"/>
  <c r="J2818" i="13"/>
  <c r="J2817" i="13"/>
  <c r="J2816" i="13"/>
  <c r="J2815" i="13"/>
  <c r="J2814" i="13"/>
  <c r="J2813" i="13"/>
  <c r="J2821" i="13" s="1"/>
  <c r="J2812" i="13"/>
  <c r="J2811" i="13"/>
  <c r="J2810" i="13"/>
  <c r="J2809" i="13"/>
  <c r="J2808" i="13"/>
  <c r="J2802" i="13"/>
  <c r="J2803" i="13" s="1"/>
  <c r="J2804" i="13" s="1"/>
  <c r="J2795" i="13"/>
  <c r="J2793" i="13"/>
  <c r="J2786" i="13"/>
  <c r="J2805" i="13" s="1"/>
  <c r="J2806" i="13" s="1"/>
  <c r="J2838" i="13" s="1"/>
  <c r="J2771" i="13"/>
  <c r="J2762" i="13"/>
  <c r="J2748" i="13"/>
  <c r="J2755" i="13" s="1"/>
  <c r="J2735" i="13"/>
  <c r="J2742" i="13" s="1"/>
  <c r="J2743" i="13" s="1"/>
  <c r="J2733" i="13"/>
  <c r="J2711" i="13"/>
  <c r="J2702" i="13"/>
  <c r="J2688" i="13"/>
  <c r="J2695" i="13" s="1"/>
  <c r="J2675" i="13"/>
  <c r="J2666" i="13"/>
  <c r="J2673" i="13" s="1"/>
  <c r="J2651" i="13"/>
  <c r="J2642" i="13"/>
  <c r="J2635" i="13"/>
  <c r="J2628" i="13"/>
  <c r="J2615" i="13"/>
  <c r="J2622" i="13" s="1"/>
  <c r="J2613" i="13"/>
  <c r="J2591" i="13"/>
  <c r="J2584" i="13"/>
  <c r="J2577" i="13"/>
  <c r="J2582" i="13" s="1"/>
  <c r="J2575" i="13"/>
  <c r="J2569" i="13"/>
  <c r="J2568" i="13"/>
  <c r="J2555" i="13"/>
  <c r="J2546" i="13"/>
  <c r="J2553" i="13" s="1"/>
  <c r="J2524" i="13"/>
  <c r="J2531" i="13" s="1"/>
  <c r="J2522" i="13"/>
  <c r="J2517" i="13"/>
  <c r="J2509" i="13"/>
  <c r="J2508" i="13"/>
  <c r="J2515" i="13" s="1"/>
  <c r="J2495" i="13"/>
  <c r="J2502" i="13" s="1"/>
  <c r="J2503" i="13" s="1"/>
  <c r="J2488" i="13"/>
  <c r="J2487" i="13"/>
  <c r="J2486" i="13"/>
  <c r="J2493" i="13" s="1"/>
  <c r="J2471" i="13"/>
  <c r="J2462" i="13"/>
  <c r="J2455" i="13"/>
  <c r="J2448" i="13"/>
  <c r="J2442" i="13"/>
  <c r="J2443" i="13" s="1"/>
  <c r="J2444" i="13" s="1"/>
  <c r="J2435" i="13"/>
  <c r="J2433" i="13"/>
  <c r="J2426" i="13"/>
  <c r="J2445" i="13" s="1"/>
  <c r="J2446" i="13" s="1"/>
  <c r="J2472" i="13" s="1"/>
  <c r="J2404" i="13"/>
  <c r="J2411" i="13" s="1"/>
  <c r="J2397" i="13"/>
  <c r="J2402" i="13" s="1"/>
  <c r="J2395" i="13"/>
  <c r="J2389" i="13"/>
  <c r="J2388" i="13"/>
  <c r="J2382" i="13"/>
  <c r="J2383" i="13" s="1"/>
  <c r="J2375" i="13"/>
  <c r="J2384" i="13" s="1"/>
  <c r="J2366" i="13"/>
  <c r="J2351" i="13"/>
  <c r="J2342" i="13"/>
  <c r="J2335" i="13"/>
  <c r="J2322" i="13"/>
  <c r="J2323" i="13" s="1"/>
  <c r="J2324" i="13" s="1"/>
  <c r="J2315" i="13"/>
  <c r="J2313" i="13"/>
  <c r="J2291" i="13"/>
  <c r="J2282" i="13"/>
  <c r="J2275" i="13"/>
  <c r="J2255" i="13"/>
  <c r="J2253" i="13"/>
  <c r="J2231" i="13"/>
  <c r="J2222" i="13"/>
  <c r="J2215" i="13"/>
  <c r="J2202" i="13"/>
  <c r="J2203" i="13" s="1"/>
  <c r="J2195" i="13"/>
  <c r="J2193" i="13"/>
  <c r="J2171" i="13"/>
  <c r="J2162" i="13"/>
  <c r="J2155" i="13"/>
  <c r="J2135" i="13"/>
  <c r="J2142" i="13" s="1"/>
  <c r="J2143" i="13" s="1"/>
  <c r="J2133" i="13"/>
  <c r="J2111" i="13"/>
  <c r="J2102" i="13"/>
  <c r="J2095" i="13"/>
  <c r="J2082" i="13"/>
  <c r="J2083" i="13" s="1"/>
  <c r="J2084" i="13" s="1"/>
  <c r="J2075" i="13"/>
  <c r="J2073" i="13"/>
  <c r="J2085" i="13" s="1"/>
  <c r="J2086" i="13" s="1"/>
  <c r="J2112" i="13" s="1"/>
  <c r="J2051" i="13"/>
  <c r="J2042" i="13"/>
  <c r="J2035" i="13"/>
  <c r="J2015" i="13"/>
  <c r="J2007" i="13"/>
  <c r="J2006" i="13"/>
  <c r="J2013" i="13" s="1"/>
  <c r="J1985" i="13"/>
  <c r="J1984" i="13"/>
  <c r="J1991" i="13" s="1"/>
  <c r="J1982" i="13"/>
  <c r="J1971" i="13"/>
  <c r="J1970" i="13"/>
  <c r="J1969" i="13"/>
  <c r="J1968" i="13"/>
  <c r="J1962" i="13"/>
  <c r="J1956" i="13"/>
  <c r="J1955" i="13"/>
  <c r="J1953" i="13"/>
  <c r="J1924" i="13"/>
  <c r="J1931" i="13" s="1"/>
  <c r="J1922" i="13"/>
  <c r="J1911" i="13"/>
  <c r="J1910" i="13"/>
  <c r="J1909" i="13"/>
  <c r="J1908" i="13"/>
  <c r="J1915" i="13" s="1"/>
  <c r="J1896" i="13"/>
  <c r="J1895" i="13"/>
  <c r="J1888" i="13"/>
  <c r="J1887" i="13"/>
  <c r="J1886" i="13"/>
  <c r="J1871" i="13"/>
  <c r="J1858" i="13"/>
  <c r="J1857" i="13"/>
  <c r="J1862" i="13" s="1"/>
  <c r="J1855" i="13"/>
  <c r="J1842" i="13"/>
  <c r="J1843" i="13" s="1"/>
  <c r="J1844" i="13" s="1"/>
  <c r="J1833" i="13"/>
  <c r="J1845" i="13" s="1"/>
  <c r="J1846" i="13" s="1"/>
  <c r="J1872" i="13" s="1"/>
  <c r="J1804" i="13"/>
  <c r="J1811" i="13" s="1"/>
  <c r="J1802" i="13"/>
  <c r="J1790" i="13"/>
  <c r="J1789" i="13"/>
  <c r="J1788" i="13"/>
  <c r="J1795" i="13" s="1"/>
  <c r="J1782" i="13"/>
  <c r="J1783" i="13" s="1"/>
  <c r="J1784" i="13" s="1"/>
  <c r="J1775" i="13"/>
  <c r="J1773" i="13"/>
  <c r="J1766" i="13"/>
  <c r="J1744" i="13"/>
  <c r="J1751" i="13" s="1"/>
  <c r="J1738" i="13"/>
  <c r="J1737" i="13"/>
  <c r="J1742" i="13" s="1"/>
  <c r="J1729" i="13"/>
  <c r="J1728" i="13"/>
  <c r="J1735" i="13" s="1"/>
  <c r="J1723" i="13"/>
  <c r="J1722" i="13"/>
  <c r="J1713" i="13"/>
  <c r="J1691" i="13"/>
  <c r="J1684" i="13"/>
  <c r="J1682" i="13"/>
  <c r="J1679" i="13"/>
  <c r="J1678" i="13"/>
  <c r="J1677" i="13"/>
  <c r="J1675" i="13"/>
  <c r="J1669" i="13"/>
  <c r="J1668" i="13"/>
  <c r="J1655" i="13"/>
  <c r="J1649" i="13"/>
  <c r="J1648" i="13"/>
  <c r="J1647" i="13"/>
  <c r="J1646" i="13"/>
  <c r="J1624" i="13"/>
  <c r="J1631" i="13" s="1"/>
  <c r="J1622" i="13"/>
  <c r="J1615" i="13"/>
  <c r="J1609" i="13"/>
  <c r="J1608" i="13"/>
  <c r="J1596" i="13"/>
  <c r="J1595" i="13"/>
  <c r="J1587" i="13"/>
  <c r="J1586" i="13"/>
  <c r="J1593" i="13" s="1"/>
  <c r="J1571" i="13"/>
  <c r="J1562" i="13"/>
  <c r="J1548" i="13"/>
  <c r="J1555" i="13" s="1"/>
  <c r="J1542" i="13"/>
  <c r="J1543" i="13" s="1"/>
  <c r="J1535" i="13"/>
  <c r="J1527" i="13"/>
  <c r="J1526" i="13"/>
  <c r="J1533" i="13" s="1"/>
  <c r="J1511" i="13"/>
  <c r="J1502" i="13"/>
  <c r="J1489" i="13"/>
  <c r="J1488" i="13"/>
  <c r="J1495" i="13" s="1"/>
  <c r="J1483" i="13"/>
  <c r="J1482" i="13"/>
  <c r="J1475" i="13"/>
  <c r="J1466" i="13"/>
  <c r="J1473" i="13" s="1"/>
  <c r="J1451" i="13"/>
  <c r="J1446" i="13"/>
  <c r="J1445" i="13"/>
  <c r="J1444" i="13"/>
  <c r="J1442" i="13"/>
  <c r="J1439" i="13"/>
  <c r="J1438" i="13"/>
  <c r="J1437" i="13"/>
  <c r="J1435" i="13"/>
  <c r="J1433" i="13"/>
  <c r="J1432" i="13"/>
  <c r="J1431" i="13"/>
  <c r="J1430" i="13"/>
  <c r="J1429" i="13"/>
  <c r="J1428" i="13"/>
  <c r="J1415" i="13"/>
  <c r="J1413" i="13"/>
  <c r="J1388" i="13"/>
  <c r="J1387" i="13"/>
  <c r="J1386" i="13"/>
  <c r="J1385" i="13"/>
  <c r="J1384" i="13"/>
  <c r="J1391" i="13" s="1"/>
  <c r="J1382" i="13"/>
  <c r="J1374" i="13"/>
  <c r="J1373" i="13"/>
  <c r="J1372" i="13"/>
  <c r="J1371" i="13"/>
  <c r="J1370" i="13"/>
  <c r="J1369" i="13"/>
  <c r="J1368" i="13"/>
  <c r="J1367" i="13"/>
  <c r="J1375" i="13" s="1"/>
  <c r="J1366" i="13"/>
  <c r="J1365" i="13"/>
  <c r="J1353" i="13"/>
  <c r="J1352" i="13"/>
  <c r="J1346" i="13"/>
  <c r="J1345" i="13"/>
  <c r="J1344" i="13"/>
  <c r="J1343" i="13"/>
  <c r="J1350" i="13" s="1"/>
  <c r="J1322" i="13"/>
  <c r="J1321" i="13"/>
  <c r="J1328" i="13" s="1"/>
  <c r="J1319" i="13"/>
  <c r="J1308" i="13"/>
  <c r="J1307" i="13"/>
  <c r="J1306" i="13"/>
  <c r="J1305" i="13"/>
  <c r="J1293" i="13"/>
  <c r="J1292" i="13"/>
  <c r="J1290" i="13"/>
  <c r="J1268" i="13"/>
  <c r="J1256" i="13"/>
  <c r="J1255" i="13"/>
  <c r="J1254" i="13"/>
  <c r="J1252" i="13"/>
  <c r="J1239" i="13"/>
  <c r="J1240" i="13" s="1"/>
  <c r="J1232" i="13"/>
  <c r="J1241" i="13" s="1"/>
  <c r="J1225" i="13"/>
  <c r="J1224" i="13"/>
  <c r="J1223" i="13"/>
  <c r="J1230" i="13" s="1"/>
  <c r="J1205" i="13"/>
  <c r="J1204" i="13"/>
  <c r="J1203" i="13"/>
  <c r="J1202" i="13"/>
  <c r="J1208" i="13" s="1"/>
  <c r="J1201" i="13"/>
  <c r="J1199" i="13"/>
  <c r="J1191" i="13"/>
  <c r="J1190" i="13"/>
  <c r="J1189" i="13"/>
  <c r="J1188" i="13"/>
  <c r="J1187" i="13"/>
  <c r="J1186" i="13"/>
  <c r="J1185" i="13"/>
  <c r="J1184" i="13"/>
  <c r="J1192" i="13" s="1"/>
  <c r="J1183" i="13"/>
  <c r="J1182" i="13"/>
  <c r="J1181" i="13"/>
  <c r="J1180" i="13"/>
  <c r="J1179" i="13"/>
  <c r="J1167" i="13"/>
  <c r="J1166" i="13"/>
  <c r="J1173" i="13" s="1"/>
  <c r="J1174" i="13" s="1"/>
  <c r="J1160" i="13"/>
  <c r="J1159" i="13"/>
  <c r="J1158" i="13"/>
  <c r="J1157" i="13"/>
  <c r="J1164" i="13" s="1"/>
  <c r="J1142" i="13"/>
  <c r="J1128" i="13"/>
  <c r="J1133" i="13" s="1"/>
  <c r="J1126" i="13"/>
  <c r="J1114" i="13"/>
  <c r="J1113" i="13"/>
  <c r="J1115" i="13" s="1"/>
  <c r="J1104" i="13"/>
  <c r="J1075" i="13"/>
  <c r="J1082" i="13" s="1"/>
  <c r="J1073" i="13"/>
  <c r="J1060" i="13"/>
  <c r="J1059" i="13"/>
  <c r="J1066" i="13" s="1"/>
  <c r="J1053" i="13"/>
  <c r="J1054" i="13" s="1"/>
  <c r="J1047" i="13"/>
  <c r="J1046" i="13"/>
  <c r="J1037" i="13"/>
  <c r="J1022" i="13"/>
  <c r="J1016" i="13"/>
  <c r="J1015" i="13"/>
  <c r="J1008" i="13"/>
  <c r="J1013" i="13" s="1"/>
  <c r="J1002" i="13"/>
  <c r="J1001" i="13"/>
  <c r="J1000" i="13"/>
  <c r="J999" i="13"/>
  <c r="J1006" i="13" s="1"/>
  <c r="J995" i="13"/>
  <c r="J989" i="13"/>
  <c r="J988" i="13"/>
  <c r="J987" i="13"/>
  <c r="J986" i="13"/>
  <c r="J993" i="13" s="1"/>
  <c r="J994" i="13" s="1"/>
  <c r="J981" i="13"/>
  <c r="J980" i="13"/>
  <c r="J979" i="13"/>
  <c r="J978" i="13"/>
  <c r="J977" i="13"/>
  <c r="J962" i="13"/>
  <c r="J948" i="13"/>
  <c r="J953" i="13" s="1"/>
  <c r="J946" i="13"/>
  <c r="J933" i="13"/>
  <c r="J934" i="13" s="1"/>
  <c r="J927" i="13"/>
  <c r="J926" i="13"/>
  <c r="J935" i="13" s="1"/>
  <c r="J917" i="13"/>
  <c r="J924" i="13" s="1"/>
  <c r="J902" i="13"/>
  <c r="J893" i="13"/>
  <c r="J879" i="13"/>
  <c r="J886" i="13" s="1"/>
  <c r="J873" i="13"/>
  <c r="J874" i="13" s="1"/>
  <c r="J866" i="13"/>
  <c r="J857" i="13"/>
  <c r="J864" i="13" s="1"/>
  <c r="J835" i="13"/>
  <c r="J842" i="13" s="1"/>
  <c r="J833" i="13"/>
  <c r="J820" i="13"/>
  <c r="J819" i="13"/>
  <c r="J826" i="13" s="1"/>
  <c r="J814" i="13"/>
  <c r="J807" i="13"/>
  <c r="J806" i="13"/>
  <c r="J813" i="13" s="1"/>
  <c r="J804" i="13"/>
  <c r="J798" i="13"/>
  <c r="J797" i="13"/>
  <c r="J777" i="13"/>
  <c r="J776" i="13"/>
  <c r="J775" i="13"/>
  <c r="J782" i="13" s="1"/>
  <c r="J773" i="13"/>
  <c r="J768" i="13"/>
  <c r="J766" i="13"/>
  <c r="J764" i="13"/>
  <c r="J763" i="13"/>
  <c r="J762" i="13"/>
  <c r="J761" i="13"/>
  <c r="J760" i="13"/>
  <c r="J759" i="13"/>
  <c r="J749" i="13"/>
  <c r="J753" i="13" s="1"/>
  <c r="J754" i="13" s="1"/>
  <c r="J748" i="13"/>
  <c r="J747" i="13"/>
  <c r="J746" i="13"/>
  <c r="J744" i="13"/>
  <c r="J741" i="13"/>
  <c r="J740" i="13"/>
  <c r="J739" i="13"/>
  <c r="J738" i="13"/>
  <c r="J737" i="13"/>
  <c r="J722" i="13"/>
  <c r="J708" i="13"/>
  <c r="J713" i="13" s="1"/>
  <c r="J706" i="13"/>
  <c r="J687" i="13"/>
  <c r="J686" i="13"/>
  <c r="J693" i="13" s="1"/>
  <c r="J694" i="13" s="1"/>
  <c r="J684" i="13"/>
  <c r="J677" i="13"/>
  <c r="J656" i="13"/>
  <c r="J655" i="13"/>
  <c r="J662" i="13" s="1"/>
  <c r="J653" i="13"/>
  <c r="J643" i="13"/>
  <c r="J642" i="13"/>
  <c r="J641" i="13"/>
  <c r="J640" i="13"/>
  <c r="J639" i="13"/>
  <c r="J627" i="13"/>
  <c r="J626" i="13"/>
  <c r="J619" i="13"/>
  <c r="J618" i="13"/>
  <c r="J617" i="13"/>
  <c r="J624" i="13" s="1"/>
  <c r="J597" i="13"/>
  <c r="J596" i="13"/>
  <c r="J595" i="13"/>
  <c r="J602" i="13" s="1"/>
  <c r="J593" i="13"/>
  <c r="J584" i="13"/>
  <c r="J583" i="13"/>
  <c r="J582" i="13"/>
  <c r="J581" i="13"/>
  <c r="J580" i="13"/>
  <c r="J579" i="13"/>
  <c r="J586" i="13" s="1"/>
  <c r="J574" i="13"/>
  <c r="J573" i="13"/>
  <c r="J566" i="13"/>
  <c r="J557" i="13"/>
  <c r="J564" i="13" s="1"/>
  <c r="J542" i="13"/>
  <c r="J533" i="13"/>
  <c r="J526" i="13"/>
  <c r="J506" i="13"/>
  <c r="J498" i="13"/>
  <c r="J497" i="13"/>
  <c r="J504" i="13" s="1"/>
  <c r="J475" i="13"/>
  <c r="J482" i="13" s="1"/>
  <c r="J473" i="13"/>
  <c r="J462" i="13"/>
  <c r="J461" i="13"/>
  <c r="J466" i="13" s="1"/>
  <c r="J460" i="13"/>
  <c r="J459" i="13"/>
  <c r="J446" i="13"/>
  <c r="J438" i="13"/>
  <c r="J437" i="13"/>
  <c r="J444" i="13" s="1"/>
  <c r="J419" i="13"/>
  <c r="J418" i="13"/>
  <c r="J417" i="13"/>
  <c r="J416" i="13"/>
  <c r="J415" i="13"/>
  <c r="J422" i="13" s="1"/>
  <c r="J413" i="13"/>
  <c r="J405" i="13"/>
  <c r="J404" i="13"/>
  <c r="J403" i="13"/>
  <c r="J402" i="13"/>
  <c r="J401" i="13"/>
  <c r="J400" i="13"/>
  <c r="J399" i="13"/>
  <c r="J398" i="13"/>
  <c r="J397" i="13"/>
  <c r="J396" i="13"/>
  <c r="J395" i="13"/>
  <c r="J394" i="13"/>
  <c r="J381" i="13"/>
  <c r="J376" i="13"/>
  <c r="J375" i="13"/>
  <c r="J374" i="13"/>
  <c r="J373" i="13"/>
  <c r="J372" i="13"/>
  <c r="J379" i="13" s="1"/>
  <c r="J350" i="13"/>
  <c r="J357" i="13" s="1"/>
  <c r="J348" i="13"/>
  <c r="J343" i="13"/>
  <c r="J335" i="13"/>
  <c r="J334" i="13"/>
  <c r="J341" i="13" s="1"/>
  <c r="J329" i="13"/>
  <c r="J328" i="13"/>
  <c r="J321" i="13"/>
  <c r="J330" i="13" s="1"/>
  <c r="J314" i="13"/>
  <c r="J313" i="13"/>
  <c r="J312" i="13"/>
  <c r="J319" i="13" s="1"/>
  <c r="J297" i="13"/>
  <c r="J288" i="13"/>
  <c r="J281" i="13"/>
  <c r="J275" i="13"/>
  <c r="J274" i="13"/>
  <c r="J261" i="13"/>
  <c r="J253" i="13"/>
  <c r="J252" i="13"/>
  <c r="J259" i="13" s="1"/>
  <c r="J230" i="13"/>
  <c r="J237" i="13" s="1"/>
  <c r="J228" i="13"/>
  <c r="J216" i="13"/>
  <c r="J215" i="13"/>
  <c r="J214" i="13"/>
  <c r="J221" i="13" s="1"/>
  <c r="J201" i="13"/>
  <c r="J208" i="13" s="1"/>
  <c r="J199" i="13"/>
  <c r="J195" i="13"/>
  <c r="J194" i="13"/>
  <c r="J193" i="13"/>
  <c r="J192" i="13"/>
  <c r="J177" i="13"/>
  <c r="J174" i="13"/>
  <c r="J173" i="13"/>
  <c r="J172" i="13"/>
  <c r="J171" i="13"/>
  <c r="J170" i="13"/>
  <c r="J168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43" i="13"/>
  <c r="J144" i="13" s="1"/>
  <c r="J136" i="13"/>
  <c r="J145" i="13" s="1"/>
  <c r="J131" i="13"/>
  <c r="J130" i="13"/>
  <c r="J129" i="13"/>
  <c r="J128" i="13"/>
  <c r="J127" i="13"/>
  <c r="J134" i="13" s="1"/>
  <c r="J105" i="13"/>
  <c r="J112" i="13" s="1"/>
  <c r="J98" i="13"/>
  <c r="J103" i="13" s="1"/>
  <c r="J90" i="13"/>
  <c r="J89" i="13"/>
  <c r="J76" i="13"/>
  <c r="J83" i="13" s="1"/>
  <c r="J74" i="13"/>
  <c r="J69" i="13"/>
  <c r="J68" i="13"/>
  <c r="J67" i="13"/>
  <c r="J45" i="13"/>
  <c r="J52" i="13" s="1"/>
  <c r="J38" i="13"/>
  <c r="J43" i="13" s="1"/>
  <c r="J32" i="13"/>
  <c r="J31" i="13"/>
  <c r="J30" i="13"/>
  <c r="J29" i="13"/>
  <c r="J36" i="13" s="1"/>
  <c r="J23" i="13"/>
  <c r="J24" i="13" s="1"/>
  <c r="J16" i="13"/>
  <c r="J25" i="13" s="1"/>
  <c r="J9" i="13"/>
  <c r="J8" i="13"/>
  <c r="J7" i="13"/>
  <c r="E66" i="10"/>
  <c r="E65" i="10"/>
  <c r="E55" i="10"/>
  <c r="E53" i="10"/>
  <c r="E48" i="10"/>
  <c r="E42" i="10"/>
  <c r="E41" i="10"/>
  <c r="E32" i="10"/>
  <c r="E24" i="10"/>
  <c r="E21" i="10"/>
  <c r="E27" i="10"/>
  <c r="E29" i="10"/>
  <c r="E28" i="10"/>
  <c r="E26" i="10"/>
  <c r="E28" i="3"/>
  <c r="D28" i="3"/>
  <c r="E76" i="10"/>
  <c r="E73" i="10"/>
  <c r="E70" i="10"/>
  <c r="E69" i="10"/>
  <c r="E68" i="10"/>
  <c r="E67" i="10"/>
  <c r="E62" i="10"/>
  <c r="E61" i="10"/>
  <c r="E60" i="10"/>
  <c r="E56" i="10"/>
  <c r="E50" i="10"/>
  <c r="E49" i="10"/>
  <c r="E47" i="10"/>
  <c r="E46" i="10"/>
  <c r="E45" i="10"/>
  <c r="E40" i="10"/>
  <c r="E37" i="10"/>
  <c r="E38" i="10"/>
  <c r="E34" i="10"/>
  <c r="E33" i="10"/>
  <c r="E23" i="10"/>
  <c r="E22" i="10"/>
  <c r="E20" i="10"/>
  <c r="E19" i="10"/>
  <c r="E31" i="2"/>
  <c r="F31" i="2" s="1"/>
  <c r="G31" i="2" s="1"/>
  <c r="E30" i="2"/>
  <c r="F30" i="2" s="1"/>
  <c r="G30" i="2" s="1"/>
  <c r="F28" i="2"/>
  <c r="G28" i="2" s="1"/>
  <c r="E26" i="5"/>
  <c r="E25" i="5"/>
  <c r="E24" i="5"/>
  <c r="E23" i="5"/>
  <c r="E22" i="5"/>
  <c r="E21" i="5"/>
  <c r="E20" i="5"/>
  <c r="E19" i="5"/>
  <c r="E18" i="5"/>
  <c r="J1873" i="13" l="1"/>
  <c r="J1874" i="13" s="1"/>
  <c r="J513" i="13"/>
  <c r="J514" i="13" s="1"/>
  <c r="J646" i="13"/>
  <c r="J755" i="13"/>
  <c r="J756" i="13" s="1"/>
  <c r="J757" i="13" s="1"/>
  <c r="J783" i="13" s="1"/>
  <c r="J1484" i="13"/>
  <c r="J1485" i="13" s="1"/>
  <c r="J1486" i="13" s="1"/>
  <c r="J1512" i="13" s="1"/>
  <c r="J1544" i="13"/>
  <c r="J1545" i="13" s="1"/>
  <c r="J1546" i="13" s="1"/>
  <c r="J1572" i="13" s="1"/>
  <c r="J84" i="13"/>
  <c r="J85" i="13" s="1"/>
  <c r="J86" i="13" s="1"/>
  <c r="J87" i="13" s="1"/>
  <c r="J113" i="13" s="1"/>
  <c r="J96" i="13"/>
  <c r="J816" i="13"/>
  <c r="J817" i="13" s="1"/>
  <c r="J843" i="13" s="1"/>
  <c r="J1301" i="13"/>
  <c r="J1302" i="13" s="1"/>
  <c r="J1303" i="13" s="1"/>
  <c r="J1329" i="13" s="1"/>
  <c r="J2473" i="13"/>
  <c r="J2474" i="13"/>
  <c r="J1175" i="13"/>
  <c r="J1044" i="13"/>
  <c r="J2839" i="13"/>
  <c r="J2840" i="13" s="1"/>
  <c r="J3229" i="13"/>
  <c r="J3230" i="13" s="1"/>
  <c r="J1055" i="13"/>
  <c r="J1056" i="13" s="1"/>
  <c r="J1057" i="13" s="1"/>
  <c r="J1083" i="13" s="1"/>
  <c r="J1312" i="13"/>
  <c r="J1963" i="13"/>
  <c r="J1964" i="13" s="1"/>
  <c r="J1965" i="13" s="1"/>
  <c r="J1966" i="13" s="1"/>
  <c r="J1992" i="13" s="1"/>
  <c r="J2113" i="13"/>
  <c r="J2114" i="13" s="1"/>
  <c r="J2325" i="13"/>
  <c r="J2326" i="13" s="1"/>
  <c r="J2352" i="13" s="1"/>
  <c r="J2623" i="13"/>
  <c r="J575" i="13"/>
  <c r="J875" i="13"/>
  <c r="J1116" i="13"/>
  <c r="J1117" i="13" s="1"/>
  <c r="J1143" i="13" s="1"/>
  <c r="J1259" i="13"/>
  <c r="J1785" i="13"/>
  <c r="J1786" i="13" s="1"/>
  <c r="J1812" i="13" s="1"/>
  <c r="J1893" i="13"/>
  <c r="J1975" i="13"/>
  <c r="J406" i="13"/>
  <c r="J161" i="13"/>
  <c r="J210" i="13"/>
  <c r="J209" i="13"/>
  <c r="J211" i="13" s="1"/>
  <c r="J212" i="13" s="1"/>
  <c r="J238" i="13" s="1"/>
  <c r="J635" i="13"/>
  <c r="J1653" i="13"/>
  <c r="J1724" i="13"/>
  <c r="J1725" i="13" s="1"/>
  <c r="J1726" i="13" s="1"/>
  <c r="J1752" i="13" s="1"/>
  <c r="J2745" i="13"/>
  <c r="J2746" i="13" s="1"/>
  <c r="J2772" i="13" s="1"/>
  <c r="J633" i="13"/>
  <c r="J634" i="13" s="1"/>
  <c r="J695" i="13"/>
  <c r="J696" i="13" s="1"/>
  <c r="J697" i="13" s="1"/>
  <c r="J723" i="13" s="1"/>
  <c r="J815" i="13"/>
  <c r="J984" i="13"/>
  <c r="J996" i="13" s="1"/>
  <c r="J997" i="13" s="1"/>
  <c r="J1023" i="13" s="1"/>
  <c r="J1176" i="13"/>
  <c r="J1177" i="13" s="1"/>
  <c r="J1209" i="13" s="1"/>
  <c r="J1299" i="13"/>
  <c r="J1300" i="13" s="1"/>
  <c r="J1359" i="13"/>
  <c r="J1360" i="13" s="1"/>
  <c r="J1602" i="13"/>
  <c r="J1603" i="13" s="1"/>
  <c r="J2144" i="13"/>
  <c r="J2262" i="13"/>
  <c r="J2263" i="13" s="1"/>
  <c r="J2504" i="13"/>
  <c r="J2562" i="13"/>
  <c r="J2563" i="13" s="1"/>
  <c r="J2682" i="13"/>
  <c r="J2683" i="13" s="1"/>
  <c r="J2744" i="13"/>
  <c r="J2870" i="13"/>
  <c r="J2871" i="13" s="1"/>
  <c r="J2872" i="13" s="1"/>
  <c r="J2898" i="13" s="1"/>
  <c r="J2930" i="13"/>
  <c r="J2931" i="13" s="1"/>
  <c r="J2932" i="13" s="1"/>
  <c r="J2958" i="13" s="1"/>
  <c r="J2990" i="13"/>
  <c r="J3050" i="13"/>
  <c r="J3051" i="13" s="1"/>
  <c r="J3052" i="13" s="1"/>
  <c r="J3078" i="13" s="1"/>
  <c r="J3110" i="13"/>
  <c r="J3168" i="13"/>
  <c r="J3169" i="13" s="1"/>
  <c r="J3219" i="13"/>
  <c r="J14" i="13"/>
  <c r="J26" i="13" s="1"/>
  <c r="J27" i="13" s="1"/>
  <c r="J53" i="13" s="1"/>
  <c r="J331" i="13"/>
  <c r="J332" i="13" s="1"/>
  <c r="J358" i="13" s="1"/>
  <c r="J576" i="13"/>
  <c r="J577" i="13" s="1"/>
  <c r="J603" i="13" s="1"/>
  <c r="J2145" i="13"/>
  <c r="J2146" i="13" s="1"/>
  <c r="J2172" i="13" s="1"/>
  <c r="J2373" i="13"/>
  <c r="J2385" i="13" s="1"/>
  <c r="J2386" i="13" s="1"/>
  <c r="J2412" i="13" s="1"/>
  <c r="J2505" i="13"/>
  <c r="J2506" i="13" s="1"/>
  <c r="J2532" i="13" s="1"/>
  <c r="J2991" i="13"/>
  <c r="J2992" i="13" s="1"/>
  <c r="J3018" i="13" s="1"/>
  <c r="J3111" i="13"/>
  <c r="J3112" i="13" s="1"/>
  <c r="J3138" i="13" s="1"/>
  <c r="J146" i="13"/>
  <c r="J147" i="13" s="1"/>
  <c r="J876" i="13"/>
  <c r="J877" i="13" s="1"/>
  <c r="J903" i="13" s="1"/>
  <c r="J936" i="13"/>
  <c r="J937" i="13" s="1"/>
  <c r="J963" i="13" s="1"/>
  <c r="J1242" i="13"/>
  <c r="J1243" i="13" s="1"/>
  <c r="J2264" i="13"/>
  <c r="J3288" i="13"/>
  <c r="J3289" i="13" s="1"/>
  <c r="J636" i="13"/>
  <c r="J637" i="13" s="1"/>
  <c r="J663" i="13" s="1"/>
  <c r="J268" i="13"/>
  <c r="J388" i="13"/>
  <c r="J389" i="13" s="1"/>
  <c r="J453" i="13"/>
  <c r="J1422" i="13"/>
  <c r="J1662" i="13"/>
  <c r="J1663" i="13" s="1"/>
  <c r="J1902" i="13"/>
  <c r="J1903" i="13" s="1"/>
  <c r="J2022" i="13"/>
  <c r="J2204" i="13"/>
  <c r="J2205" i="13" s="1"/>
  <c r="J2206" i="13" s="1"/>
  <c r="J2232" i="13" s="1"/>
  <c r="E35" i="10"/>
  <c r="E57" i="10"/>
  <c r="E54" i="10"/>
  <c r="F28" i="3"/>
  <c r="F27" i="10" s="1"/>
  <c r="C223" i="4"/>
  <c r="F344" i="14"/>
  <c r="I340" i="14"/>
  <c r="F340" i="14"/>
  <c r="H339" i="14"/>
  <c r="E339" i="14"/>
  <c r="N336" i="14"/>
  <c r="K336" i="14"/>
  <c r="F336" i="14"/>
  <c r="M335" i="14"/>
  <c r="J335" i="14"/>
  <c r="E335" i="14"/>
  <c r="O328" i="14"/>
  <c r="O326" i="14" s="1"/>
  <c r="N328" i="14"/>
  <c r="M328" i="14"/>
  <c r="L328" i="14"/>
  <c r="K328" i="14"/>
  <c r="J328" i="14"/>
  <c r="I328" i="14"/>
  <c r="H328" i="14"/>
  <c r="G328" i="14"/>
  <c r="G326" i="14" s="1"/>
  <c r="F328" i="14"/>
  <c r="O327" i="14"/>
  <c r="N327" i="14"/>
  <c r="N326" i="14" s="1"/>
  <c r="M327" i="14"/>
  <c r="L327" i="14"/>
  <c r="K327" i="14"/>
  <c r="K326" i="14" s="1"/>
  <c r="J327" i="14"/>
  <c r="J326" i="14" s="1"/>
  <c r="I327" i="14"/>
  <c r="H327" i="14"/>
  <c r="G327" i="14"/>
  <c r="F327" i="14"/>
  <c r="F326" i="14" s="1"/>
  <c r="L326" i="14"/>
  <c r="I326" i="14"/>
  <c r="H326" i="14"/>
  <c r="E326" i="14"/>
  <c r="I324" i="14"/>
  <c r="H324" i="14"/>
  <c r="H340" i="14" s="1"/>
  <c r="G324" i="14"/>
  <c r="G340" i="14" s="1"/>
  <c r="F324" i="14"/>
  <c r="E324" i="14"/>
  <c r="E340" i="14" s="1"/>
  <c r="I323" i="14"/>
  <c r="I339" i="14" s="1"/>
  <c r="I338" i="14" s="1"/>
  <c r="I344" i="14" s="1"/>
  <c r="H323" i="14"/>
  <c r="G323" i="14"/>
  <c r="F323" i="14"/>
  <c r="F339" i="14" s="1"/>
  <c r="F338" i="14" s="1"/>
  <c r="E323" i="14"/>
  <c r="I322" i="14"/>
  <c r="H322" i="14"/>
  <c r="F322" i="14"/>
  <c r="E322" i="14"/>
  <c r="X320" i="14"/>
  <c r="X336" i="14" s="1"/>
  <c r="W320" i="14"/>
  <c r="W336" i="14" s="1"/>
  <c r="O320" i="14"/>
  <c r="O336" i="14" s="1"/>
  <c r="N320" i="14"/>
  <c r="M320" i="14"/>
  <c r="M336" i="14" s="1"/>
  <c r="L320" i="14"/>
  <c r="L336" i="14" s="1"/>
  <c r="K320" i="14"/>
  <c r="J320" i="14"/>
  <c r="J336" i="14" s="1"/>
  <c r="I320" i="14"/>
  <c r="I336" i="14" s="1"/>
  <c r="H320" i="14"/>
  <c r="H336" i="14" s="1"/>
  <c r="G320" i="14"/>
  <c r="G336" i="14" s="1"/>
  <c r="F320" i="14"/>
  <c r="E320" i="14"/>
  <c r="AE319" i="14"/>
  <c r="T319" i="14"/>
  <c r="S319" i="14"/>
  <c r="O319" i="14"/>
  <c r="N319" i="14"/>
  <c r="N335" i="14" s="1"/>
  <c r="N334" i="14" s="1"/>
  <c r="N343" i="14" s="1"/>
  <c r="M319" i="14"/>
  <c r="L319" i="14"/>
  <c r="K319" i="14"/>
  <c r="K335" i="14" s="1"/>
  <c r="K334" i="14" s="1"/>
  <c r="K343" i="14" s="1"/>
  <c r="J319" i="14"/>
  <c r="I319" i="14"/>
  <c r="I335" i="14" s="1"/>
  <c r="I334" i="14" s="1"/>
  <c r="I343" i="14" s="1"/>
  <c r="H319" i="14"/>
  <c r="H335" i="14" s="1"/>
  <c r="H334" i="14" s="1"/>
  <c r="H343" i="14" s="1"/>
  <c r="G319" i="14"/>
  <c r="F319" i="14"/>
  <c r="F335" i="14" s="1"/>
  <c r="F334" i="14" s="1"/>
  <c r="F343" i="14" s="1"/>
  <c r="E319" i="14"/>
  <c r="N318" i="14"/>
  <c r="M318" i="14"/>
  <c r="K318" i="14"/>
  <c r="J318" i="14"/>
  <c r="I318" i="14"/>
  <c r="H318" i="14"/>
  <c r="E318" i="14"/>
  <c r="J316" i="14"/>
  <c r="J332" i="14" s="1"/>
  <c r="I316" i="14"/>
  <c r="I332" i="14" s="1"/>
  <c r="H316" i="14"/>
  <c r="H332" i="14" s="1"/>
  <c r="G316" i="14"/>
  <c r="G332" i="14" s="1"/>
  <c r="F316" i="14"/>
  <c r="F332" i="14" s="1"/>
  <c r="E316" i="14"/>
  <c r="J315" i="14"/>
  <c r="I315" i="14"/>
  <c r="I331" i="14" s="1"/>
  <c r="H315" i="14"/>
  <c r="H331" i="14" s="1"/>
  <c r="G315" i="14"/>
  <c r="G331" i="14" s="1"/>
  <c r="F315" i="14"/>
  <c r="F331" i="14" s="1"/>
  <c r="F330" i="14" s="1"/>
  <c r="F342" i="14" s="1"/>
  <c r="F345" i="14" s="1"/>
  <c r="E315" i="14"/>
  <c r="E331" i="14" s="1"/>
  <c r="AI312" i="14"/>
  <c r="AI311" i="14"/>
  <c r="AI310" i="14" s="1"/>
  <c r="AH310" i="14"/>
  <c r="AG310" i="14"/>
  <c r="AF310" i="14"/>
  <c r="AE310" i="14"/>
  <c r="AD310" i="14"/>
  <c r="AC310" i="14"/>
  <c r="AB310" i="14"/>
  <c r="AA310" i="14"/>
  <c r="Z310" i="14"/>
  <c r="Y310" i="14"/>
  <c r="X310" i="14"/>
  <c r="W310" i="14"/>
  <c r="V310" i="14"/>
  <c r="U310" i="14"/>
  <c r="T310" i="14"/>
  <c r="S310" i="14"/>
  <c r="R310" i="14"/>
  <c r="Q310" i="14"/>
  <c r="P310" i="14"/>
  <c r="O310" i="14"/>
  <c r="N310" i="14"/>
  <c r="M310" i="14"/>
  <c r="L310" i="14"/>
  <c r="K310" i="14"/>
  <c r="J310" i="14"/>
  <c r="I310" i="14"/>
  <c r="H310" i="14"/>
  <c r="G310" i="14"/>
  <c r="F310" i="14"/>
  <c r="E310" i="14"/>
  <c r="AI309" i="14"/>
  <c r="AI308" i="14"/>
  <c r="AI307" i="14"/>
  <c r="AH307" i="14"/>
  <c r="AG307" i="14"/>
  <c r="AF307" i="14"/>
  <c r="AE307" i="14"/>
  <c r="AD307" i="14"/>
  <c r="AC307" i="14"/>
  <c r="AB307" i="14"/>
  <c r="AA307" i="14"/>
  <c r="Z307" i="14"/>
  <c r="Y307" i="14"/>
  <c r="X307" i="14"/>
  <c r="W307" i="14"/>
  <c r="V307" i="14"/>
  <c r="U307" i="14"/>
  <c r="T307" i="14"/>
  <c r="S307" i="14"/>
  <c r="R307" i="14"/>
  <c r="Q307" i="14"/>
  <c r="P307" i="14"/>
  <c r="O307" i="14"/>
  <c r="N307" i="14"/>
  <c r="M307" i="14"/>
  <c r="L307" i="14"/>
  <c r="K307" i="14"/>
  <c r="J307" i="14"/>
  <c r="I307" i="14"/>
  <c r="H307" i="14"/>
  <c r="G307" i="14"/>
  <c r="F307" i="14"/>
  <c r="E307" i="14"/>
  <c r="AI306" i="14"/>
  <c r="AI305" i="14"/>
  <c r="AI304" i="14" s="1"/>
  <c r="AH304" i="14"/>
  <c r="AG304" i="14"/>
  <c r="AF304" i="14"/>
  <c r="AE304" i="14"/>
  <c r="AD304" i="14"/>
  <c r="AC304" i="14"/>
  <c r="AB304" i="14"/>
  <c r="AA304" i="14"/>
  <c r="Z304" i="14"/>
  <c r="Y304" i="14"/>
  <c r="X304" i="14"/>
  <c r="W304" i="14"/>
  <c r="V304" i="14"/>
  <c r="U304" i="14"/>
  <c r="T304" i="14"/>
  <c r="S304" i="14"/>
  <c r="R304" i="14"/>
  <c r="Q304" i="14"/>
  <c r="P304" i="14"/>
  <c r="O304" i="14"/>
  <c r="N304" i="14"/>
  <c r="M304" i="14"/>
  <c r="L304" i="14"/>
  <c r="K304" i="14"/>
  <c r="J304" i="14"/>
  <c r="I304" i="14"/>
  <c r="H304" i="14"/>
  <c r="G304" i="14"/>
  <c r="F304" i="14"/>
  <c r="E304" i="14"/>
  <c r="AI303" i="14"/>
  <c r="AI301" i="14" s="1"/>
  <c r="AI302" i="14"/>
  <c r="AH301" i="14"/>
  <c r="AG301" i="14"/>
  <c r="AF301" i="14"/>
  <c r="AE301" i="14"/>
  <c r="AD301" i="14"/>
  <c r="AC301" i="14"/>
  <c r="AB301" i="14"/>
  <c r="AA301" i="14"/>
  <c r="Z301" i="14"/>
  <c r="Y301" i="14"/>
  <c r="X301" i="14"/>
  <c r="W301" i="14"/>
  <c r="V301" i="14"/>
  <c r="U301" i="14"/>
  <c r="T301" i="14"/>
  <c r="S301" i="14"/>
  <c r="R301" i="14"/>
  <c r="Q301" i="14"/>
  <c r="P301" i="14"/>
  <c r="O301" i="14"/>
  <c r="N301" i="14"/>
  <c r="M301" i="14"/>
  <c r="L301" i="14"/>
  <c r="K301" i="14"/>
  <c r="J301" i="14"/>
  <c r="I301" i="14"/>
  <c r="H301" i="14"/>
  <c r="G301" i="14"/>
  <c r="F301" i="14"/>
  <c r="E301" i="14"/>
  <c r="P300" i="14"/>
  <c r="AI300" i="14" s="1"/>
  <c r="AH298" i="14"/>
  <c r="AG298" i="14"/>
  <c r="AF298" i="14"/>
  <c r="AE298" i="14"/>
  <c r="AD298" i="14"/>
  <c r="AC298" i="14"/>
  <c r="AB298" i="14"/>
  <c r="AA298" i="14"/>
  <c r="Z298" i="14"/>
  <c r="Y298" i="14"/>
  <c r="X298" i="14"/>
  <c r="W298" i="14"/>
  <c r="V298" i="14"/>
  <c r="U298" i="14"/>
  <c r="T298" i="14"/>
  <c r="S298" i="14"/>
  <c r="R298" i="14"/>
  <c r="Q298" i="14"/>
  <c r="O298" i="14"/>
  <c r="N298" i="14"/>
  <c r="M298" i="14"/>
  <c r="L298" i="14"/>
  <c r="K298" i="14"/>
  <c r="J298" i="14"/>
  <c r="I298" i="14"/>
  <c r="H298" i="14"/>
  <c r="G298" i="14"/>
  <c r="F298" i="14"/>
  <c r="E298" i="14"/>
  <c r="P297" i="14"/>
  <c r="AE320" i="14" s="1"/>
  <c r="AE336" i="14" s="1"/>
  <c r="AI296" i="14"/>
  <c r="P296" i="14"/>
  <c r="AH295" i="14"/>
  <c r="AG295" i="14"/>
  <c r="AF295" i="14"/>
  <c r="AE295" i="14"/>
  <c r="AD295" i="14"/>
  <c r="AC295" i="14"/>
  <c r="AB295" i="14"/>
  <c r="AA295" i="14"/>
  <c r="Z295" i="14"/>
  <c r="Y295" i="14"/>
  <c r="X295" i="14"/>
  <c r="W295" i="14"/>
  <c r="V295" i="14"/>
  <c r="U295" i="14"/>
  <c r="T295" i="14"/>
  <c r="S295" i="14"/>
  <c r="R295" i="14"/>
  <c r="Q295" i="14"/>
  <c r="P295" i="14"/>
  <c r="O295" i="14"/>
  <c r="N295" i="14"/>
  <c r="M295" i="14"/>
  <c r="L295" i="14"/>
  <c r="K295" i="14"/>
  <c r="J295" i="14"/>
  <c r="I295" i="14"/>
  <c r="H295" i="14"/>
  <c r="G295" i="14"/>
  <c r="F295" i="14"/>
  <c r="E295" i="14"/>
  <c r="J292" i="14"/>
  <c r="I292" i="14"/>
  <c r="H292" i="14"/>
  <c r="G292" i="14"/>
  <c r="F292" i="14"/>
  <c r="E292" i="14"/>
  <c r="I291" i="14"/>
  <c r="H291" i="14"/>
  <c r="H290" i="14" s="1"/>
  <c r="G291" i="14"/>
  <c r="G290" i="14" s="1"/>
  <c r="F291" i="14"/>
  <c r="E291" i="14"/>
  <c r="F290" i="14"/>
  <c r="E290" i="14"/>
  <c r="AH288" i="14"/>
  <c r="AG288" i="14"/>
  <c r="AF288" i="14"/>
  <c r="AE288" i="14"/>
  <c r="AE286" i="14" s="1"/>
  <c r="AD288" i="14"/>
  <c r="AC288" i="14"/>
  <c r="AB288" i="14"/>
  <c r="AA288" i="14"/>
  <c r="Z288" i="14"/>
  <c r="Y288" i="14"/>
  <c r="X288" i="14"/>
  <c r="W288" i="14"/>
  <c r="W286" i="14" s="1"/>
  <c r="V288" i="14"/>
  <c r="U288" i="14"/>
  <c r="T288" i="14"/>
  <c r="S288" i="14"/>
  <c r="R288" i="14"/>
  <c r="Q288" i="14"/>
  <c r="P288" i="14"/>
  <c r="O288" i="14"/>
  <c r="O286" i="14" s="1"/>
  <c r="N288" i="14"/>
  <c r="M288" i="14"/>
  <c r="L288" i="14"/>
  <c r="K288" i="14"/>
  <c r="J288" i="14"/>
  <c r="I288" i="14"/>
  <c r="H288" i="14"/>
  <c r="G288" i="14"/>
  <c r="G286" i="14" s="1"/>
  <c r="F288" i="14"/>
  <c r="E288" i="14"/>
  <c r="AH287" i="14"/>
  <c r="AG287" i="14"/>
  <c r="AF287" i="14"/>
  <c r="AE287" i="14"/>
  <c r="AD287" i="14"/>
  <c r="AD286" i="14" s="1"/>
  <c r="AC287" i="14"/>
  <c r="AC286" i="14" s="1"/>
  <c r="AB287" i="14"/>
  <c r="AA287" i="14"/>
  <c r="Z287" i="14"/>
  <c r="Y287" i="14"/>
  <c r="X287" i="14"/>
  <c r="W287" i="14"/>
  <c r="V287" i="14"/>
  <c r="V286" i="14" s="1"/>
  <c r="U287" i="14"/>
  <c r="U286" i="14" s="1"/>
  <c r="T287" i="14"/>
  <c r="S287" i="14"/>
  <c r="R287" i="14"/>
  <c r="Q287" i="14"/>
  <c r="P287" i="14"/>
  <c r="O287" i="14"/>
  <c r="N287" i="14"/>
  <c r="N286" i="14" s="1"/>
  <c r="M287" i="14"/>
  <c r="M286" i="14" s="1"/>
  <c r="L287" i="14"/>
  <c r="K287" i="14"/>
  <c r="J287" i="14"/>
  <c r="I287" i="14"/>
  <c r="H287" i="14"/>
  <c r="G287" i="14"/>
  <c r="F287" i="14"/>
  <c r="F286" i="14" s="1"/>
  <c r="E287" i="14"/>
  <c r="E286" i="14" s="1"/>
  <c r="AH286" i="14"/>
  <c r="AG286" i="14"/>
  <c r="AF286" i="14"/>
  <c r="AB286" i="14"/>
  <c r="AA286" i="14"/>
  <c r="Z286" i="14"/>
  <c r="Y286" i="14"/>
  <c r="X286" i="14"/>
  <c r="T286" i="14"/>
  <c r="S286" i="14"/>
  <c r="R286" i="14"/>
  <c r="Q286" i="14"/>
  <c r="P286" i="14"/>
  <c r="L286" i="14"/>
  <c r="K286" i="14"/>
  <c r="J286" i="14"/>
  <c r="I286" i="14"/>
  <c r="H286" i="14"/>
  <c r="J284" i="14"/>
  <c r="I284" i="14"/>
  <c r="H284" i="14"/>
  <c r="G284" i="14"/>
  <c r="F284" i="14"/>
  <c r="F282" i="14" s="1"/>
  <c r="E284" i="14"/>
  <c r="K283" i="14"/>
  <c r="J283" i="14"/>
  <c r="I283" i="14"/>
  <c r="I282" i="14" s="1"/>
  <c r="H283" i="14"/>
  <c r="G283" i="14"/>
  <c r="F283" i="14"/>
  <c r="E283" i="14"/>
  <c r="E282" i="14" s="1"/>
  <c r="H282" i="14"/>
  <c r="G282" i="14"/>
  <c r="K280" i="14"/>
  <c r="J324" i="14"/>
  <c r="J340" i="14" s="1"/>
  <c r="J279" i="14"/>
  <c r="I278" i="14"/>
  <c r="H278" i="14"/>
  <c r="G278" i="14"/>
  <c r="F278" i="14"/>
  <c r="E278" i="14"/>
  <c r="AI276" i="14"/>
  <c r="AI288" i="14" s="1"/>
  <c r="AI275" i="14"/>
  <c r="AH274" i="14"/>
  <c r="AG274" i="14"/>
  <c r="AF274" i="14"/>
  <c r="AE274" i="14"/>
  <c r="AD274" i="14"/>
  <c r="AC274" i="14"/>
  <c r="AB274" i="14"/>
  <c r="AA274" i="14"/>
  <c r="Z274" i="14"/>
  <c r="Y274" i="14"/>
  <c r="X274" i="14"/>
  <c r="W274" i="14"/>
  <c r="V274" i="14"/>
  <c r="U274" i="14"/>
  <c r="T274" i="14"/>
  <c r="S274" i="14"/>
  <c r="R274" i="14"/>
  <c r="Q274" i="14"/>
  <c r="P274" i="14"/>
  <c r="O274" i="14"/>
  <c r="N274" i="14"/>
  <c r="M274" i="14"/>
  <c r="L274" i="14"/>
  <c r="K274" i="14"/>
  <c r="J274" i="14"/>
  <c r="I274" i="14"/>
  <c r="H274" i="14"/>
  <c r="G274" i="14"/>
  <c r="F274" i="14"/>
  <c r="E274" i="14"/>
  <c r="AI272" i="14"/>
  <c r="AI271" i="14"/>
  <c r="AI270" i="14" s="1"/>
  <c r="AH270" i="14"/>
  <c r="AG270" i="14"/>
  <c r="AF270" i="14"/>
  <c r="AE270" i="14"/>
  <c r="AD270" i="14"/>
  <c r="AC270" i="14"/>
  <c r="AB270" i="14"/>
  <c r="AA270" i="14"/>
  <c r="Z270" i="14"/>
  <c r="Y270" i="14"/>
  <c r="X270" i="14"/>
  <c r="W270" i="14"/>
  <c r="V270" i="14"/>
  <c r="U270" i="14"/>
  <c r="T270" i="14"/>
  <c r="S270" i="14"/>
  <c r="R270" i="14"/>
  <c r="Q270" i="14"/>
  <c r="P270" i="14"/>
  <c r="O270" i="14"/>
  <c r="N270" i="14"/>
  <c r="M270" i="14"/>
  <c r="L270" i="14"/>
  <c r="K270" i="14"/>
  <c r="J270" i="14"/>
  <c r="I270" i="14"/>
  <c r="H270" i="14"/>
  <c r="G270" i="14"/>
  <c r="F270" i="14"/>
  <c r="E270" i="14"/>
  <c r="AI268" i="14"/>
  <c r="AI267" i="14"/>
  <c r="AI266" i="14" s="1"/>
  <c r="AH266" i="14"/>
  <c r="AG266" i="14"/>
  <c r="AF266" i="14"/>
  <c r="AE266" i="14"/>
  <c r="AD266" i="14"/>
  <c r="AC266" i="14"/>
  <c r="AB266" i="14"/>
  <c r="AA266" i="14"/>
  <c r="Z266" i="14"/>
  <c r="Y266" i="14"/>
  <c r="X266" i="14"/>
  <c r="W266" i="14"/>
  <c r="V266" i="14"/>
  <c r="U266" i="14"/>
  <c r="T266" i="14"/>
  <c r="S266" i="14"/>
  <c r="R266" i="14"/>
  <c r="Q266" i="14"/>
  <c r="P266" i="14"/>
  <c r="O266" i="14"/>
  <c r="N266" i="14"/>
  <c r="M266" i="14"/>
  <c r="L266" i="14"/>
  <c r="K266" i="14"/>
  <c r="J266" i="14"/>
  <c r="I266" i="14"/>
  <c r="H266" i="14"/>
  <c r="G266" i="14"/>
  <c r="F266" i="14"/>
  <c r="E266" i="14"/>
  <c r="K263" i="14"/>
  <c r="J263" i="14"/>
  <c r="J262" i="14"/>
  <c r="I262" i="14"/>
  <c r="H262" i="14"/>
  <c r="G262" i="14"/>
  <c r="F262" i="14"/>
  <c r="E262" i="14"/>
  <c r="G255" i="14"/>
  <c r="H255" i="14" s="1"/>
  <c r="I255" i="14" s="1"/>
  <c r="J255" i="14" s="1"/>
  <c r="K255" i="14" s="1"/>
  <c r="L255" i="14" s="1"/>
  <c r="M255" i="14" s="1"/>
  <c r="N255" i="14" s="1"/>
  <c r="O255" i="14" s="1"/>
  <c r="P255" i="14" s="1"/>
  <c r="Q255" i="14" s="1"/>
  <c r="R255" i="14" s="1"/>
  <c r="S255" i="14" s="1"/>
  <c r="T255" i="14" s="1"/>
  <c r="U255" i="14" s="1"/>
  <c r="V255" i="14" s="1"/>
  <c r="W255" i="14" s="1"/>
  <c r="X255" i="14" s="1"/>
  <c r="Y255" i="14" s="1"/>
  <c r="Z255" i="14" s="1"/>
  <c r="AA255" i="14" s="1"/>
  <c r="AB255" i="14" s="1"/>
  <c r="AC255" i="14" s="1"/>
  <c r="AD255" i="14" s="1"/>
  <c r="AE255" i="14" s="1"/>
  <c r="AF255" i="14" s="1"/>
  <c r="AG255" i="14" s="1"/>
  <c r="AH255" i="14" s="1"/>
  <c r="F255" i="14"/>
  <c r="J282" i="14" l="1"/>
  <c r="H330" i="14"/>
  <c r="H342" i="14" s="1"/>
  <c r="G330" i="14"/>
  <c r="G342" i="14" s="1"/>
  <c r="F314" i="14"/>
  <c r="G314" i="14"/>
  <c r="J1084" i="13"/>
  <c r="J1085" i="13" s="1"/>
  <c r="J724" i="13"/>
  <c r="J725" i="13" s="1"/>
  <c r="J114" i="13"/>
  <c r="J115" i="13" s="1"/>
  <c r="J2625" i="13"/>
  <c r="J2626" i="13" s="1"/>
  <c r="J2652" i="13" s="1"/>
  <c r="J1574" i="13"/>
  <c r="J1573" i="13"/>
  <c r="J239" i="13"/>
  <c r="J240" i="13"/>
  <c r="J2413" i="13"/>
  <c r="J2414" i="13" s="1"/>
  <c r="J2959" i="13"/>
  <c r="J2960" i="13"/>
  <c r="J1514" i="13"/>
  <c r="J1513" i="13"/>
  <c r="J2233" i="13"/>
  <c r="J2234" i="13" s="1"/>
  <c r="J3079" i="13"/>
  <c r="J3080" i="13" s="1"/>
  <c r="J2899" i="13"/>
  <c r="J2900" i="13" s="1"/>
  <c r="J1754" i="13"/>
  <c r="J1753" i="13"/>
  <c r="J784" i="13"/>
  <c r="J785" i="13" s="1"/>
  <c r="J54" i="13"/>
  <c r="J55" i="13" s="1"/>
  <c r="J1993" i="13"/>
  <c r="J1994" i="13"/>
  <c r="J3231" i="13"/>
  <c r="J3232" i="13" s="1"/>
  <c r="J3258" i="13" s="1"/>
  <c r="J1330" i="13"/>
  <c r="J1331" i="13" s="1"/>
  <c r="J1024" i="13"/>
  <c r="J1025" i="13" s="1"/>
  <c r="J1144" i="13"/>
  <c r="J1145" i="13" s="1"/>
  <c r="J454" i="13"/>
  <c r="J2564" i="13"/>
  <c r="J2565" i="13" s="1"/>
  <c r="J2566" i="13" s="1"/>
  <c r="J2592" i="13" s="1"/>
  <c r="J2684" i="13"/>
  <c r="J2685" i="13" s="1"/>
  <c r="J2686" i="13" s="1"/>
  <c r="J2712" i="13" s="1"/>
  <c r="J1361" i="13"/>
  <c r="J604" i="13"/>
  <c r="J605" i="13" s="1"/>
  <c r="J1423" i="13"/>
  <c r="J1424" i="13" s="1"/>
  <c r="J1425" i="13" s="1"/>
  <c r="J1426" i="13" s="1"/>
  <c r="J1452" i="13" s="1"/>
  <c r="J2624" i="13"/>
  <c r="J1210" i="13"/>
  <c r="J1211" i="13" s="1"/>
  <c r="J1362" i="13"/>
  <c r="J1363" i="13" s="1"/>
  <c r="J1392" i="13" s="1"/>
  <c r="J390" i="13"/>
  <c r="J2353" i="13"/>
  <c r="J2354" i="13"/>
  <c r="J3140" i="13"/>
  <c r="J3139" i="13"/>
  <c r="J3290" i="13"/>
  <c r="J269" i="13"/>
  <c r="J270" i="13" s="1"/>
  <c r="J271" i="13"/>
  <c r="J272" i="13" s="1"/>
  <c r="J298" i="13" s="1"/>
  <c r="J1269" i="13"/>
  <c r="J2533" i="13"/>
  <c r="J2534" i="13" s="1"/>
  <c r="J3170" i="13"/>
  <c r="J3171" i="13" s="1"/>
  <c r="J3172" i="13" s="1"/>
  <c r="J3198" i="13" s="1"/>
  <c r="J1604" i="13"/>
  <c r="J844" i="13"/>
  <c r="J845" i="13" s="1"/>
  <c r="J964" i="13"/>
  <c r="J965" i="13" s="1"/>
  <c r="J664" i="13"/>
  <c r="J665" i="13" s="1"/>
  <c r="J359" i="13"/>
  <c r="J360" i="13" s="1"/>
  <c r="J2023" i="13"/>
  <c r="J2024" i="13" s="1"/>
  <c r="J2025" i="13"/>
  <c r="J2026" i="13" s="1"/>
  <c r="J2052" i="13" s="1"/>
  <c r="J905" i="13"/>
  <c r="J904" i="13"/>
  <c r="J2173" i="13"/>
  <c r="J2174" i="13" s="1"/>
  <c r="J1813" i="13"/>
  <c r="J1814" i="13"/>
  <c r="J2265" i="13"/>
  <c r="J2266" i="13" s="1"/>
  <c r="J2292" i="13" s="1"/>
  <c r="J515" i="13"/>
  <c r="J516" i="13" s="1"/>
  <c r="J517" i="13" s="1"/>
  <c r="J543" i="13" s="1"/>
  <c r="J391" i="13"/>
  <c r="J392" i="13" s="1"/>
  <c r="J423" i="13" s="1"/>
  <c r="J2773" i="13"/>
  <c r="J2774" i="13" s="1"/>
  <c r="J3019" i="13"/>
  <c r="J3020" i="13" s="1"/>
  <c r="J1605" i="13"/>
  <c r="J1606" i="13" s="1"/>
  <c r="J1632" i="13" s="1"/>
  <c r="J178" i="13"/>
  <c r="J1664" i="13"/>
  <c r="J1665" i="13" s="1"/>
  <c r="J1666" i="13" s="1"/>
  <c r="J1692" i="13" s="1"/>
  <c r="J1904" i="13"/>
  <c r="J1905" i="13" s="1"/>
  <c r="J1906" i="13" s="1"/>
  <c r="J1932" i="13" s="1"/>
  <c r="J3291" i="13"/>
  <c r="J3292" i="13" s="1"/>
  <c r="J3318" i="13" s="1"/>
  <c r="H345" i="14"/>
  <c r="G335" i="14"/>
  <c r="G334" i="14" s="1"/>
  <c r="G343" i="14" s="1"/>
  <c r="G318" i="14"/>
  <c r="O335" i="14"/>
  <c r="O334" i="14" s="1"/>
  <c r="O343" i="14" s="1"/>
  <c r="O318" i="14"/>
  <c r="J278" i="14"/>
  <c r="J323" i="14"/>
  <c r="J291" i="14"/>
  <c r="J290" i="14" s="1"/>
  <c r="L263" i="14"/>
  <c r="K315" i="14"/>
  <c r="AI287" i="14"/>
  <c r="AI286" i="14" s="1"/>
  <c r="AI274" i="14"/>
  <c r="E348" i="14"/>
  <c r="I330" i="14"/>
  <c r="I342" i="14" s="1"/>
  <c r="I345" i="14" s="1"/>
  <c r="T335" i="14"/>
  <c r="T334" i="14" s="1"/>
  <c r="T343" i="14" s="1"/>
  <c r="T318" i="14"/>
  <c r="G339" i="14"/>
  <c r="G338" i="14" s="1"/>
  <c r="G344" i="14" s="1"/>
  <c r="G322" i="14"/>
  <c r="K279" i="14"/>
  <c r="S335" i="14"/>
  <c r="S318" i="14"/>
  <c r="I290" i="14"/>
  <c r="H314" i="14"/>
  <c r="J331" i="14"/>
  <c r="J330" i="14" s="1"/>
  <c r="J342" i="14" s="1"/>
  <c r="J314" i="14"/>
  <c r="AE335" i="14"/>
  <c r="AE334" i="14" s="1"/>
  <c r="AE343" i="14" s="1"/>
  <c r="AE318" i="14"/>
  <c r="I314" i="14"/>
  <c r="F346" i="14"/>
  <c r="F349" i="14"/>
  <c r="K324" i="14"/>
  <c r="K340" i="14" s="1"/>
  <c r="L280" i="14"/>
  <c r="K292" i="14"/>
  <c r="E336" i="14"/>
  <c r="AB320" i="14"/>
  <c r="AB336" i="14" s="1"/>
  <c r="M326" i="14"/>
  <c r="E338" i="14"/>
  <c r="E344" i="14" s="1"/>
  <c r="AC319" i="14"/>
  <c r="U319" i="14"/>
  <c r="AH319" i="14"/>
  <c r="Z319" i="14"/>
  <c r="R319" i="14"/>
  <c r="P327" i="14"/>
  <c r="AG319" i="14"/>
  <c r="Y319" i="14"/>
  <c r="Q319" i="14"/>
  <c r="AF319" i="14"/>
  <c r="X319" i="14"/>
  <c r="AI319" i="14" s="1"/>
  <c r="P319" i="14"/>
  <c r="F318" i="14"/>
  <c r="V319" i="14"/>
  <c r="AC320" i="14"/>
  <c r="AC336" i="14" s="1"/>
  <c r="E334" i="14"/>
  <c r="E343" i="14" s="1"/>
  <c r="H338" i="14"/>
  <c r="H344" i="14" s="1"/>
  <c r="E332" i="14"/>
  <c r="W319" i="14"/>
  <c r="J334" i="14"/>
  <c r="J343" i="14" s="1"/>
  <c r="AD320" i="14"/>
  <c r="AD336" i="14" s="1"/>
  <c r="V320" i="14"/>
  <c r="V336" i="14" s="1"/>
  <c r="AA320" i="14"/>
  <c r="AA336" i="14" s="1"/>
  <c r="S320" i="14"/>
  <c r="S336" i="14" s="1"/>
  <c r="AH320" i="14"/>
  <c r="AH336" i="14" s="1"/>
  <c r="Z320" i="14"/>
  <c r="Z336" i="14" s="1"/>
  <c r="R320" i="14"/>
  <c r="R336" i="14" s="1"/>
  <c r="AG320" i="14"/>
  <c r="AG336" i="14" s="1"/>
  <c r="Y320" i="14"/>
  <c r="Y336" i="14" s="1"/>
  <c r="Q320" i="14"/>
  <c r="Q336" i="14" s="1"/>
  <c r="L335" i="14"/>
  <c r="L334" i="14" s="1"/>
  <c r="L343" i="14" s="1"/>
  <c r="L318" i="14"/>
  <c r="AA319" i="14"/>
  <c r="P320" i="14"/>
  <c r="P336" i="14" s="1"/>
  <c r="AF320" i="14"/>
  <c r="AF336" i="14" s="1"/>
  <c r="M334" i="14"/>
  <c r="M343" i="14" s="1"/>
  <c r="K264" i="14"/>
  <c r="K262" i="14" s="1"/>
  <c r="AI297" i="14"/>
  <c r="AI295" i="14" s="1"/>
  <c r="P299" i="14"/>
  <c r="E314" i="14"/>
  <c r="AB319" i="14"/>
  <c r="T320" i="14"/>
  <c r="T336" i="14" s="1"/>
  <c r="P328" i="14"/>
  <c r="Q328" i="14" s="1"/>
  <c r="R328" i="14" s="1"/>
  <c r="S328" i="14" s="1"/>
  <c r="T328" i="14" s="1"/>
  <c r="U328" i="14" s="1"/>
  <c r="V328" i="14" s="1"/>
  <c r="W328" i="14" s="1"/>
  <c r="X328" i="14" s="1"/>
  <c r="Y328" i="14" s="1"/>
  <c r="Z328" i="14" s="1"/>
  <c r="AA328" i="14" s="1"/>
  <c r="AB328" i="14" s="1"/>
  <c r="AC328" i="14" s="1"/>
  <c r="AD328" i="14" s="1"/>
  <c r="AE328" i="14" s="1"/>
  <c r="AF328" i="14" s="1"/>
  <c r="AG328" i="14" s="1"/>
  <c r="AH328" i="14" s="1"/>
  <c r="AD319" i="14"/>
  <c r="U320" i="14"/>
  <c r="U336" i="14" s="1"/>
  <c r="G345" i="14" l="1"/>
  <c r="J1453" i="13"/>
  <c r="J1454" i="13" s="1"/>
  <c r="J1693" i="13"/>
  <c r="J1694" i="13" s="1"/>
  <c r="J1933" i="13"/>
  <c r="J1934" i="13" s="1"/>
  <c r="J456" i="13"/>
  <c r="J457" i="13" s="1"/>
  <c r="J483" i="13" s="1"/>
  <c r="J424" i="13"/>
  <c r="J425" i="13" s="1"/>
  <c r="J1270" i="13"/>
  <c r="J1271" i="13" s="1"/>
  <c r="J3319" i="13"/>
  <c r="J3320" i="13" s="1"/>
  <c r="J2653" i="13"/>
  <c r="J2654" i="13" s="1"/>
  <c r="J180" i="13"/>
  <c r="J179" i="13"/>
  <c r="J299" i="13"/>
  <c r="J300" i="13" s="1"/>
  <c r="J1393" i="13"/>
  <c r="J1394" i="13" s="1"/>
  <c r="J1633" i="13"/>
  <c r="J1634" i="13" s="1"/>
  <c r="J2714" i="13"/>
  <c r="J2713" i="13"/>
  <c r="J544" i="13"/>
  <c r="J545" i="13" s="1"/>
  <c r="J2293" i="13"/>
  <c r="J2294" i="13" s="1"/>
  <c r="J2593" i="13"/>
  <c r="J2594" i="13" s="1"/>
  <c r="J3200" i="13"/>
  <c r="J3199" i="13"/>
  <c r="J2053" i="13"/>
  <c r="J2054" i="13" s="1"/>
  <c r="J455" i="13"/>
  <c r="J3259" i="13"/>
  <c r="J3260" i="13" s="1"/>
  <c r="AI336" i="14"/>
  <c r="J339" i="14"/>
  <c r="J322" i="14"/>
  <c r="Q335" i="14"/>
  <c r="Q334" i="14" s="1"/>
  <c r="Q343" i="14" s="1"/>
  <c r="Q318" i="14"/>
  <c r="I346" i="14"/>
  <c r="I349" i="14"/>
  <c r="AA335" i="14"/>
  <c r="AA334" i="14" s="1"/>
  <c r="AA343" i="14" s="1"/>
  <c r="AA318" i="14"/>
  <c r="Y335" i="14"/>
  <c r="Y334" i="14" s="1"/>
  <c r="Y343" i="14" s="1"/>
  <c r="Y318" i="14"/>
  <c r="L324" i="14"/>
  <c r="M280" i="14"/>
  <c r="L292" i="14"/>
  <c r="AI320" i="14"/>
  <c r="AI318" i="14" s="1"/>
  <c r="U335" i="14"/>
  <c r="U334" i="14" s="1"/>
  <c r="U343" i="14" s="1"/>
  <c r="U318" i="14"/>
  <c r="AC318" i="14"/>
  <c r="AC335" i="14"/>
  <c r="AC334" i="14" s="1"/>
  <c r="AC343" i="14" s="1"/>
  <c r="AB335" i="14"/>
  <c r="AB334" i="14" s="1"/>
  <c r="AB343" i="14" s="1"/>
  <c r="AB318" i="14"/>
  <c r="AI328" i="14"/>
  <c r="W335" i="14"/>
  <c r="W334" i="14" s="1"/>
  <c r="W343" i="14" s="1"/>
  <c r="W318" i="14"/>
  <c r="V335" i="14"/>
  <c r="V334" i="14" s="1"/>
  <c r="V343" i="14" s="1"/>
  <c r="V318" i="14"/>
  <c r="AG335" i="14"/>
  <c r="AG334" i="14" s="1"/>
  <c r="AG343" i="14" s="1"/>
  <c r="AG318" i="14"/>
  <c r="S334" i="14"/>
  <c r="S343" i="14" s="1"/>
  <c r="AH318" i="14"/>
  <c r="AH335" i="14"/>
  <c r="AH334" i="14" s="1"/>
  <c r="AH343" i="14" s="1"/>
  <c r="AF335" i="14"/>
  <c r="AF334" i="14" s="1"/>
  <c r="AF343" i="14" s="1"/>
  <c r="AF318" i="14"/>
  <c r="AI299" i="14"/>
  <c r="AI298" i="14" s="1"/>
  <c r="P298" i="14"/>
  <c r="Q327" i="14"/>
  <c r="P326" i="14"/>
  <c r="R335" i="14"/>
  <c r="R334" i="14" s="1"/>
  <c r="R343" i="14" s="1"/>
  <c r="R318" i="14"/>
  <c r="K331" i="14"/>
  <c r="K323" i="14"/>
  <c r="K291" i="14"/>
  <c r="K290" i="14" s="1"/>
  <c r="L279" i="14"/>
  <c r="K278" i="14"/>
  <c r="AD335" i="14"/>
  <c r="AD334" i="14" s="1"/>
  <c r="AD343" i="14" s="1"/>
  <c r="AD318" i="14"/>
  <c r="L264" i="14"/>
  <c r="K316" i="14"/>
  <c r="K314" i="14" s="1"/>
  <c r="K284" i="14"/>
  <c r="K282" i="14" s="1"/>
  <c r="E330" i="14"/>
  <c r="E342" i="14" s="1"/>
  <c r="E345" i="14" s="1"/>
  <c r="P335" i="14"/>
  <c r="P318" i="14"/>
  <c r="Z335" i="14"/>
  <c r="Z334" i="14" s="1"/>
  <c r="Z343" i="14" s="1"/>
  <c r="Z318" i="14"/>
  <c r="M263" i="14"/>
  <c r="L315" i="14"/>
  <c r="L283" i="14"/>
  <c r="X335" i="14"/>
  <c r="X334" i="14" s="1"/>
  <c r="X343" i="14" s="1"/>
  <c r="X318" i="14"/>
  <c r="H346" i="14"/>
  <c r="H349" i="14"/>
  <c r="G349" i="14" l="1"/>
  <c r="G346" i="14"/>
  <c r="J484" i="13"/>
  <c r="J485" i="13" s="1"/>
  <c r="N263" i="14"/>
  <c r="M315" i="14"/>
  <c r="M283" i="14"/>
  <c r="K332" i="14"/>
  <c r="K330" i="14" s="1"/>
  <c r="K342" i="14" s="1"/>
  <c r="R327" i="14"/>
  <c r="Q326" i="14"/>
  <c r="J338" i="14"/>
  <c r="J344" i="14" s="1"/>
  <c r="J345" i="14" s="1"/>
  <c r="E346" i="14"/>
  <c r="E349" i="14"/>
  <c r="M324" i="14"/>
  <c r="M340" i="14" s="1"/>
  <c r="N280" i="14"/>
  <c r="M292" i="14"/>
  <c r="L340" i="14"/>
  <c r="L331" i="14"/>
  <c r="L316" i="14"/>
  <c r="L332" i="14" s="1"/>
  <c r="L284" i="14"/>
  <c r="L282" i="14" s="1"/>
  <c r="M264" i="14"/>
  <c r="K339" i="14"/>
  <c r="K338" i="14" s="1"/>
  <c r="K344" i="14" s="1"/>
  <c r="K322" i="14"/>
  <c r="L262" i="14"/>
  <c r="P334" i="14"/>
  <c r="P343" i="14" s="1"/>
  <c r="AI335" i="14"/>
  <c r="AI334" i="14" s="1"/>
  <c r="L323" i="14"/>
  <c r="L291" i="14"/>
  <c r="L290" i="14" s="1"/>
  <c r="L278" i="14"/>
  <c r="M279" i="14"/>
  <c r="R326" i="14" l="1"/>
  <c r="S327" i="14"/>
  <c r="L314" i="14"/>
  <c r="M323" i="14"/>
  <c r="M291" i="14"/>
  <c r="M290" i="14" s="1"/>
  <c r="N279" i="14"/>
  <c r="M278" i="14"/>
  <c r="L339" i="14"/>
  <c r="L338" i="14" s="1"/>
  <c r="L344" i="14" s="1"/>
  <c r="L322" i="14"/>
  <c r="L330" i="14"/>
  <c r="L342" i="14" s="1"/>
  <c r="M316" i="14"/>
  <c r="M332" i="14" s="1"/>
  <c r="M284" i="14"/>
  <c r="M282" i="14" s="1"/>
  <c r="N264" i="14"/>
  <c r="K345" i="14"/>
  <c r="M262" i="14"/>
  <c r="J349" i="14"/>
  <c r="J346" i="14"/>
  <c r="M331" i="14"/>
  <c r="N324" i="14"/>
  <c r="N340" i="14" s="1"/>
  <c r="N292" i="14"/>
  <c r="O280" i="14"/>
  <c r="N315" i="14"/>
  <c r="N283" i="14"/>
  <c r="N262" i="14"/>
  <c r="O263" i="14"/>
  <c r="L345" i="14" l="1"/>
  <c r="O324" i="14"/>
  <c r="O340" i="14" s="1"/>
  <c r="O292" i="14"/>
  <c r="P280" i="14"/>
  <c r="M339" i="14"/>
  <c r="M322" i="14"/>
  <c r="O315" i="14"/>
  <c r="O283" i="14"/>
  <c r="P263" i="14"/>
  <c r="M330" i="14"/>
  <c r="M342" i="14" s="1"/>
  <c r="K346" i="14"/>
  <c r="K349" i="14"/>
  <c r="T327" i="14"/>
  <c r="S326" i="14"/>
  <c r="N291" i="14"/>
  <c r="N290" i="14" s="1"/>
  <c r="O279" i="14"/>
  <c r="N323" i="14"/>
  <c r="N278" i="14"/>
  <c r="M314" i="14"/>
  <c r="N331" i="14"/>
  <c r="N316" i="14"/>
  <c r="N332" i="14" s="1"/>
  <c r="N284" i="14"/>
  <c r="N282" i="14" s="1"/>
  <c r="O264" i="14"/>
  <c r="O262" i="14" s="1"/>
  <c r="L349" i="14" l="1"/>
  <c r="L346" i="14"/>
  <c r="N314" i="14"/>
  <c r="N330" i="14"/>
  <c r="N342" i="14" s="1"/>
  <c r="M338" i="14"/>
  <c r="M344" i="14" s="1"/>
  <c r="P279" i="14"/>
  <c r="O323" i="14"/>
  <c r="O291" i="14"/>
  <c r="O290" i="14" s="1"/>
  <c r="O278" i="14"/>
  <c r="P283" i="14"/>
  <c r="P262" i="14"/>
  <c r="Q263" i="14"/>
  <c r="P315" i="14"/>
  <c r="P324" i="14"/>
  <c r="P292" i="14"/>
  <c r="Q280" i="14"/>
  <c r="U327" i="14"/>
  <c r="T326" i="14"/>
  <c r="O331" i="14"/>
  <c r="O316" i="14"/>
  <c r="O314" i="14" s="1"/>
  <c r="O284" i="14"/>
  <c r="O282" i="14" s="1"/>
  <c r="P264" i="14"/>
  <c r="N339" i="14"/>
  <c r="N338" i="14" s="1"/>
  <c r="N344" i="14" s="1"/>
  <c r="N322" i="14"/>
  <c r="M345" i="14"/>
  <c r="N345" i="14" l="1"/>
  <c r="M346" i="14"/>
  <c r="M349" i="14"/>
  <c r="R263" i="14"/>
  <c r="Q315" i="14"/>
  <c r="Q262" i="14"/>
  <c r="Q283" i="14"/>
  <c r="N346" i="14"/>
  <c r="N349" i="14"/>
  <c r="P316" i="14"/>
  <c r="P332" i="14" s="1"/>
  <c r="P284" i="14"/>
  <c r="Q264" i="14"/>
  <c r="U326" i="14"/>
  <c r="V327" i="14"/>
  <c r="P340" i="14"/>
  <c r="P323" i="14"/>
  <c r="P278" i="14"/>
  <c r="P291" i="14"/>
  <c r="P290" i="14" s="1"/>
  <c r="Q279" i="14"/>
  <c r="P331" i="14"/>
  <c r="P330" i="14" s="1"/>
  <c r="P342" i="14" s="1"/>
  <c r="P314" i="14"/>
  <c r="P282" i="14"/>
  <c r="Q324" i="14"/>
  <c r="Q340" i="14" s="1"/>
  <c r="R280" i="14"/>
  <c r="Q292" i="14"/>
  <c r="O332" i="14"/>
  <c r="O330" i="14" s="1"/>
  <c r="O342" i="14" s="1"/>
  <c r="O339" i="14"/>
  <c r="O322" i="14"/>
  <c r="V326" i="14" l="1"/>
  <c r="W327" i="14"/>
  <c r="Q282" i="14"/>
  <c r="P339" i="14"/>
  <c r="P338" i="14" s="1"/>
  <c r="P344" i="14" s="1"/>
  <c r="P345" i="14" s="1"/>
  <c r="P322" i="14"/>
  <c r="O338" i="14"/>
  <c r="O344" i="14" s="1"/>
  <c r="O345" i="14" s="1"/>
  <c r="Q331" i="14"/>
  <c r="Q330" i="14" s="1"/>
  <c r="Q342" i="14" s="1"/>
  <c r="R324" i="14"/>
  <c r="R340" i="14" s="1"/>
  <c r="R292" i="14"/>
  <c r="S280" i="14"/>
  <c r="Q323" i="14"/>
  <c r="Q278" i="14"/>
  <c r="Q291" i="14"/>
  <c r="Q290" i="14" s="1"/>
  <c r="R279" i="14"/>
  <c r="Q284" i="14"/>
  <c r="R264" i="14"/>
  <c r="Q316" i="14"/>
  <c r="Q332" i="14" s="1"/>
  <c r="S263" i="14"/>
  <c r="R283" i="14"/>
  <c r="R262" i="14"/>
  <c r="R315" i="14"/>
  <c r="Q314" i="14" l="1"/>
  <c r="R323" i="14"/>
  <c r="R278" i="14"/>
  <c r="R291" i="14"/>
  <c r="R290" i="14" s="1"/>
  <c r="S279" i="14"/>
  <c r="Q339" i="14"/>
  <c r="Q338" i="14" s="1"/>
  <c r="Q344" i="14" s="1"/>
  <c r="Q345" i="14" s="1"/>
  <c r="Q322" i="14"/>
  <c r="R331" i="14"/>
  <c r="R314" i="14"/>
  <c r="O349" i="14"/>
  <c r="O346" i="14"/>
  <c r="T263" i="14"/>
  <c r="S315" i="14"/>
  <c r="S283" i="14"/>
  <c r="S262" i="14"/>
  <c r="P346" i="14"/>
  <c r="P349" i="14"/>
  <c r="T280" i="14"/>
  <c r="S292" i="14"/>
  <c r="S324" i="14"/>
  <c r="S340" i="14" s="1"/>
  <c r="S264" i="14"/>
  <c r="R316" i="14"/>
  <c r="R332" i="14" s="1"/>
  <c r="R284" i="14"/>
  <c r="R282" i="14" s="1"/>
  <c r="W326" i="14"/>
  <c r="X327" i="14"/>
  <c r="R330" i="14" l="1"/>
  <c r="R342" i="14" s="1"/>
  <c r="Q346" i="14"/>
  <c r="Q349" i="14"/>
  <c r="R339" i="14"/>
  <c r="R338" i="14" s="1"/>
  <c r="R344" i="14" s="1"/>
  <c r="R322" i="14"/>
  <c r="T264" i="14"/>
  <c r="S316" i="14"/>
  <c r="S332" i="14" s="1"/>
  <c r="S284" i="14"/>
  <c r="S282" i="14" s="1"/>
  <c r="U263" i="14"/>
  <c r="T315" i="14"/>
  <c r="T283" i="14"/>
  <c r="Y327" i="14"/>
  <c r="X326" i="14"/>
  <c r="S331" i="14"/>
  <c r="S314" i="14"/>
  <c r="S323" i="14"/>
  <c r="S291" i="14"/>
  <c r="S290" i="14" s="1"/>
  <c r="T279" i="14"/>
  <c r="S278" i="14"/>
  <c r="T324" i="14"/>
  <c r="T340" i="14" s="1"/>
  <c r="U280" i="14"/>
  <c r="T292" i="14"/>
  <c r="R345" i="14" l="1"/>
  <c r="R349" i="14"/>
  <c r="S339" i="14"/>
  <c r="S338" i="14" s="1"/>
  <c r="S344" i="14" s="1"/>
  <c r="S322" i="14"/>
  <c r="V263" i="14"/>
  <c r="U315" i="14"/>
  <c r="U283" i="14"/>
  <c r="S330" i="14"/>
  <c r="S342" i="14" s="1"/>
  <c r="S345" i="14" s="1"/>
  <c r="T331" i="14"/>
  <c r="T330" i="14" s="1"/>
  <c r="T342" i="14" s="1"/>
  <c r="U324" i="14"/>
  <c r="U340" i="14" s="1"/>
  <c r="V280" i="14"/>
  <c r="U292" i="14"/>
  <c r="T316" i="14"/>
  <c r="T332" i="14" s="1"/>
  <c r="U264" i="14"/>
  <c r="T284" i="14"/>
  <c r="T282" i="14" s="1"/>
  <c r="Z327" i="14"/>
  <c r="Y326" i="14"/>
  <c r="T323" i="14"/>
  <c r="T291" i="14"/>
  <c r="T290" i="14" s="1"/>
  <c r="U279" i="14"/>
  <c r="T278" i="14"/>
  <c r="T262" i="14"/>
  <c r="R346" i="14" l="1"/>
  <c r="V324" i="14"/>
  <c r="V340" i="14" s="1"/>
  <c r="V292" i="14"/>
  <c r="W280" i="14"/>
  <c r="V315" i="14"/>
  <c r="V283" i="14"/>
  <c r="W263" i="14"/>
  <c r="S346" i="14"/>
  <c r="S349" i="14"/>
  <c r="U323" i="14"/>
  <c r="U291" i="14"/>
  <c r="U290" i="14" s="1"/>
  <c r="V279" i="14"/>
  <c r="U278" i="14"/>
  <c r="T339" i="14"/>
  <c r="T338" i="14" s="1"/>
  <c r="T344" i="14" s="1"/>
  <c r="T345" i="14" s="1"/>
  <c r="T322" i="14"/>
  <c r="U331" i="14"/>
  <c r="T314" i="14"/>
  <c r="Z326" i="14"/>
  <c r="AA327" i="14"/>
  <c r="U316" i="14"/>
  <c r="U332" i="14" s="1"/>
  <c r="U284" i="14"/>
  <c r="U282" i="14" s="1"/>
  <c r="V264" i="14"/>
  <c r="V262" i="14" s="1"/>
  <c r="U262" i="14"/>
  <c r="T346" i="14" l="1"/>
  <c r="T349" i="14"/>
  <c r="U314" i="14"/>
  <c r="W315" i="14"/>
  <c r="W283" i="14"/>
  <c r="X263" i="14"/>
  <c r="V291" i="14"/>
  <c r="V290" i="14" s="1"/>
  <c r="W279" i="14"/>
  <c r="V278" i="14"/>
  <c r="V323" i="14"/>
  <c r="AB327" i="14"/>
  <c r="AA326" i="14"/>
  <c r="V331" i="14"/>
  <c r="W292" i="14"/>
  <c r="W324" i="14"/>
  <c r="W340" i="14" s="1"/>
  <c r="X280" i="14"/>
  <c r="U339" i="14"/>
  <c r="U338" i="14" s="1"/>
  <c r="U344" i="14" s="1"/>
  <c r="U322" i="14"/>
  <c r="U330" i="14"/>
  <c r="U342" i="14" s="1"/>
  <c r="V316" i="14"/>
  <c r="V332" i="14" s="1"/>
  <c r="V284" i="14"/>
  <c r="V282" i="14" s="1"/>
  <c r="W264" i="14"/>
  <c r="W262" i="14" s="1"/>
  <c r="U345" i="14" l="1"/>
  <c r="X283" i="14"/>
  <c r="Y263" i="14"/>
  <c r="X315" i="14"/>
  <c r="V314" i="14"/>
  <c r="V330" i="14"/>
  <c r="V342" i="14" s="1"/>
  <c r="V345" i="14" s="1"/>
  <c r="U346" i="14"/>
  <c r="U349" i="14"/>
  <c r="AB326" i="14"/>
  <c r="AC327" i="14"/>
  <c r="V339" i="14"/>
  <c r="V338" i="14" s="1"/>
  <c r="V344" i="14" s="1"/>
  <c r="V322" i="14"/>
  <c r="W331" i="14"/>
  <c r="X324" i="14"/>
  <c r="X340" i="14" s="1"/>
  <c r="Y280" i="14"/>
  <c r="X292" i="14"/>
  <c r="X279" i="14"/>
  <c r="W323" i="14"/>
  <c r="W291" i="14"/>
  <c r="W290" i="14" s="1"/>
  <c r="W278" i="14"/>
  <c r="W316" i="14"/>
  <c r="W332" i="14" s="1"/>
  <c r="W284" i="14"/>
  <c r="W282" i="14" s="1"/>
  <c r="X264" i="14"/>
  <c r="X262" i="14" s="1"/>
  <c r="W314" i="14" l="1"/>
  <c r="W330" i="14"/>
  <c r="W342" i="14" s="1"/>
  <c r="V346" i="14"/>
  <c r="V349" i="14"/>
  <c r="W339" i="14"/>
  <c r="W338" i="14" s="1"/>
  <c r="W344" i="14" s="1"/>
  <c r="W322" i="14"/>
  <c r="X331" i="14"/>
  <c r="X330" i="14" s="1"/>
  <c r="X342" i="14" s="1"/>
  <c r="X314" i="14"/>
  <c r="X323" i="14"/>
  <c r="X278" i="14"/>
  <c r="Y279" i="14"/>
  <c r="X291" i="14"/>
  <c r="X290" i="14" s="1"/>
  <c r="Z263" i="14"/>
  <c r="Y283" i="14"/>
  <c r="Y315" i="14"/>
  <c r="AC326" i="14"/>
  <c r="AD327" i="14"/>
  <c r="X316" i="14"/>
  <c r="X332" i="14" s="1"/>
  <c r="X284" i="14"/>
  <c r="X282" i="14" s="1"/>
  <c r="Y264" i="14"/>
  <c r="Y262" i="14" s="1"/>
  <c r="Y324" i="14"/>
  <c r="Y340" i="14" s="1"/>
  <c r="Z280" i="14"/>
  <c r="Y292" i="14"/>
  <c r="Y284" i="14" l="1"/>
  <c r="Y282" i="14" s="1"/>
  <c r="Z264" i="14"/>
  <c r="Z262" i="14" s="1"/>
  <c r="Y316" i="14"/>
  <c r="Y332" i="14" s="1"/>
  <c r="Y331" i="14"/>
  <c r="Z324" i="14"/>
  <c r="Z340" i="14" s="1"/>
  <c r="AA280" i="14"/>
  <c r="Z292" i="14"/>
  <c r="X345" i="14"/>
  <c r="Z315" i="14"/>
  <c r="Z283" i="14"/>
  <c r="AA263" i="14"/>
  <c r="Y278" i="14"/>
  <c r="Y323" i="14"/>
  <c r="Y291" i="14"/>
  <c r="Y290" i="14" s="1"/>
  <c r="Z279" i="14"/>
  <c r="AD326" i="14"/>
  <c r="AE327" i="14"/>
  <c r="W345" i="14"/>
  <c r="X339" i="14"/>
  <c r="X338" i="14" s="1"/>
  <c r="X344" i="14" s="1"/>
  <c r="X322" i="14"/>
  <c r="X346" i="14" l="1"/>
  <c r="X349" i="14"/>
  <c r="Y339" i="14"/>
  <c r="Y338" i="14" s="1"/>
  <c r="Y344" i="14" s="1"/>
  <c r="Y322" i="14"/>
  <c r="Y314" i="14"/>
  <c r="AA324" i="14"/>
  <c r="AA340" i="14" s="1"/>
  <c r="AB280" i="14"/>
  <c r="AA292" i="14"/>
  <c r="AB263" i="14"/>
  <c r="AA315" i="14"/>
  <c r="AA283" i="14"/>
  <c r="W349" i="14"/>
  <c r="W346" i="14"/>
  <c r="AE326" i="14"/>
  <c r="AF327" i="14"/>
  <c r="Y330" i="14"/>
  <c r="Y342" i="14" s="1"/>
  <c r="Z331" i="14"/>
  <c r="Z278" i="14"/>
  <c r="Z323" i="14"/>
  <c r="Z291" i="14"/>
  <c r="Z290" i="14" s="1"/>
  <c r="AA279" i="14"/>
  <c r="AA264" i="14"/>
  <c r="AA262" i="14" s="1"/>
  <c r="Z284" i="14"/>
  <c r="Z282" i="14" s="1"/>
  <c r="Z316" i="14"/>
  <c r="Z332" i="14" s="1"/>
  <c r="Z330" i="14" l="1"/>
  <c r="Z342" i="14" s="1"/>
  <c r="AA323" i="14"/>
  <c r="AA291" i="14"/>
  <c r="AA290" i="14" s="1"/>
  <c r="AB279" i="14"/>
  <c r="AA278" i="14"/>
  <c r="AG327" i="14"/>
  <c r="AF326" i="14"/>
  <c r="AB324" i="14"/>
  <c r="AB340" i="14" s="1"/>
  <c r="AC280" i="14"/>
  <c r="AB292" i="14"/>
  <c r="Z339" i="14"/>
  <c r="Z338" i="14" s="1"/>
  <c r="Z344" i="14" s="1"/>
  <c r="Z322" i="14"/>
  <c r="AA282" i="14"/>
  <c r="Z314" i="14"/>
  <c r="Y345" i="14"/>
  <c r="AA331" i="14"/>
  <c r="AA330" i="14" s="1"/>
  <c r="AA342" i="14" s="1"/>
  <c r="AB264" i="14"/>
  <c r="AB262" i="14" s="1"/>
  <c r="AA316" i="14"/>
  <c r="AA332" i="14" s="1"/>
  <c r="AA284" i="14"/>
  <c r="AC263" i="14"/>
  <c r="AB315" i="14"/>
  <c r="AB283" i="14"/>
  <c r="Z345" i="14" l="1"/>
  <c r="Z346" i="14"/>
  <c r="AC324" i="14"/>
  <c r="AC340" i="14" s="1"/>
  <c r="AD280" i="14"/>
  <c r="AC292" i="14"/>
  <c r="Y346" i="14"/>
  <c r="Y349" i="14"/>
  <c r="AB331" i="14"/>
  <c r="AD263" i="14"/>
  <c r="AC315" i="14"/>
  <c r="AC283" i="14"/>
  <c r="AH327" i="14"/>
  <c r="AG326" i="14"/>
  <c r="AB323" i="14"/>
  <c r="AB291" i="14"/>
  <c r="AB290" i="14" s="1"/>
  <c r="AB278" i="14"/>
  <c r="AC279" i="14"/>
  <c r="AB316" i="14"/>
  <c r="AB332" i="14" s="1"/>
  <c r="AB284" i="14"/>
  <c r="AB282" i="14" s="1"/>
  <c r="AC264" i="14"/>
  <c r="AA314" i="14"/>
  <c r="AA339" i="14"/>
  <c r="AA338" i="14" s="1"/>
  <c r="AA344" i="14" s="1"/>
  <c r="AA345" i="14" s="1"/>
  <c r="AA322" i="14"/>
  <c r="Z349" i="14" l="1"/>
  <c r="AC316" i="14"/>
  <c r="AC332" i="14" s="1"/>
  <c r="AC284" i="14"/>
  <c r="AD264" i="14"/>
  <c r="AC282" i="14"/>
  <c r="AC323" i="14"/>
  <c r="AC291" i="14"/>
  <c r="AC290" i="14" s="1"/>
  <c r="AD279" i="14"/>
  <c r="AC278" i="14"/>
  <c r="AH326" i="14"/>
  <c r="AI327" i="14"/>
  <c r="AI326" i="14" s="1"/>
  <c r="AC331" i="14"/>
  <c r="AC330" i="14" s="1"/>
  <c r="AC342" i="14" s="1"/>
  <c r="AC314" i="14"/>
  <c r="AD315" i="14"/>
  <c r="AD283" i="14"/>
  <c r="AD262" i="14"/>
  <c r="AE263" i="14"/>
  <c r="AB330" i="14"/>
  <c r="AB342" i="14" s="1"/>
  <c r="AC262" i="14"/>
  <c r="AD324" i="14"/>
  <c r="AD340" i="14" s="1"/>
  <c r="AD292" i="14"/>
  <c r="AE280" i="14"/>
  <c r="AB314" i="14"/>
  <c r="AA346" i="14"/>
  <c r="AA349" i="14"/>
  <c r="AB339" i="14"/>
  <c r="AB338" i="14" s="1"/>
  <c r="AB344" i="14" s="1"/>
  <c r="AB322" i="14"/>
  <c r="AD291" i="14" l="1"/>
  <c r="AD290" i="14" s="1"/>
  <c r="AE279" i="14"/>
  <c r="AD323" i="14"/>
  <c r="AD278" i="14"/>
  <c r="AE324" i="14"/>
  <c r="AE340" i="14" s="1"/>
  <c r="AE292" i="14"/>
  <c r="AF280" i="14"/>
  <c r="AE315" i="14"/>
  <c r="AE283" i="14"/>
  <c r="AF263" i="14"/>
  <c r="AD331" i="14"/>
  <c r="AC322" i="14"/>
  <c r="AC339" i="14"/>
  <c r="AC338" i="14" s="1"/>
  <c r="AC344" i="14" s="1"/>
  <c r="AC345" i="14" s="1"/>
  <c r="AD316" i="14"/>
  <c r="AD332" i="14" s="1"/>
  <c r="AD284" i="14"/>
  <c r="AD282" i="14" s="1"/>
  <c r="AE264" i="14"/>
  <c r="AB345" i="14"/>
  <c r="AD314" i="14" l="1"/>
  <c r="AD330" i="14"/>
  <c r="AD342" i="14" s="1"/>
  <c r="AC346" i="14"/>
  <c r="AC349" i="14"/>
  <c r="AF292" i="14"/>
  <c r="AF324" i="14"/>
  <c r="AF340" i="14" s="1"/>
  <c r="AG280" i="14"/>
  <c r="AB346" i="14"/>
  <c r="AB349" i="14"/>
  <c r="AF283" i="14"/>
  <c r="AG263" i="14"/>
  <c r="AF315" i="14"/>
  <c r="AE282" i="14"/>
  <c r="AF279" i="14"/>
  <c r="AE323" i="14"/>
  <c r="AE278" i="14"/>
  <c r="AE291" i="14"/>
  <c r="AE290" i="14" s="1"/>
  <c r="AE316" i="14"/>
  <c r="AE332" i="14" s="1"/>
  <c r="AE284" i="14"/>
  <c r="AF264" i="14"/>
  <c r="AE262" i="14"/>
  <c r="AD339" i="14"/>
  <c r="AD338" i="14" s="1"/>
  <c r="AD344" i="14" s="1"/>
  <c r="AD345" i="14" s="1"/>
  <c r="AD322" i="14"/>
  <c r="AE331" i="14"/>
  <c r="AE330" i="14" s="1"/>
  <c r="AE342" i="14" s="1"/>
  <c r="AD346" i="14" l="1"/>
  <c r="AD349" i="14"/>
  <c r="AF323" i="14"/>
  <c r="AF278" i="14"/>
  <c r="AF291" i="14"/>
  <c r="AF290" i="14" s="1"/>
  <c r="AG279" i="14"/>
  <c r="AF316" i="14"/>
  <c r="AF332" i="14" s="1"/>
  <c r="AF284" i="14"/>
  <c r="AF282" i="14" s="1"/>
  <c r="AG264" i="14"/>
  <c r="AG262" i="14" s="1"/>
  <c r="AH263" i="14"/>
  <c r="AG315" i="14"/>
  <c r="AG283" i="14"/>
  <c r="AE339" i="14"/>
  <c r="AE338" i="14" s="1"/>
  <c r="AE344" i="14" s="1"/>
  <c r="AE345" i="14" s="1"/>
  <c r="AE322" i="14"/>
  <c r="AG324" i="14"/>
  <c r="AG340" i="14" s="1"/>
  <c r="AH280" i="14"/>
  <c r="AG292" i="14"/>
  <c r="AF331" i="14"/>
  <c r="AE314" i="14"/>
  <c r="AF262" i="14"/>
  <c r="AF314" i="14" l="1"/>
  <c r="AF330" i="14"/>
  <c r="AF342" i="14" s="1"/>
  <c r="AE349" i="14"/>
  <c r="AE346" i="14"/>
  <c r="AG331" i="14"/>
  <c r="AF322" i="14"/>
  <c r="AF339" i="14"/>
  <c r="AF338" i="14" s="1"/>
  <c r="AF344" i="14" s="1"/>
  <c r="AF345" i="14" s="1"/>
  <c r="AG284" i="14"/>
  <c r="AG282" i="14" s="1"/>
  <c r="AH264" i="14"/>
  <c r="AG316" i="14"/>
  <c r="AG332" i="14" s="1"/>
  <c r="AH315" i="14"/>
  <c r="AH283" i="14"/>
  <c r="AI263" i="14"/>
  <c r="AG323" i="14"/>
  <c r="AG278" i="14"/>
  <c r="AG291" i="14"/>
  <c r="AG290" i="14" s="1"/>
  <c r="AH279" i="14"/>
  <c r="AH292" i="14"/>
  <c r="AH324" i="14"/>
  <c r="AI280" i="14"/>
  <c r="AI292" i="14" s="1"/>
  <c r="AG330" i="14" l="1"/>
  <c r="AG342" i="14" s="1"/>
  <c r="AG314" i="14"/>
  <c r="AF346" i="14"/>
  <c r="AF349" i="14"/>
  <c r="AH284" i="14"/>
  <c r="AH282" i="14" s="1"/>
  <c r="AH316" i="14"/>
  <c r="AI264" i="14"/>
  <c r="AI284" i="14" s="1"/>
  <c r="AG339" i="14"/>
  <c r="AG338" i="14" s="1"/>
  <c r="AG344" i="14" s="1"/>
  <c r="AG345" i="14" s="1"/>
  <c r="AG322" i="14"/>
  <c r="AI283" i="14"/>
  <c r="AH262" i="14"/>
  <c r="AH323" i="14"/>
  <c r="AH278" i="14"/>
  <c r="AH291" i="14"/>
  <c r="AH290" i="14" s="1"/>
  <c r="AI279" i="14"/>
  <c r="AH340" i="14"/>
  <c r="AI340" i="14" s="1"/>
  <c r="AI324" i="14"/>
  <c r="AH331" i="14"/>
  <c r="AI315" i="14"/>
  <c r="AI282" i="14" l="1"/>
  <c r="AG346" i="14"/>
  <c r="AG349" i="14"/>
  <c r="AI291" i="14"/>
  <c r="AI290" i="14" s="1"/>
  <c r="AI278" i="14"/>
  <c r="AH332" i="14"/>
  <c r="AI332" i="14" s="1"/>
  <c r="AI316" i="14"/>
  <c r="AI314" i="14" s="1"/>
  <c r="AH314" i="14"/>
  <c r="AH339" i="14"/>
  <c r="AH322" i="14"/>
  <c r="AI323" i="14"/>
  <c r="AI322" i="14" s="1"/>
  <c r="AI331" i="14"/>
  <c r="AI262" i="14"/>
  <c r="AI330" i="14" l="1"/>
  <c r="AH330" i="14"/>
  <c r="AH342" i="14" s="1"/>
  <c r="AH338" i="14"/>
  <c r="AH344" i="14" s="1"/>
  <c r="AI339" i="14"/>
  <c r="AI338" i="14" s="1"/>
  <c r="AH345" i="14" l="1"/>
  <c r="AH349" i="14" l="1"/>
  <c r="AH346" i="14"/>
  <c r="AI349" i="14" l="1"/>
  <c r="E186" i="10"/>
  <c r="E97" i="10"/>
  <c r="E28" i="12"/>
  <c r="C28" i="12" s="1"/>
  <c r="C27" i="12"/>
  <c r="C26" i="12"/>
  <c r="E24" i="12"/>
  <c r="E23" i="12"/>
  <c r="E20" i="12"/>
  <c r="C19" i="12"/>
  <c r="C18" i="12"/>
  <c r="G206" i="14"/>
  <c r="G205" i="14"/>
  <c r="H205" i="14" s="1"/>
  <c r="I205" i="14" s="1"/>
  <c r="J205" i="14" s="1"/>
  <c r="K205" i="14" s="1"/>
  <c r="E198" i="14"/>
  <c r="AH186" i="14"/>
  <c r="AH226" i="14" s="1"/>
  <c r="AG186" i="14"/>
  <c r="AG226" i="14" s="1"/>
  <c r="AF186" i="14"/>
  <c r="AF226" i="14" s="1"/>
  <c r="AE186" i="14"/>
  <c r="AE226" i="14" s="1"/>
  <c r="AD186" i="14"/>
  <c r="AD226" i="14" s="1"/>
  <c r="AC186" i="14"/>
  <c r="AC226" i="14" s="1"/>
  <c r="AB186" i="14"/>
  <c r="AB226" i="14" s="1"/>
  <c r="AA186" i="14"/>
  <c r="AA226" i="14" s="1"/>
  <c r="Z186" i="14"/>
  <c r="Z226" i="14" s="1"/>
  <c r="Y186" i="14"/>
  <c r="Y226" i="14" s="1"/>
  <c r="X186" i="14"/>
  <c r="X226" i="14" s="1"/>
  <c r="W186" i="14"/>
  <c r="W226" i="14" s="1"/>
  <c r="V186" i="14"/>
  <c r="V226" i="14" s="1"/>
  <c r="U186" i="14"/>
  <c r="U226" i="14" s="1"/>
  <c r="T186" i="14"/>
  <c r="T226" i="14" s="1"/>
  <c r="S186" i="14"/>
  <c r="S226" i="14" s="1"/>
  <c r="R186" i="14"/>
  <c r="R226" i="14" s="1"/>
  <c r="Q186" i="14"/>
  <c r="Q226" i="14" s="1"/>
  <c r="P186" i="14"/>
  <c r="P226" i="14" s="1"/>
  <c r="O186" i="14"/>
  <c r="O226" i="14" s="1"/>
  <c r="N186" i="14"/>
  <c r="N226" i="14" s="1"/>
  <c r="M186" i="14"/>
  <c r="M226" i="14" s="1"/>
  <c r="L186" i="14"/>
  <c r="L226" i="14" s="1"/>
  <c r="K186" i="14"/>
  <c r="K226" i="14" s="1"/>
  <c r="J186" i="14"/>
  <c r="J226" i="14" s="1"/>
  <c r="I186" i="14"/>
  <c r="I226" i="14" s="1"/>
  <c r="H186" i="14"/>
  <c r="H226" i="14" s="1"/>
  <c r="G186" i="14"/>
  <c r="G226" i="14" s="1"/>
  <c r="F186" i="14"/>
  <c r="F226" i="14" s="1"/>
  <c r="E186" i="14"/>
  <c r="E226" i="14" s="1"/>
  <c r="AH185" i="14"/>
  <c r="AH225" i="14" s="1"/>
  <c r="AG185" i="14"/>
  <c r="AG225" i="14" s="1"/>
  <c r="AF185" i="14"/>
  <c r="AF225" i="14" s="1"/>
  <c r="AE185" i="14"/>
  <c r="AE225" i="14" s="1"/>
  <c r="AD185" i="14"/>
  <c r="AD225" i="14" s="1"/>
  <c r="AC185" i="14"/>
  <c r="AC225" i="14" s="1"/>
  <c r="AB185" i="14"/>
  <c r="AB225" i="14" s="1"/>
  <c r="AA185" i="14"/>
  <c r="AA225" i="14" s="1"/>
  <c r="Z185" i="14"/>
  <c r="Z225" i="14" s="1"/>
  <c r="Y185" i="14"/>
  <c r="Y225" i="14" s="1"/>
  <c r="X185" i="14"/>
  <c r="X225" i="14" s="1"/>
  <c r="W185" i="14"/>
  <c r="W225" i="14" s="1"/>
  <c r="V185" i="14"/>
  <c r="V225" i="14" s="1"/>
  <c r="U185" i="14"/>
  <c r="U225" i="14" s="1"/>
  <c r="T185" i="14"/>
  <c r="T225" i="14" s="1"/>
  <c r="S185" i="14"/>
  <c r="S225" i="14" s="1"/>
  <c r="R185" i="14"/>
  <c r="R225" i="14" s="1"/>
  <c r="Q185" i="14"/>
  <c r="Q225" i="14" s="1"/>
  <c r="P185" i="14"/>
  <c r="P225" i="14" s="1"/>
  <c r="O185" i="14"/>
  <c r="O225" i="14" s="1"/>
  <c r="N185" i="14"/>
  <c r="N225" i="14" s="1"/>
  <c r="M185" i="14"/>
  <c r="M225" i="14" s="1"/>
  <c r="L185" i="14"/>
  <c r="L225" i="14" s="1"/>
  <c r="K185" i="14"/>
  <c r="K225" i="14" s="1"/>
  <c r="J185" i="14"/>
  <c r="J225" i="14" s="1"/>
  <c r="I185" i="14"/>
  <c r="I225" i="14" s="1"/>
  <c r="H185" i="14"/>
  <c r="H225" i="14" s="1"/>
  <c r="G185" i="14"/>
  <c r="G225" i="14" s="1"/>
  <c r="F185" i="14"/>
  <c r="F225" i="14" s="1"/>
  <c r="E185" i="14"/>
  <c r="E225" i="14" s="1"/>
  <c r="AI166" i="14"/>
  <c r="AI165" i="14"/>
  <c r="AI164" i="14"/>
  <c r="AI163" i="14"/>
  <c r="AI162" i="14"/>
  <c r="AI161" i="14"/>
  <c r="AI158" i="14" s="1"/>
  <c r="AI160" i="14"/>
  <c r="AI159" i="14"/>
  <c r="AH158" i="14"/>
  <c r="AG158" i="14"/>
  <c r="AF158" i="14"/>
  <c r="AE158" i="14"/>
  <c r="AD158" i="14"/>
  <c r="AC158" i="14"/>
  <c r="AB158" i="14"/>
  <c r="AA158" i="14"/>
  <c r="Z158" i="14"/>
  <c r="Y158" i="14"/>
  <c r="X158" i="14"/>
  <c r="W158" i="14"/>
  <c r="V158" i="14"/>
  <c r="U158" i="14"/>
  <c r="T158" i="14"/>
  <c r="S158" i="14"/>
  <c r="R158" i="14"/>
  <c r="Q158" i="14"/>
  <c r="P158" i="14"/>
  <c r="O158" i="14"/>
  <c r="N158" i="14"/>
  <c r="M158" i="14"/>
  <c r="L158" i="14"/>
  <c r="K158" i="14"/>
  <c r="J158" i="14"/>
  <c r="I158" i="14"/>
  <c r="H158" i="14"/>
  <c r="G158" i="14"/>
  <c r="F158" i="14"/>
  <c r="E158" i="14"/>
  <c r="AI157" i="14"/>
  <c r="AI156" i="14"/>
  <c r="AI155" i="14"/>
  <c r="AI154" i="14"/>
  <c r="AI153" i="14"/>
  <c r="AI152" i="14"/>
  <c r="AI151" i="14"/>
  <c r="AI150" i="14"/>
  <c r="AI149" i="14"/>
  <c r="AH149" i="14"/>
  <c r="AG149" i="14"/>
  <c r="AF149" i="14"/>
  <c r="AE149" i="14"/>
  <c r="AD149" i="14"/>
  <c r="AC149" i="14"/>
  <c r="AB149" i="14"/>
  <c r="AA149" i="14"/>
  <c r="Z149" i="14"/>
  <c r="Y149" i="14"/>
  <c r="X149" i="14"/>
  <c r="W149" i="14"/>
  <c r="V149" i="14"/>
  <c r="U149" i="14"/>
  <c r="T149" i="14"/>
  <c r="S149" i="14"/>
  <c r="R149" i="14"/>
  <c r="Q149" i="14"/>
  <c r="P149" i="14"/>
  <c r="O149" i="14"/>
  <c r="N149" i="14"/>
  <c r="M149" i="14"/>
  <c r="L149" i="14"/>
  <c r="K149" i="14"/>
  <c r="J149" i="14"/>
  <c r="I149" i="14"/>
  <c r="H149" i="14"/>
  <c r="G149" i="14"/>
  <c r="F149" i="14"/>
  <c r="E149" i="14"/>
  <c r="AH119" i="14"/>
  <c r="AI66" i="3" s="1"/>
  <c r="AB119" i="14"/>
  <c r="AC66" i="3" s="1"/>
  <c r="V119" i="14"/>
  <c r="W66" i="3" s="1"/>
  <c r="P119" i="14"/>
  <c r="Q66" i="3" s="1"/>
  <c r="J119" i="14"/>
  <c r="K66" i="3" s="1"/>
  <c r="AF119" i="14"/>
  <c r="AG66" i="3" s="1"/>
  <c r="Z119" i="14"/>
  <c r="AA66" i="3" s="1"/>
  <c r="T119" i="14"/>
  <c r="U66" i="3" s="1"/>
  <c r="N119" i="14"/>
  <c r="O66" i="3" s="1"/>
  <c r="H119" i="14"/>
  <c r="I66" i="3" s="1"/>
  <c r="AE119" i="14"/>
  <c r="AF66" i="3" s="1"/>
  <c r="AC119" i="14"/>
  <c r="AD66" i="3" s="1"/>
  <c r="Y119" i="14"/>
  <c r="Z66" i="3" s="1"/>
  <c r="W119" i="14"/>
  <c r="X66" i="3" s="1"/>
  <c r="S119" i="14"/>
  <c r="T66" i="3" s="1"/>
  <c r="Q119" i="14"/>
  <c r="R66" i="3" s="1"/>
  <c r="M119" i="14"/>
  <c r="N66" i="3" s="1"/>
  <c r="K119" i="14"/>
  <c r="L66" i="3" s="1"/>
  <c r="G119" i="14"/>
  <c r="H66" i="3" s="1"/>
  <c r="E119" i="14"/>
  <c r="AD119" i="14"/>
  <c r="AE66" i="3" s="1"/>
  <c r="X119" i="14"/>
  <c r="Y66" i="3" s="1"/>
  <c r="R119" i="14"/>
  <c r="S66" i="3" s="1"/>
  <c r="L119" i="14"/>
  <c r="M66" i="3" s="1"/>
  <c r="F119" i="14"/>
  <c r="G66" i="3" s="1"/>
  <c r="AI118" i="14"/>
  <c r="AI117" i="14"/>
  <c r="AI116" i="14"/>
  <c r="AI115" i="14"/>
  <c r="AI114" i="14"/>
  <c r="AI110" i="14" s="1"/>
  <c r="AI113" i="14"/>
  <c r="AI112" i="14"/>
  <c r="AI111" i="14"/>
  <c r="AH110" i="14"/>
  <c r="AG110" i="14"/>
  <c r="AF110" i="14"/>
  <c r="AE110" i="14"/>
  <c r="AD110" i="14"/>
  <c r="AC110" i="14"/>
  <c r="AB110" i="14"/>
  <c r="AA110" i="14"/>
  <c r="Z110" i="14"/>
  <c r="Y110" i="14"/>
  <c r="X110" i="14"/>
  <c r="W110" i="14"/>
  <c r="V110" i="14"/>
  <c r="U110" i="14"/>
  <c r="T110" i="14"/>
  <c r="S110" i="14"/>
  <c r="R110" i="14"/>
  <c r="Q110" i="14"/>
  <c r="P110" i="14"/>
  <c r="O110" i="14"/>
  <c r="N110" i="14"/>
  <c r="M110" i="14"/>
  <c r="L110" i="14"/>
  <c r="K110" i="14"/>
  <c r="J110" i="14"/>
  <c r="I110" i="14"/>
  <c r="H110" i="14"/>
  <c r="G110" i="14"/>
  <c r="F110" i="14"/>
  <c r="E110" i="14"/>
  <c r="F109" i="14"/>
  <c r="AH101" i="14"/>
  <c r="AG101" i="14"/>
  <c r="AF101" i="14"/>
  <c r="AE101" i="14"/>
  <c r="AD101" i="14"/>
  <c r="AC101" i="14"/>
  <c r="AB101" i="14"/>
  <c r="AA101" i="14"/>
  <c r="Z101" i="14"/>
  <c r="Y101" i="14"/>
  <c r="X101" i="14"/>
  <c r="W101" i="14"/>
  <c r="V101" i="14"/>
  <c r="U101" i="14"/>
  <c r="T101" i="14"/>
  <c r="S101" i="14"/>
  <c r="R101" i="14"/>
  <c r="Q101" i="14"/>
  <c r="P101" i="14"/>
  <c r="O101" i="14"/>
  <c r="N101" i="14"/>
  <c r="M101" i="14"/>
  <c r="E101" i="14"/>
  <c r="AI100" i="14"/>
  <c r="AI99" i="14"/>
  <c r="F108" i="14" s="1"/>
  <c r="AI98" i="14"/>
  <c r="P98" i="14"/>
  <c r="AB97" i="14"/>
  <c r="AB96" i="14"/>
  <c r="AB92" i="14" s="1"/>
  <c r="AI95" i="14"/>
  <c r="AB95" i="14"/>
  <c r="X94" i="14"/>
  <c r="X92" i="14" s="1"/>
  <c r="R93" i="14"/>
  <c r="AI93" i="14" s="1"/>
  <c r="AH92" i="14"/>
  <c r="AG92" i="14"/>
  <c r="AF92" i="14"/>
  <c r="AE92" i="14"/>
  <c r="AD92" i="14"/>
  <c r="AC92" i="14"/>
  <c r="AA92" i="14"/>
  <c r="Z92" i="14"/>
  <c r="Y92" i="14"/>
  <c r="W92" i="14"/>
  <c r="V92" i="14"/>
  <c r="U92" i="14"/>
  <c r="T92" i="14"/>
  <c r="S92" i="14"/>
  <c r="Q92" i="14"/>
  <c r="P92" i="14"/>
  <c r="O92" i="14"/>
  <c r="N92" i="14"/>
  <c r="M92" i="14"/>
  <c r="L92" i="14"/>
  <c r="K92" i="14"/>
  <c r="J92" i="14"/>
  <c r="I92" i="14"/>
  <c r="H92" i="14"/>
  <c r="G92" i="14"/>
  <c r="E92" i="14"/>
  <c r="E86" i="14"/>
  <c r="AH79" i="14"/>
  <c r="AG79" i="14"/>
  <c r="AF79" i="14"/>
  <c r="AE79" i="14"/>
  <c r="AD79" i="14"/>
  <c r="AC79" i="14"/>
  <c r="AB79" i="14"/>
  <c r="AA79" i="14"/>
  <c r="Z79" i="14"/>
  <c r="Y79" i="14"/>
  <c r="X79" i="14"/>
  <c r="W79" i="14"/>
  <c r="V79" i="14"/>
  <c r="U79" i="14"/>
  <c r="T79" i="14"/>
  <c r="S79" i="14"/>
  <c r="R79" i="14"/>
  <c r="Q79" i="14"/>
  <c r="P79" i="14"/>
  <c r="O79" i="14"/>
  <c r="N79" i="14"/>
  <c r="M79" i="14"/>
  <c r="L79" i="14"/>
  <c r="K79" i="14"/>
  <c r="J79" i="14"/>
  <c r="I79" i="14"/>
  <c r="H79" i="14"/>
  <c r="G79" i="14"/>
  <c r="F79" i="14"/>
  <c r="E79" i="14"/>
  <c r="AH78" i="14"/>
  <c r="AG78" i="14"/>
  <c r="AF78" i="14"/>
  <c r="AE78" i="14"/>
  <c r="AD78" i="14"/>
  <c r="AC78" i="14"/>
  <c r="AB78" i="14"/>
  <c r="AA78" i="14"/>
  <c r="Z78" i="14"/>
  <c r="Y78" i="14"/>
  <c r="X78" i="14"/>
  <c r="W78" i="14"/>
  <c r="V78" i="14"/>
  <c r="U78" i="14"/>
  <c r="T78" i="14"/>
  <c r="S78" i="14"/>
  <c r="R78" i="14"/>
  <c r="Q78" i="14"/>
  <c r="P78" i="14"/>
  <c r="O78" i="14"/>
  <c r="N78" i="14"/>
  <c r="M78" i="14"/>
  <c r="L78" i="14"/>
  <c r="K78" i="14"/>
  <c r="J78" i="14"/>
  <c r="I78" i="14"/>
  <c r="H78" i="14"/>
  <c r="G78" i="14"/>
  <c r="F78" i="14"/>
  <c r="E78" i="14"/>
  <c r="E73" i="14"/>
  <c r="E62" i="14"/>
  <c r="E195" i="14"/>
  <c r="E51" i="14"/>
  <c r="E189" i="14"/>
  <c r="AI79" i="14"/>
  <c r="AI78" i="14"/>
  <c r="E182" i="14"/>
  <c r="E180" i="14"/>
  <c r="F179" i="14"/>
  <c r="E169" i="14"/>
  <c r="F14" i="14"/>
  <c r="G14" i="14" s="1"/>
  <c r="H14" i="14" s="1"/>
  <c r="I14" i="14" s="1"/>
  <c r="J14" i="14" s="1"/>
  <c r="K14" i="14" s="1"/>
  <c r="L14" i="14" s="1"/>
  <c r="M14" i="14" s="1"/>
  <c r="N14" i="14" s="1"/>
  <c r="O14" i="14" s="1"/>
  <c r="P14" i="14" s="1"/>
  <c r="Q14" i="14" s="1"/>
  <c r="R14" i="14" s="1"/>
  <c r="S14" i="14" s="1"/>
  <c r="T14" i="14" s="1"/>
  <c r="U14" i="14" s="1"/>
  <c r="V14" i="14" s="1"/>
  <c r="W14" i="14" s="1"/>
  <c r="X14" i="14" s="1"/>
  <c r="Y14" i="14" s="1"/>
  <c r="Z14" i="14" s="1"/>
  <c r="AA14" i="14" s="1"/>
  <c r="AB14" i="14" s="1"/>
  <c r="AC14" i="14" s="1"/>
  <c r="AD14" i="14" s="1"/>
  <c r="AE14" i="14" s="1"/>
  <c r="AF14" i="14" s="1"/>
  <c r="AG14" i="14" s="1"/>
  <c r="AH14" i="14" s="1"/>
  <c r="E29" i="12" l="1"/>
  <c r="E30" i="12" s="1"/>
  <c r="E31" i="12" s="1"/>
  <c r="E173" i="14"/>
  <c r="E66" i="14"/>
  <c r="G171" i="14"/>
  <c r="G211" i="14" s="1"/>
  <c r="G64" i="14"/>
  <c r="F172" i="14"/>
  <c r="F212" i="14" s="1"/>
  <c r="F65" i="14"/>
  <c r="G89" i="14"/>
  <c r="F31" i="14"/>
  <c r="F83" i="14"/>
  <c r="G181" i="14"/>
  <c r="G221" i="14" s="1"/>
  <c r="G74" i="14"/>
  <c r="F182" i="14"/>
  <c r="F222" i="14" s="1"/>
  <c r="F75" i="14"/>
  <c r="H82" i="14"/>
  <c r="E21" i="14"/>
  <c r="E174" i="14"/>
  <c r="E67" i="14"/>
  <c r="K174" i="14"/>
  <c r="K214" i="14" s="1"/>
  <c r="K67" i="14"/>
  <c r="E41" i="14"/>
  <c r="E183" i="14"/>
  <c r="E76" i="14"/>
  <c r="E191" i="14"/>
  <c r="E84" i="14"/>
  <c r="E192" i="14"/>
  <c r="E85" i="14"/>
  <c r="F51" i="14"/>
  <c r="E194" i="14"/>
  <c r="E87" i="14"/>
  <c r="F195" i="14"/>
  <c r="F235" i="14" s="1"/>
  <c r="F88" i="14"/>
  <c r="F72" i="14"/>
  <c r="E209" i="14"/>
  <c r="E175" i="14"/>
  <c r="E68" i="14"/>
  <c r="E179" i="14"/>
  <c r="E72" i="14"/>
  <c r="E170" i="14"/>
  <c r="E63" i="14"/>
  <c r="F175" i="14"/>
  <c r="F215" i="14" s="1"/>
  <c r="F68" i="14"/>
  <c r="E176" i="14"/>
  <c r="E69" i="14"/>
  <c r="F219" i="14"/>
  <c r="E220" i="14"/>
  <c r="E184" i="14"/>
  <c r="E77" i="14"/>
  <c r="F102" i="14"/>
  <c r="F189" i="14" s="1"/>
  <c r="E171" i="14"/>
  <c r="E64" i="14"/>
  <c r="E31" i="14"/>
  <c r="F200" i="14"/>
  <c r="E181" i="14"/>
  <c r="E74" i="14"/>
  <c r="F82" i="14"/>
  <c r="E196" i="14"/>
  <c r="E89" i="14"/>
  <c r="F171" i="14"/>
  <c r="F211" i="14" s="1"/>
  <c r="F64" i="14"/>
  <c r="E172" i="14"/>
  <c r="E65" i="14"/>
  <c r="F201" i="14"/>
  <c r="F181" i="14"/>
  <c r="F221" i="14" s="1"/>
  <c r="F74" i="14"/>
  <c r="E222" i="14"/>
  <c r="G82" i="14"/>
  <c r="E190" i="14"/>
  <c r="E83" i="14"/>
  <c r="F86" i="14"/>
  <c r="F196" i="14"/>
  <c r="F236" i="14" s="1"/>
  <c r="F89" i="14"/>
  <c r="F92" i="14"/>
  <c r="AI94" i="14"/>
  <c r="F103" i="14" s="1"/>
  <c r="F190" i="14" s="1"/>
  <c r="E193" i="14"/>
  <c r="E75" i="14"/>
  <c r="E82" i="14"/>
  <c r="E88" i="14"/>
  <c r="F104" i="14"/>
  <c r="F107" i="14"/>
  <c r="G109" i="14"/>
  <c r="H109" i="14" s="1"/>
  <c r="I109" i="14" s="1"/>
  <c r="J109" i="14" s="1"/>
  <c r="K109" i="14" s="1"/>
  <c r="L109" i="14" s="1"/>
  <c r="L205" i="14"/>
  <c r="M205" i="14" s="1"/>
  <c r="N205" i="14" s="1"/>
  <c r="O205" i="14" s="1"/>
  <c r="P205" i="14" s="1"/>
  <c r="Q205" i="14" s="1"/>
  <c r="R205" i="14" s="1"/>
  <c r="S205" i="14" s="1"/>
  <c r="T205" i="14" s="1"/>
  <c r="U205" i="14" s="1"/>
  <c r="V205" i="14" s="1"/>
  <c r="W205" i="14" s="1"/>
  <c r="X205" i="14" s="1"/>
  <c r="Y205" i="14" s="1"/>
  <c r="Z205" i="14" s="1"/>
  <c r="AA205" i="14" s="1"/>
  <c r="AB205" i="14" s="1"/>
  <c r="AC205" i="14" s="1"/>
  <c r="AD205" i="14" s="1"/>
  <c r="AE205" i="14" s="1"/>
  <c r="AF205" i="14" s="1"/>
  <c r="AG205" i="14" s="1"/>
  <c r="AH205" i="14" s="1"/>
  <c r="AI205" i="14"/>
  <c r="E229" i="14"/>
  <c r="E235" i="14"/>
  <c r="AI96" i="14"/>
  <c r="F105" i="14" s="1"/>
  <c r="G108" i="14"/>
  <c r="H108" i="14" s="1"/>
  <c r="I108" i="14" s="1"/>
  <c r="J108" i="14" s="1"/>
  <c r="K108" i="14" s="1"/>
  <c r="L108" i="14" s="1"/>
  <c r="I119" i="14"/>
  <c r="J66" i="3" s="1"/>
  <c r="O119" i="14"/>
  <c r="P66" i="3" s="1"/>
  <c r="U119" i="14"/>
  <c r="V66" i="3" s="1"/>
  <c r="AA119" i="14"/>
  <c r="AB66" i="3" s="1"/>
  <c r="AG119" i="14"/>
  <c r="AH66" i="3" s="1"/>
  <c r="F203" i="14"/>
  <c r="R92" i="14"/>
  <c r="F199" i="14"/>
  <c r="AI97" i="14"/>
  <c r="F106" i="14" s="1"/>
  <c r="F193" i="14" s="1"/>
  <c r="AI225" i="14"/>
  <c r="AI185" i="14"/>
  <c r="AI206" i="14"/>
  <c r="F202" i="14"/>
  <c r="AI226" i="14"/>
  <c r="AI186" i="14"/>
  <c r="H206" i="14"/>
  <c r="I206" i="14" s="1"/>
  <c r="J206" i="14" s="1"/>
  <c r="K206" i="14" s="1"/>
  <c r="L206" i="14" s="1"/>
  <c r="M206" i="14" s="1"/>
  <c r="N206" i="14" s="1"/>
  <c r="O206" i="14" s="1"/>
  <c r="P206" i="14" s="1"/>
  <c r="Q206" i="14" s="1"/>
  <c r="R206" i="14" s="1"/>
  <c r="S206" i="14" s="1"/>
  <c r="T206" i="14" s="1"/>
  <c r="U206" i="14" s="1"/>
  <c r="V206" i="14" s="1"/>
  <c r="W206" i="14" s="1"/>
  <c r="X206" i="14" s="1"/>
  <c r="Y206" i="14" s="1"/>
  <c r="Z206" i="14" s="1"/>
  <c r="AA206" i="14" s="1"/>
  <c r="AB206" i="14" s="1"/>
  <c r="AC206" i="14" s="1"/>
  <c r="AD206" i="14" s="1"/>
  <c r="AE206" i="14" s="1"/>
  <c r="AF206" i="14" s="1"/>
  <c r="AG206" i="14" s="1"/>
  <c r="AH206" i="14" s="1"/>
  <c r="F230" i="14" l="1"/>
  <c r="F233" i="14"/>
  <c r="AI109" i="14"/>
  <c r="E61" i="14"/>
  <c r="E168" i="14"/>
  <c r="E33" i="12"/>
  <c r="F33" i="12" s="1"/>
  <c r="E131" i="10" s="1"/>
  <c r="G200" i="14"/>
  <c r="AI108" i="14"/>
  <c r="E212" i="14"/>
  <c r="G175" i="14"/>
  <c r="G215" i="14" s="1"/>
  <c r="G68" i="14"/>
  <c r="G102" i="14"/>
  <c r="G189" i="14" s="1"/>
  <c r="F101" i="14"/>
  <c r="F191" i="14"/>
  <c r="F231" i="14" s="1"/>
  <c r="F84" i="14"/>
  <c r="F81" i="14" s="1"/>
  <c r="F41" i="14"/>
  <c r="G86" i="14"/>
  <c r="F176" i="14"/>
  <c r="F216" i="14" s="1"/>
  <c r="F69" i="14"/>
  <c r="AI92" i="14"/>
  <c r="E219" i="14"/>
  <c r="E178" i="14"/>
  <c r="F174" i="14"/>
  <c r="F214" i="14" s="1"/>
  <c r="F67" i="14"/>
  <c r="E223" i="14"/>
  <c r="G182" i="14"/>
  <c r="G75" i="14"/>
  <c r="H196" i="14"/>
  <c r="H236" i="14" s="1"/>
  <c r="H89" i="14"/>
  <c r="G105" i="14"/>
  <c r="H105" i="14" s="1"/>
  <c r="I105" i="14" s="1"/>
  <c r="J105" i="14" s="1"/>
  <c r="K105" i="14" s="1"/>
  <c r="L105" i="14" s="1"/>
  <c r="E81" i="14"/>
  <c r="E221" i="14"/>
  <c r="E232" i="14"/>
  <c r="I82" i="14"/>
  <c r="G196" i="14"/>
  <c r="G236" i="14" s="1"/>
  <c r="H171" i="14"/>
  <c r="H211" i="14" s="1"/>
  <c r="H64" i="14"/>
  <c r="F173" i="14"/>
  <c r="F213" i="14" s="1"/>
  <c r="F66" i="14"/>
  <c r="E214" i="14"/>
  <c r="G106" i="14"/>
  <c r="H106" i="14" s="1"/>
  <c r="I106" i="14" s="1"/>
  <c r="J106" i="14" s="1"/>
  <c r="K106" i="14" s="1"/>
  <c r="L106" i="14" s="1"/>
  <c r="E230" i="14"/>
  <c r="E188" i="14"/>
  <c r="F229" i="14"/>
  <c r="F180" i="14"/>
  <c r="F73" i="14"/>
  <c r="G41" i="14"/>
  <c r="E224" i="14"/>
  <c r="F183" i="14"/>
  <c r="F223" i="14" s="1"/>
  <c r="F76" i="14"/>
  <c r="H181" i="14"/>
  <c r="H221" i="14" s="1"/>
  <c r="H74" i="14"/>
  <c r="G103" i="14"/>
  <c r="H103" i="14" s="1"/>
  <c r="I103" i="14" s="1"/>
  <c r="J103" i="14" s="1"/>
  <c r="K103" i="14" s="1"/>
  <c r="L103" i="14" s="1"/>
  <c r="G195" i="14"/>
  <c r="G88" i="14"/>
  <c r="G83" i="14"/>
  <c r="G107" i="14"/>
  <c r="H107" i="14" s="1"/>
  <c r="I107" i="14" s="1"/>
  <c r="J107" i="14" s="1"/>
  <c r="K107" i="14" s="1"/>
  <c r="L107" i="14" s="1"/>
  <c r="E233" i="14"/>
  <c r="G201" i="14"/>
  <c r="H201" i="14" s="1"/>
  <c r="I201" i="14" s="1"/>
  <c r="G179" i="14"/>
  <c r="G72" i="14"/>
  <c r="E211" i="14"/>
  <c r="E210" i="14"/>
  <c r="E215" i="14"/>
  <c r="F194" i="14"/>
  <c r="F87" i="14"/>
  <c r="E231" i="14"/>
  <c r="G31" i="14"/>
  <c r="E213" i="14"/>
  <c r="F192" i="14"/>
  <c r="F232" i="14" s="1"/>
  <c r="F85" i="14"/>
  <c r="G199" i="14"/>
  <c r="G202" i="14"/>
  <c r="H202" i="14" s="1"/>
  <c r="G104" i="14"/>
  <c r="H104" i="14" s="1"/>
  <c r="I104" i="14" s="1"/>
  <c r="J104" i="14" s="1"/>
  <c r="K104" i="14" s="1"/>
  <c r="L104" i="14" s="1"/>
  <c r="AI119" i="14"/>
  <c r="E236" i="14"/>
  <c r="F204" i="14"/>
  <c r="F184" i="14"/>
  <c r="F224" i="14" s="1"/>
  <c r="F77" i="14"/>
  <c r="F71" i="14" s="1"/>
  <c r="F170" i="14"/>
  <c r="F210" i="14" s="1"/>
  <c r="F63" i="14"/>
  <c r="E216" i="14"/>
  <c r="F169" i="14"/>
  <c r="F62" i="14"/>
  <c r="F21" i="14"/>
  <c r="E71" i="14"/>
  <c r="L174" i="14"/>
  <c r="L214" i="14" s="1"/>
  <c r="L67" i="14"/>
  <c r="E234" i="14"/>
  <c r="G172" i="14"/>
  <c r="G212" i="14" s="1"/>
  <c r="G65" i="14"/>
  <c r="E245" i="14" l="1"/>
  <c r="E352" i="14" s="1"/>
  <c r="E228" i="14"/>
  <c r="E241" i="14" s="1"/>
  <c r="AI104" i="14"/>
  <c r="AI103" i="14"/>
  <c r="AI105" i="14"/>
  <c r="F188" i="14"/>
  <c r="G190" i="14"/>
  <c r="G230" i="14" s="1"/>
  <c r="E208" i="14"/>
  <c r="E239" i="14" s="1"/>
  <c r="E167" i="10"/>
  <c r="F27" i="12"/>
  <c r="E106" i="10"/>
  <c r="F19" i="12"/>
  <c r="E176" i="10"/>
  <c r="F18" i="12"/>
  <c r="E122" i="10"/>
  <c r="E158" i="10"/>
  <c r="F26" i="12"/>
  <c r="E140" i="10"/>
  <c r="E187" i="10"/>
  <c r="F17" i="12"/>
  <c r="F22" i="12"/>
  <c r="C22" i="12" s="1"/>
  <c r="F20" i="12"/>
  <c r="F16" i="12"/>
  <c r="C16" i="12" s="1"/>
  <c r="E149" i="10"/>
  <c r="E114" i="10"/>
  <c r="F28" i="12"/>
  <c r="E89" i="10"/>
  <c r="G204" i="14"/>
  <c r="H204" i="14" s="1"/>
  <c r="I181" i="14"/>
  <c r="I221" i="14" s="1"/>
  <c r="I74" i="14"/>
  <c r="G174" i="14"/>
  <c r="G67" i="14"/>
  <c r="G193" i="14"/>
  <c r="H172" i="14"/>
  <c r="H212" i="14" s="1"/>
  <c r="H65" i="14"/>
  <c r="G169" i="14"/>
  <c r="G62" i="14"/>
  <c r="G21" i="14"/>
  <c r="G192" i="14"/>
  <c r="G232" i="14" s="1"/>
  <c r="G85" i="14"/>
  <c r="AI106" i="14"/>
  <c r="H182" i="14"/>
  <c r="H222" i="14" s="1"/>
  <c r="H75" i="14"/>
  <c r="G176" i="14"/>
  <c r="G69" i="14"/>
  <c r="G101" i="14"/>
  <c r="H102" i="14"/>
  <c r="H190" i="14"/>
  <c r="H83" i="14"/>
  <c r="H51" i="14"/>
  <c r="J82" i="14"/>
  <c r="M174" i="14"/>
  <c r="M214" i="14" s="1"/>
  <c r="M67" i="14"/>
  <c r="F61" i="14"/>
  <c r="H31" i="14"/>
  <c r="F234" i="14"/>
  <c r="F228" i="14" s="1"/>
  <c r="F241" i="14" s="1"/>
  <c r="H179" i="14"/>
  <c r="H72" i="14"/>
  <c r="I171" i="14"/>
  <c r="I64" i="14"/>
  <c r="G170" i="14"/>
  <c r="G210" i="14" s="1"/>
  <c r="G63" i="14"/>
  <c r="H199" i="14"/>
  <c r="G194" i="14"/>
  <c r="G87" i="14"/>
  <c r="F209" i="14"/>
  <c r="F168" i="14"/>
  <c r="G184" i="14"/>
  <c r="G224" i="14" s="1"/>
  <c r="G77" i="14"/>
  <c r="G229" i="14"/>
  <c r="I202" i="14"/>
  <c r="H195" i="14"/>
  <c r="H235" i="14" s="1"/>
  <c r="H88" i="14"/>
  <c r="G183" i="14"/>
  <c r="G223" i="14" s="1"/>
  <c r="G76" i="14"/>
  <c r="G180" i="14"/>
  <c r="G220" i="14" s="1"/>
  <c r="G73" i="14"/>
  <c r="H200" i="14"/>
  <c r="G222" i="14"/>
  <c r="G191" i="14"/>
  <c r="G84" i="14"/>
  <c r="H175" i="14"/>
  <c r="H68" i="14"/>
  <c r="G219" i="14"/>
  <c r="H193" i="14"/>
  <c r="H86" i="14"/>
  <c r="G51" i="14"/>
  <c r="F198" i="14"/>
  <c r="AI107" i="14"/>
  <c r="G235" i="14"/>
  <c r="G203" i="14"/>
  <c r="G198" i="14" s="1"/>
  <c r="F220" i="14"/>
  <c r="F178" i="14"/>
  <c r="G173" i="14"/>
  <c r="G66" i="14"/>
  <c r="I196" i="14"/>
  <c r="I236" i="14" s="1"/>
  <c r="I89" i="14"/>
  <c r="E218" i="14"/>
  <c r="E240" i="14" s="1"/>
  <c r="E242" i="14" l="1"/>
  <c r="G188" i="14"/>
  <c r="G178" i="14"/>
  <c r="G71" i="14"/>
  <c r="F23" i="12"/>
  <c r="F24" i="12" s="1"/>
  <c r="F29" i="12"/>
  <c r="E246" i="14"/>
  <c r="E353" i="14" s="1"/>
  <c r="E243" i="14"/>
  <c r="J196" i="14"/>
  <c r="J236" i="14" s="1"/>
  <c r="J89" i="14"/>
  <c r="I175" i="14"/>
  <c r="I215" i="14" s="1"/>
  <c r="I68" i="14"/>
  <c r="G234" i="14"/>
  <c r="I211" i="14"/>
  <c r="H219" i="14"/>
  <c r="H176" i="14"/>
  <c r="H216" i="14" s="1"/>
  <c r="H69" i="14"/>
  <c r="G61" i="14"/>
  <c r="J181" i="14"/>
  <c r="J74" i="14"/>
  <c r="G213" i="14"/>
  <c r="I31" i="14"/>
  <c r="H169" i="14"/>
  <c r="H62" i="14"/>
  <c r="H21" i="14"/>
  <c r="H183" i="14"/>
  <c r="H76" i="14"/>
  <c r="I190" i="14"/>
  <c r="I83" i="14"/>
  <c r="H192" i="14"/>
  <c r="H85" i="14"/>
  <c r="G209" i="14"/>
  <c r="G168" i="14"/>
  <c r="G233" i="14"/>
  <c r="F218" i="14"/>
  <c r="F240" i="14" s="1"/>
  <c r="I193" i="14"/>
  <c r="I86" i="14"/>
  <c r="H215" i="14"/>
  <c r="F208" i="14"/>
  <c r="F239" i="14" s="1"/>
  <c r="I199" i="14"/>
  <c r="H230" i="14"/>
  <c r="G216" i="14"/>
  <c r="H174" i="14"/>
  <c r="H214" i="14" s="1"/>
  <c r="H67" i="14"/>
  <c r="G231" i="14"/>
  <c r="H173" i="14"/>
  <c r="H213" i="14" s="1"/>
  <c r="H66" i="14"/>
  <c r="H203" i="14"/>
  <c r="I203" i="14" s="1"/>
  <c r="G81" i="14"/>
  <c r="H184" i="14"/>
  <c r="H224" i="14" s="1"/>
  <c r="H77" i="14"/>
  <c r="H170" i="14"/>
  <c r="H210" i="14" s="1"/>
  <c r="H63" i="14"/>
  <c r="I179" i="14"/>
  <c r="I72" i="14"/>
  <c r="N174" i="14"/>
  <c r="N214" i="14" s="1"/>
  <c r="N67" i="14"/>
  <c r="I182" i="14"/>
  <c r="I222" i="14" s="1"/>
  <c r="I75" i="14"/>
  <c r="I172" i="14"/>
  <c r="I212" i="14" s="1"/>
  <c r="I65" i="14"/>
  <c r="J201" i="14"/>
  <c r="G218" i="14"/>
  <c r="G240" i="14" s="1"/>
  <c r="H191" i="14"/>
  <c r="H231" i="14" s="1"/>
  <c r="H84" i="14"/>
  <c r="H81" i="14" s="1"/>
  <c r="H180" i="14"/>
  <c r="H178" i="14" s="1"/>
  <c r="H73" i="14"/>
  <c r="H71" i="14" s="1"/>
  <c r="I41" i="14"/>
  <c r="I195" i="14"/>
  <c r="I88" i="14"/>
  <c r="H194" i="14"/>
  <c r="H234" i="14" s="1"/>
  <c r="H87" i="14"/>
  <c r="J171" i="14"/>
  <c r="J211" i="14" s="1"/>
  <c r="J64" i="14"/>
  <c r="H41" i="14"/>
  <c r="K82" i="14"/>
  <c r="I102" i="14"/>
  <c r="H101" i="14"/>
  <c r="H189" i="14"/>
  <c r="I189" i="14"/>
  <c r="G214" i="14"/>
  <c r="G228" i="14" l="1"/>
  <c r="G241" i="14" s="1"/>
  <c r="F242" i="14"/>
  <c r="G25" i="3" s="1"/>
  <c r="F30" i="12"/>
  <c r="H232" i="14"/>
  <c r="I176" i="14"/>
  <c r="I69" i="14"/>
  <c r="J175" i="14"/>
  <c r="J68" i="14"/>
  <c r="L82" i="14"/>
  <c r="J195" i="14"/>
  <c r="J235" i="14" s="1"/>
  <c r="J88" i="14"/>
  <c r="J172" i="14"/>
  <c r="J212" i="14" s="1"/>
  <c r="J65" i="14"/>
  <c r="I63" i="14"/>
  <c r="I170" i="14"/>
  <c r="I210" i="14" s="1"/>
  <c r="I51" i="14"/>
  <c r="H61" i="14"/>
  <c r="I219" i="14"/>
  <c r="J199" i="14"/>
  <c r="I235" i="14"/>
  <c r="F243" i="14"/>
  <c r="F246" i="14"/>
  <c r="F353" i="14" s="1"/>
  <c r="I233" i="14"/>
  <c r="G208" i="14"/>
  <c r="G239" i="14" s="1"/>
  <c r="G242" i="14" s="1"/>
  <c r="H25" i="3" s="1"/>
  <c r="I183" i="14"/>
  <c r="I223" i="14" s="1"/>
  <c r="I76" i="14"/>
  <c r="H209" i="14"/>
  <c r="H208" i="14" s="1"/>
  <c r="H239" i="14" s="1"/>
  <c r="H168" i="14"/>
  <c r="K181" i="14"/>
  <c r="K221" i="14" s="1"/>
  <c r="K74" i="14"/>
  <c r="I200" i="14"/>
  <c r="K201" i="14"/>
  <c r="L201" i="14" s="1"/>
  <c r="M201" i="14" s="1"/>
  <c r="N201" i="14" s="1"/>
  <c r="O201" i="14" s="1"/>
  <c r="P201" i="14" s="1"/>
  <c r="Q201" i="14" s="1"/>
  <c r="R201" i="14" s="1"/>
  <c r="S201" i="14" s="1"/>
  <c r="T201" i="14" s="1"/>
  <c r="U201" i="14" s="1"/>
  <c r="V201" i="14" s="1"/>
  <c r="W201" i="14" s="1"/>
  <c r="X201" i="14" s="1"/>
  <c r="Y201" i="14" s="1"/>
  <c r="Z201" i="14" s="1"/>
  <c r="AA201" i="14" s="1"/>
  <c r="AB201" i="14" s="1"/>
  <c r="AC201" i="14" s="1"/>
  <c r="AD201" i="14" s="1"/>
  <c r="AE201" i="14" s="1"/>
  <c r="AF201" i="14" s="1"/>
  <c r="AG201" i="14" s="1"/>
  <c r="AH201" i="14" s="1"/>
  <c r="I184" i="14"/>
  <c r="I77" i="14"/>
  <c r="J193" i="14"/>
  <c r="J233" i="14" s="1"/>
  <c r="J86" i="14"/>
  <c r="I204" i="14"/>
  <c r="J203" i="14"/>
  <c r="I174" i="14"/>
  <c r="I67" i="14"/>
  <c r="J190" i="14"/>
  <c r="J83" i="14"/>
  <c r="H223" i="14"/>
  <c r="J221" i="14"/>
  <c r="K196" i="14"/>
  <c r="K89" i="14"/>
  <c r="I229" i="14"/>
  <c r="J179" i="14"/>
  <c r="J72" i="14"/>
  <c r="H233" i="14"/>
  <c r="I173" i="14"/>
  <c r="I213" i="14" s="1"/>
  <c r="I66" i="14"/>
  <c r="I192" i="14"/>
  <c r="I232" i="14" s="1"/>
  <c r="I85" i="14"/>
  <c r="I230" i="14"/>
  <c r="J31" i="14"/>
  <c r="J182" i="14"/>
  <c r="J222" i="14" s="1"/>
  <c r="J75" i="14"/>
  <c r="I194" i="14"/>
  <c r="I87" i="14"/>
  <c r="I191" i="14"/>
  <c r="I231" i="14" s="1"/>
  <c r="I84" i="14"/>
  <c r="H229" i="14"/>
  <c r="H188" i="14"/>
  <c r="I180" i="14"/>
  <c r="I220" i="14" s="1"/>
  <c r="I73" i="14"/>
  <c r="I71" i="14" s="1"/>
  <c r="J102" i="14"/>
  <c r="J189" i="14" s="1"/>
  <c r="I101" i="14"/>
  <c r="K171" i="14"/>
  <c r="K64" i="14"/>
  <c r="J202" i="14"/>
  <c r="H220" i="14"/>
  <c r="O174" i="14"/>
  <c r="O214" i="14" s="1"/>
  <c r="O67" i="14"/>
  <c r="H198" i="14"/>
  <c r="I169" i="14"/>
  <c r="I21" i="14"/>
  <c r="I62" i="14"/>
  <c r="I81" i="14" l="1"/>
  <c r="I234" i="14"/>
  <c r="J229" i="14"/>
  <c r="K182" i="14"/>
  <c r="K222" i="14" s="1"/>
  <c r="K75" i="14"/>
  <c r="J192" i="14"/>
  <c r="J232" i="14" s="1"/>
  <c r="J85" i="14"/>
  <c r="I188" i="14"/>
  <c r="K190" i="14"/>
  <c r="K83" i="14"/>
  <c r="I214" i="14"/>
  <c r="J200" i="14"/>
  <c r="J198" i="14" s="1"/>
  <c r="J183" i="14"/>
  <c r="J223" i="14" s="1"/>
  <c r="J76" i="14"/>
  <c r="J71" i="14" s="1"/>
  <c r="K199" i="14"/>
  <c r="K195" i="14"/>
  <c r="K88" i="14"/>
  <c r="I216" i="14"/>
  <c r="J169" i="14"/>
  <c r="J62" i="14"/>
  <c r="J21" i="14"/>
  <c r="K211" i="14"/>
  <c r="H228" i="14"/>
  <c r="H241" i="14" s="1"/>
  <c r="I228" i="14"/>
  <c r="I241" i="14" s="1"/>
  <c r="K203" i="14"/>
  <c r="J184" i="14"/>
  <c r="J224" i="14" s="1"/>
  <c r="J77" i="14"/>
  <c r="I198" i="14"/>
  <c r="K172" i="14"/>
  <c r="K65" i="14"/>
  <c r="K175" i="14"/>
  <c r="K215" i="14" s="1"/>
  <c r="K68" i="14"/>
  <c r="L171" i="14"/>
  <c r="L211" i="14" s="1"/>
  <c r="L64" i="14"/>
  <c r="I61" i="14"/>
  <c r="J180" i="14"/>
  <c r="J73" i="14"/>
  <c r="J191" i="14"/>
  <c r="J231" i="14" s="1"/>
  <c r="J84" i="14"/>
  <c r="J81" i="14" s="1"/>
  <c r="J41" i="14"/>
  <c r="L196" i="14"/>
  <c r="L236" i="14" s="1"/>
  <c r="L89" i="14"/>
  <c r="J204" i="14"/>
  <c r="K204" i="14" s="1"/>
  <c r="G246" i="14"/>
  <c r="G353" i="14" s="1"/>
  <c r="G243" i="14"/>
  <c r="K102" i="14"/>
  <c r="J101" i="14"/>
  <c r="K189" i="14"/>
  <c r="J194" i="14"/>
  <c r="J234" i="14" s="1"/>
  <c r="J87" i="14"/>
  <c r="J219" i="14"/>
  <c r="J51" i="14"/>
  <c r="K179" i="14"/>
  <c r="K72" i="14"/>
  <c r="K193" i="14"/>
  <c r="K233" i="14" s="1"/>
  <c r="K86" i="14"/>
  <c r="I224" i="14"/>
  <c r="L181" i="14"/>
  <c r="L221" i="14" s="1"/>
  <c r="L74" i="14"/>
  <c r="I178" i="14"/>
  <c r="M82" i="14"/>
  <c r="J215" i="14"/>
  <c r="H218" i="14"/>
  <c r="H240" i="14" s="1"/>
  <c r="I209" i="14"/>
  <c r="I168" i="14"/>
  <c r="P174" i="14"/>
  <c r="P214" i="14" s="1"/>
  <c r="P67" i="14"/>
  <c r="K202" i="14"/>
  <c r="L202" i="14" s="1"/>
  <c r="M202" i="14" s="1"/>
  <c r="N202" i="14" s="1"/>
  <c r="O202" i="14" s="1"/>
  <c r="P202" i="14" s="1"/>
  <c r="Q202" i="14" s="1"/>
  <c r="R202" i="14" s="1"/>
  <c r="S202" i="14" s="1"/>
  <c r="T202" i="14" s="1"/>
  <c r="U202" i="14" s="1"/>
  <c r="V202" i="14" s="1"/>
  <c r="W202" i="14" s="1"/>
  <c r="X202" i="14" s="1"/>
  <c r="Y202" i="14" s="1"/>
  <c r="Z202" i="14" s="1"/>
  <c r="AA202" i="14" s="1"/>
  <c r="AB202" i="14" s="1"/>
  <c r="AC202" i="14" s="1"/>
  <c r="AD202" i="14" s="1"/>
  <c r="AE202" i="14" s="1"/>
  <c r="AF202" i="14" s="1"/>
  <c r="AG202" i="14" s="1"/>
  <c r="AH202" i="14" s="1"/>
  <c r="AI202" i="14" s="1"/>
  <c r="K31" i="14"/>
  <c r="J173" i="14"/>
  <c r="J66" i="14"/>
  <c r="K236" i="14"/>
  <c r="J174" i="14"/>
  <c r="J214" i="14" s="1"/>
  <c r="J67" i="14"/>
  <c r="AI201" i="14"/>
  <c r="I218" i="14"/>
  <c r="I240" i="14" s="1"/>
  <c r="J170" i="14"/>
  <c r="J63" i="14"/>
  <c r="J176" i="14"/>
  <c r="J216" i="14" s="1"/>
  <c r="J69" i="14"/>
  <c r="H242" i="14" l="1"/>
  <c r="I25" i="3" s="1"/>
  <c r="J230" i="14"/>
  <c r="I208" i="14"/>
  <c r="I239" i="14" s="1"/>
  <c r="H246" i="14"/>
  <c r="H353" i="14" s="1"/>
  <c r="H243" i="14"/>
  <c r="K219" i="14"/>
  <c r="K194" i="14"/>
  <c r="K234" i="14" s="1"/>
  <c r="K87" i="14"/>
  <c r="K180" i="14"/>
  <c r="K220" i="14" s="1"/>
  <c r="K73" i="14"/>
  <c r="J213" i="14"/>
  <c r="N82" i="14"/>
  <c r="M181" i="14"/>
  <c r="M221" i="14" s="1"/>
  <c r="M74" i="14"/>
  <c r="K212" i="14"/>
  <c r="J61" i="14"/>
  <c r="L190" i="14"/>
  <c r="L83" i="14"/>
  <c r="L51" i="14"/>
  <c r="K192" i="14"/>
  <c r="K85" i="14"/>
  <c r="K170" i="14"/>
  <c r="K210" i="14" s="1"/>
  <c r="K63" i="14"/>
  <c r="Q174" i="14"/>
  <c r="Q214" i="14" s="1"/>
  <c r="Q67" i="14"/>
  <c r="K229" i="14"/>
  <c r="J220" i="14"/>
  <c r="J218" i="14" s="1"/>
  <c r="J240" i="14" s="1"/>
  <c r="L175" i="14"/>
  <c r="L68" i="14"/>
  <c r="J168" i="14"/>
  <c r="J209" i="14"/>
  <c r="K235" i="14"/>
  <c r="K41" i="14"/>
  <c r="J178" i="14"/>
  <c r="K191" i="14"/>
  <c r="K84" i="14"/>
  <c r="K200" i="14"/>
  <c r="L200" i="14" s="1"/>
  <c r="J188" i="14"/>
  <c r="K169" i="14"/>
  <c r="K62" i="14"/>
  <c r="K21" i="14"/>
  <c r="K51" i="14"/>
  <c r="J210" i="14"/>
  <c r="L31" i="14"/>
  <c r="L179" i="14"/>
  <c r="L72" i="14"/>
  <c r="L102" i="14"/>
  <c r="K101" i="14"/>
  <c r="M196" i="14"/>
  <c r="M236" i="14" s="1"/>
  <c r="M89" i="14"/>
  <c r="M171" i="14"/>
  <c r="M211" i="14" s="1"/>
  <c r="M64" i="14"/>
  <c r="K184" i="14"/>
  <c r="K224" i="14" s="1"/>
  <c r="K77" i="14"/>
  <c r="L199" i="14"/>
  <c r="L182" i="14"/>
  <c r="L222" i="14" s="1"/>
  <c r="L75" i="14"/>
  <c r="J228" i="14"/>
  <c r="J241" i="14" s="1"/>
  <c r="L193" i="14"/>
  <c r="L86" i="14"/>
  <c r="L88" i="14"/>
  <c r="L195" i="14"/>
  <c r="L235" i="14" s="1"/>
  <c r="K176" i="14"/>
  <c r="K216" i="14" s="1"/>
  <c r="K69" i="14"/>
  <c r="K173" i="14"/>
  <c r="K213" i="14" s="1"/>
  <c r="K66" i="14"/>
  <c r="I242" i="14"/>
  <c r="J25" i="3" s="1"/>
  <c r="L204" i="14"/>
  <c r="L172" i="14"/>
  <c r="L212" i="14" s="1"/>
  <c r="L65" i="14"/>
  <c r="L189" i="14"/>
  <c r="K183" i="14"/>
  <c r="K76" i="14"/>
  <c r="L203" i="14"/>
  <c r="K81" i="14" l="1"/>
  <c r="K71" i="14"/>
  <c r="M203" i="14"/>
  <c r="N203" i="14" s="1"/>
  <c r="O203" i="14" s="1"/>
  <c r="P203" i="14" s="1"/>
  <c r="Q203" i="14" s="1"/>
  <c r="R203" i="14" s="1"/>
  <c r="S203" i="14" s="1"/>
  <c r="T203" i="14" s="1"/>
  <c r="U203" i="14" s="1"/>
  <c r="V203" i="14" s="1"/>
  <c r="W203" i="14" s="1"/>
  <c r="X203" i="14" s="1"/>
  <c r="Y203" i="14" s="1"/>
  <c r="Z203" i="14" s="1"/>
  <c r="AA203" i="14" s="1"/>
  <c r="AB203" i="14" s="1"/>
  <c r="AC203" i="14" s="1"/>
  <c r="AD203" i="14" s="1"/>
  <c r="AE203" i="14" s="1"/>
  <c r="AF203" i="14" s="1"/>
  <c r="AG203" i="14" s="1"/>
  <c r="AH203" i="14" s="1"/>
  <c r="AI203" i="14"/>
  <c r="M199" i="14"/>
  <c r="R199" i="14"/>
  <c r="L198" i="14"/>
  <c r="O189" i="14"/>
  <c r="O82" i="14"/>
  <c r="K178" i="14"/>
  <c r="M172" i="14"/>
  <c r="M212" i="14" s="1"/>
  <c r="M65" i="14"/>
  <c r="I246" i="14"/>
  <c r="I353" i="14" s="1"/>
  <c r="I243" i="14"/>
  <c r="L233" i="14"/>
  <c r="N64" i="14"/>
  <c r="N171" i="14"/>
  <c r="M72" i="14"/>
  <c r="M179" i="14"/>
  <c r="L191" i="14"/>
  <c r="L231" i="14" s="1"/>
  <c r="L84" i="14"/>
  <c r="R174" i="14"/>
  <c r="R67" i="14"/>
  <c r="M190" i="14"/>
  <c r="M83" i="14"/>
  <c r="M51" i="14"/>
  <c r="L180" i="14"/>
  <c r="L73" i="14"/>
  <c r="L183" i="14"/>
  <c r="L223" i="14" s="1"/>
  <c r="L76" i="14"/>
  <c r="L173" i="14"/>
  <c r="L213" i="14" s="1"/>
  <c r="L66" i="14"/>
  <c r="M193" i="14"/>
  <c r="M233" i="14" s="1"/>
  <c r="M86" i="14"/>
  <c r="L101" i="14"/>
  <c r="M189" i="14"/>
  <c r="AI102" i="14"/>
  <c r="AI101" i="14" s="1"/>
  <c r="L219" i="14"/>
  <c r="K230" i="14"/>
  <c r="L81" i="14"/>
  <c r="N181" i="14"/>
  <c r="N221" i="14" s="1"/>
  <c r="N74" i="14"/>
  <c r="M200" i="14"/>
  <c r="N200" i="14" s="1"/>
  <c r="O200" i="14" s="1"/>
  <c r="P200" i="14" s="1"/>
  <c r="Q200" i="14" s="1"/>
  <c r="R200" i="14" s="1"/>
  <c r="S200" i="14" s="1"/>
  <c r="T200" i="14" s="1"/>
  <c r="U200" i="14" s="1"/>
  <c r="V200" i="14" s="1"/>
  <c r="W200" i="14" s="1"/>
  <c r="X200" i="14"/>
  <c r="Y200" i="14" s="1"/>
  <c r="Z200" i="14" s="1"/>
  <c r="AA200" i="14" s="1"/>
  <c r="AB200" i="14" s="1"/>
  <c r="AC200" i="14" s="1"/>
  <c r="AD200" i="14" s="1"/>
  <c r="AE200" i="14" s="1"/>
  <c r="AF200" i="14" s="1"/>
  <c r="AG200" i="14" s="1"/>
  <c r="AH200" i="14" s="1"/>
  <c r="K231" i="14"/>
  <c r="M175" i="14"/>
  <c r="M215" i="14" s="1"/>
  <c r="M68" i="14"/>
  <c r="K188" i="14"/>
  <c r="L192" i="14"/>
  <c r="L232" i="14" s="1"/>
  <c r="L85" i="14"/>
  <c r="L230" i="14"/>
  <c r="N189" i="14"/>
  <c r="K223" i="14"/>
  <c r="M204" i="14"/>
  <c r="N204" i="14" s="1"/>
  <c r="O204" i="14" s="1"/>
  <c r="P204" i="14" s="1"/>
  <c r="Q204" i="14" s="1"/>
  <c r="R204" i="14" s="1"/>
  <c r="S204" i="14" s="1"/>
  <c r="T204" i="14" s="1"/>
  <c r="U204" i="14" s="1"/>
  <c r="V204" i="14" s="1"/>
  <c r="W204" i="14" s="1"/>
  <c r="X204" i="14" s="1"/>
  <c r="Y204" i="14" s="1"/>
  <c r="Z204" i="14" s="1"/>
  <c r="AA204" i="14" s="1"/>
  <c r="AB204" i="14" s="1"/>
  <c r="AC204" i="14" s="1"/>
  <c r="AD204" i="14" s="1"/>
  <c r="AE204" i="14" s="1"/>
  <c r="AF204" i="14" s="1"/>
  <c r="AG204" i="14" s="1"/>
  <c r="AH204" i="14" s="1"/>
  <c r="L184" i="14"/>
  <c r="L224" i="14" s="1"/>
  <c r="L77" i="14"/>
  <c r="N196" i="14"/>
  <c r="N236" i="14" s="1"/>
  <c r="N89" i="14"/>
  <c r="M31" i="14"/>
  <c r="L169" i="14"/>
  <c r="L62" i="14"/>
  <c r="L21" i="14"/>
  <c r="J208" i="14"/>
  <c r="J239" i="14" s="1"/>
  <c r="J242" i="14" s="1"/>
  <c r="K25" i="3" s="1"/>
  <c r="L194" i="14"/>
  <c r="L234" i="14" s="1"/>
  <c r="L87" i="14"/>
  <c r="L176" i="14"/>
  <c r="L216" i="14" s="1"/>
  <c r="L69" i="14"/>
  <c r="K209" i="14"/>
  <c r="K208" i="14" s="1"/>
  <c r="K239" i="14" s="1"/>
  <c r="K168" i="14"/>
  <c r="M195" i="14"/>
  <c r="M235" i="14" s="1"/>
  <c r="M88" i="14"/>
  <c r="L229" i="14"/>
  <c r="M182" i="14"/>
  <c r="M222" i="14" s="1"/>
  <c r="M75" i="14"/>
  <c r="K198" i="14"/>
  <c r="L41" i="14"/>
  <c r="K61" i="14"/>
  <c r="L215" i="14"/>
  <c r="L170" i="14"/>
  <c r="L210" i="14" s="1"/>
  <c r="L63" i="14"/>
  <c r="K232" i="14"/>
  <c r="L178" i="14" l="1"/>
  <c r="L71" i="14"/>
  <c r="AI204" i="14"/>
  <c r="L188" i="14"/>
  <c r="M169" i="14"/>
  <c r="M62" i="14"/>
  <c r="M21" i="14"/>
  <c r="M229" i="14"/>
  <c r="S174" i="14"/>
  <c r="S214" i="14" s="1"/>
  <c r="S67" i="14"/>
  <c r="M219" i="14"/>
  <c r="N175" i="14"/>
  <c r="N68" i="14"/>
  <c r="M180" i="14"/>
  <c r="M220" i="14" s="1"/>
  <c r="M73" i="14"/>
  <c r="M71" i="14" s="1"/>
  <c r="O171" i="14"/>
  <c r="O211" i="14" s="1"/>
  <c r="O64" i="14"/>
  <c r="L228" i="14"/>
  <c r="L241" i="14" s="1"/>
  <c r="M176" i="14"/>
  <c r="M216" i="14" s="1"/>
  <c r="M69" i="14"/>
  <c r="L61" i="14"/>
  <c r="N195" i="14"/>
  <c r="N235" i="14" s="1"/>
  <c r="N88" i="14"/>
  <c r="K228" i="14"/>
  <c r="K241" i="14" s="1"/>
  <c r="L209" i="14"/>
  <c r="L208" i="14" s="1"/>
  <c r="L239" i="14" s="1"/>
  <c r="L168" i="14"/>
  <c r="M184" i="14"/>
  <c r="M224" i="14" s="1"/>
  <c r="M77" i="14"/>
  <c r="M192" i="14"/>
  <c r="M232" i="14" s="1"/>
  <c r="M85" i="14"/>
  <c r="N193" i="14"/>
  <c r="N233" i="14" s="1"/>
  <c r="N86" i="14"/>
  <c r="M183" i="14"/>
  <c r="M223" i="14" s="1"/>
  <c r="M76" i="14"/>
  <c r="L220" i="14"/>
  <c r="L218" i="14" s="1"/>
  <c r="L240" i="14" s="1"/>
  <c r="M41" i="14"/>
  <c r="S199" i="14"/>
  <c r="R198" i="14"/>
  <c r="N182" i="14"/>
  <c r="N222" i="14" s="1"/>
  <c r="N75" i="14"/>
  <c r="J246" i="14"/>
  <c r="J353" i="14" s="1"/>
  <c r="J243" i="14"/>
  <c r="O181" i="14"/>
  <c r="O221" i="14" s="1"/>
  <c r="O74" i="14"/>
  <c r="R214" i="14"/>
  <c r="N179" i="14"/>
  <c r="N72" i="14"/>
  <c r="N41" i="14"/>
  <c r="P189" i="14"/>
  <c r="P82" i="14"/>
  <c r="N199" i="14"/>
  <c r="M198" i="14"/>
  <c r="M230" i="14"/>
  <c r="M170" i="14"/>
  <c r="M210" i="14" s="1"/>
  <c r="M63" i="14"/>
  <c r="M194" i="14"/>
  <c r="M234" i="14" s="1"/>
  <c r="M87" i="14"/>
  <c r="N31" i="14"/>
  <c r="N229" i="14"/>
  <c r="N190" i="14"/>
  <c r="N230" i="14" s="1"/>
  <c r="N83" i="14"/>
  <c r="M191" i="14"/>
  <c r="M231" i="14" s="1"/>
  <c r="M84" i="14"/>
  <c r="M81" i="14" s="1"/>
  <c r="O196" i="14"/>
  <c r="O236" i="14" s="1"/>
  <c r="O89" i="14"/>
  <c r="AI200" i="14"/>
  <c r="M173" i="14"/>
  <c r="M213" i="14" s="1"/>
  <c r="M66" i="14"/>
  <c r="K218" i="14"/>
  <c r="K240" i="14" s="1"/>
  <c r="N211" i="14"/>
  <c r="N172" i="14"/>
  <c r="N212" i="14" s="1"/>
  <c r="N65" i="14"/>
  <c r="K242" i="14" l="1"/>
  <c r="L25" i="3" s="1"/>
  <c r="M178" i="14"/>
  <c r="K246" i="14"/>
  <c r="K353" i="14" s="1"/>
  <c r="K243" i="14"/>
  <c r="O83" i="14"/>
  <c r="O190" i="14"/>
  <c r="O51" i="14"/>
  <c r="N184" i="14"/>
  <c r="N224" i="14" s="1"/>
  <c r="N77" i="14"/>
  <c r="T174" i="14"/>
  <c r="T214" i="14" s="1"/>
  <c r="T67" i="14"/>
  <c r="N169" i="14"/>
  <c r="N62" i="14"/>
  <c r="N21" i="14"/>
  <c r="O172" i="14"/>
  <c r="O212" i="14" s="1"/>
  <c r="O65" i="14"/>
  <c r="O31" i="14"/>
  <c r="N183" i="14"/>
  <c r="N223" i="14" s="1"/>
  <c r="N76" i="14"/>
  <c r="O175" i="14"/>
  <c r="O215" i="14" s="1"/>
  <c r="O68" i="14"/>
  <c r="M61" i="14"/>
  <c r="N170" i="14"/>
  <c r="N210" i="14" s="1"/>
  <c r="N63" i="14"/>
  <c r="P196" i="14"/>
  <c r="P236" i="14" s="1"/>
  <c r="P89" i="14"/>
  <c r="N191" i="14"/>
  <c r="N231" i="14" s="1"/>
  <c r="N84" i="14"/>
  <c r="N81" i="14" s="1"/>
  <c r="N87" i="14"/>
  <c r="N194" i="14"/>
  <c r="N234" i="14" s="1"/>
  <c r="N219" i="14"/>
  <c r="N192" i="14"/>
  <c r="N232" i="14" s="1"/>
  <c r="N85" i="14"/>
  <c r="P171" i="14"/>
  <c r="P211" i="14" s="1"/>
  <c r="P64" i="14"/>
  <c r="M209" i="14"/>
  <c r="M208" i="14" s="1"/>
  <c r="M239" i="14" s="1"/>
  <c r="M168" i="14"/>
  <c r="O199" i="14"/>
  <c r="N198" i="14"/>
  <c r="N173" i="14"/>
  <c r="N213" i="14" s="1"/>
  <c r="N66" i="14"/>
  <c r="T199" i="14"/>
  <c r="S198" i="14"/>
  <c r="L242" i="14"/>
  <c r="M25" i="3" s="1"/>
  <c r="N176" i="14"/>
  <c r="N216" i="14" s="1"/>
  <c r="N69" i="14"/>
  <c r="N215" i="14"/>
  <c r="M188" i="14"/>
  <c r="O179" i="14"/>
  <c r="O72" i="14"/>
  <c r="P181" i="14"/>
  <c r="P221" i="14" s="1"/>
  <c r="P74" i="14"/>
  <c r="O182" i="14"/>
  <c r="O222" i="14" s="1"/>
  <c r="O75" i="14"/>
  <c r="O195" i="14"/>
  <c r="O235" i="14" s="1"/>
  <c r="O88" i="14"/>
  <c r="N51" i="14"/>
  <c r="Q189" i="14"/>
  <c r="Q82" i="14"/>
  <c r="O193" i="14"/>
  <c r="O233" i="14" s="1"/>
  <c r="O86" i="14"/>
  <c r="N180" i="14"/>
  <c r="N220" i="14" s="1"/>
  <c r="N73" i="14"/>
  <c r="N71" i="14" s="1"/>
  <c r="M218" i="14"/>
  <c r="M240" i="14" s="1"/>
  <c r="M228" i="14"/>
  <c r="M241" i="14" s="1"/>
  <c r="N228" i="14" l="1"/>
  <c r="N241" i="14" s="1"/>
  <c r="M242" i="14"/>
  <c r="N25" i="3" s="1"/>
  <c r="O176" i="14"/>
  <c r="O216" i="14" s="1"/>
  <c r="O69" i="14"/>
  <c r="O219" i="14"/>
  <c r="O192" i="14"/>
  <c r="O232" i="14" s="1"/>
  <c r="O85" i="14"/>
  <c r="O194" i="14"/>
  <c r="O234" i="14" s="1"/>
  <c r="O87" i="14"/>
  <c r="Q89" i="14"/>
  <c r="Q196" i="14"/>
  <c r="Q236" i="14" s="1"/>
  <c r="O230" i="14"/>
  <c r="U174" i="14"/>
  <c r="U214" i="14" s="1"/>
  <c r="U67" i="14"/>
  <c r="P195" i="14"/>
  <c r="P235" i="14" s="1"/>
  <c r="P88" i="14"/>
  <c r="O173" i="14"/>
  <c r="O213" i="14" s="1"/>
  <c r="O66" i="14"/>
  <c r="M246" i="14"/>
  <c r="M353" i="14" s="1"/>
  <c r="M243" i="14"/>
  <c r="P175" i="14"/>
  <c r="P215" i="14" s="1"/>
  <c r="P68" i="14"/>
  <c r="O169" i="14"/>
  <c r="O21" i="14"/>
  <c r="O62" i="14"/>
  <c r="O198" i="14"/>
  <c r="P199" i="14"/>
  <c r="O229" i="14"/>
  <c r="Q171" i="14"/>
  <c r="Q211" i="14" s="1"/>
  <c r="Q64" i="14"/>
  <c r="P190" i="14"/>
  <c r="P83" i="14"/>
  <c r="R189" i="14"/>
  <c r="R82" i="14"/>
  <c r="P193" i="14"/>
  <c r="P233" i="14" s="1"/>
  <c r="P86" i="14"/>
  <c r="N188" i="14"/>
  <c r="P179" i="14"/>
  <c r="P72" i="14"/>
  <c r="P41" i="14"/>
  <c r="N178" i="14"/>
  <c r="O170" i="14"/>
  <c r="O210" i="14" s="1"/>
  <c r="O63" i="14"/>
  <c r="P31" i="14"/>
  <c r="N61" i="14"/>
  <c r="O180" i="14"/>
  <c r="O220" i="14" s="1"/>
  <c r="O73" i="14"/>
  <c r="Q181" i="14"/>
  <c r="Q221" i="14" s="1"/>
  <c r="Q74" i="14"/>
  <c r="L243" i="14"/>
  <c r="L246" i="14"/>
  <c r="L353" i="14" s="1"/>
  <c r="P182" i="14"/>
  <c r="P222" i="14" s="1"/>
  <c r="P75" i="14"/>
  <c r="O41" i="14"/>
  <c r="U199" i="14"/>
  <c r="T198" i="14"/>
  <c r="N218" i="14"/>
  <c r="N240" i="14" s="1"/>
  <c r="O191" i="14"/>
  <c r="O231" i="14" s="1"/>
  <c r="O84" i="14"/>
  <c r="P51" i="14"/>
  <c r="O183" i="14"/>
  <c r="O223" i="14" s="1"/>
  <c r="O76" i="14"/>
  <c r="P172" i="14"/>
  <c r="P212" i="14" s="1"/>
  <c r="P65" i="14"/>
  <c r="N209" i="14"/>
  <c r="N208" i="14" s="1"/>
  <c r="N239" i="14" s="1"/>
  <c r="N168" i="14"/>
  <c r="O184" i="14"/>
  <c r="O224" i="14" s="1"/>
  <c r="O77" i="14"/>
  <c r="O81" i="14" l="1"/>
  <c r="N242" i="14"/>
  <c r="O25" i="3" s="1"/>
  <c r="O71" i="14"/>
  <c r="Q182" i="14"/>
  <c r="Q222" i="14" s="1"/>
  <c r="Q75" i="14"/>
  <c r="Q31" i="14"/>
  <c r="Q179" i="14"/>
  <c r="Q72" i="14"/>
  <c r="Q193" i="14"/>
  <c r="Q233" i="14" s="1"/>
  <c r="Q86" i="14"/>
  <c r="R229" i="14"/>
  <c r="P194" i="14"/>
  <c r="P234" i="14" s="1"/>
  <c r="P87" i="14"/>
  <c r="O178" i="14"/>
  <c r="R171" i="14"/>
  <c r="R211" i="14" s="1"/>
  <c r="R64" i="14"/>
  <c r="Q175" i="14"/>
  <c r="Q215" i="14" s="1"/>
  <c r="Q68" i="14"/>
  <c r="N246" i="14"/>
  <c r="N353" i="14" s="1"/>
  <c r="N243" i="14"/>
  <c r="P183" i="14"/>
  <c r="P223" i="14" s="1"/>
  <c r="P76" i="14"/>
  <c r="P180" i="14"/>
  <c r="P220" i="14" s="1"/>
  <c r="P73" i="14"/>
  <c r="P170" i="14"/>
  <c r="P210" i="14" s="1"/>
  <c r="P63" i="14"/>
  <c r="P169" i="14"/>
  <c r="P62" i="14"/>
  <c r="P21" i="14"/>
  <c r="O188" i="14"/>
  <c r="O218" i="14"/>
  <c r="O240" i="14" s="1"/>
  <c r="Q172" i="14"/>
  <c r="Q212" i="14" s="1"/>
  <c r="Q65" i="14"/>
  <c r="U198" i="14"/>
  <c r="V199" i="14"/>
  <c r="P219" i="14"/>
  <c r="Q190" i="14"/>
  <c r="Q83" i="14"/>
  <c r="O228" i="14"/>
  <c r="O241" i="14" s="1"/>
  <c r="O61" i="14"/>
  <c r="Q195" i="14"/>
  <c r="Q235" i="14" s="1"/>
  <c r="Q88" i="14"/>
  <c r="P176" i="14"/>
  <c r="P216" i="14" s="1"/>
  <c r="P69" i="14"/>
  <c r="P184" i="14"/>
  <c r="P224" i="14" s="1"/>
  <c r="P77" i="14"/>
  <c r="R181" i="14"/>
  <c r="R221" i="14" s="1"/>
  <c r="R74" i="14"/>
  <c r="S189" i="14"/>
  <c r="S82" i="14"/>
  <c r="Q199" i="14"/>
  <c r="P198" i="14"/>
  <c r="P229" i="14"/>
  <c r="R196" i="14"/>
  <c r="R236" i="14" s="1"/>
  <c r="R89" i="14"/>
  <c r="P192" i="14"/>
  <c r="P232" i="14" s="1"/>
  <c r="P85" i="14"/>
  <c r="P191" i="14"/>
  <c r="P231" i="14" s="1"/>
  <c r="P84" i="14"/>
  <c r="P81" i="14" s="1"/>
  <c r="Q51" i="14"/>
  <c r="P230" i="14"/>
  <c r="O209" i="14"/>
  <c r="O208" i="14" s="1"/>
  <c r="O239" i="14" s="1"/>
  <c r="O168" i="14"/>
  <c r="P173" i="14"/>
  <c r="P213" i="14" s="1"/>
  <c r="P66" i="14"/>
  <c r="V174" i="14"/>
  <c r="V214" i="14" s="1"/>
  <c r="V67" i="14"/>
  <c r="P178" i="14" l="1"/>
  <c r="P218" i="14"/>
  <c r="P240" i="14" s="1"/>
  <c r="P71" i="14"/>
  <c r="P168" i="14"/>
  <c r="P209" i="14"/>
  <c r="P208" i="14" s="1"/>
  <c r="P239" i="14" s="1"/>
  <c r="S196" i="14"/>
  <c r="S236" i="14" s="1"/>
  <c r="S89" i="14"/>
  <c r="R175" i="14"/>
  <c r="R215" i="14" s="1"/>
  <c r="R68" i="14"/>
  <c r="R193" i="14"/>
  <c r="R233" i="14" s="1"/>
  <c r="R86" i="14"/>
  <c r="Q219" i="14"/>
  <c r="W174" i="14"/>
  <c r="W214" i="14" s="1"/>
  <c r="W67" i="14"/>
  <c r="W199" i="14"/>
  <c r="V198" i="14"/>
  <c r="Q170" i="14"/>
  <c r="Q210" i="14" s="1"/>
  <c r="Q63" i="14"/>
  <c r="Q183" i="14"/>
  <c r="Q223" i="14" s="1"/>
  <c r="Q76" i="14"/>
  <c r="R31" i="14"/>
  <c r="Q198" i="14"/>
  <c r="Q229" i="14"/>
  <c r="O242" i="14"/>
  <c r="P25" i="3" s="1"/>
  <c r="T189" i="14"/>
  <c r="T82" i="14"/>
  <c r="Q184" i="14"/>
  <c r="Q224" i="14" s="1"/>
  <c r="Q77" i="14"/>
  <c r="R195" i="14"/>
  <c r="R235" i="14" s="1"/>
  <c r="R88" i="14"/>
  <c r="R190" i="14"/>
  <c r="R83" i="14"/>
  <c r="Q194" i="14"/>
  <c r="Q234" i="14" s="1"/>
  <c r="Q87" i="14"/>
  <c r="S181" i="14"/>
  <c r="S221" i="14" s="1"/>
  <c r="S74" i="14"/>
  <c r="Q191" i="14"/>
  <c r="Q231" i="14" s="1"/>
  <c r="Q84" i="14"/>
  <c r="Q81" i="14" s="1"/>
  <c r="P188" i="14"/>
  <c r="Q192" i="14"/>
  <c r="Q232" i="14" s="1"/>
  <c r="Q85" i="14"/>
  <c r="R172" i="14"/>
  <c r="R212" i="14" s="1"/>
  <c r="R65" i="14"/>
  <c r="Q169" i="14"/>
  <c r="Q62" i="14"/>
  <c r="Q21" i="14"/>
  <c r="S171" i="14"/>
  <c r="S211" i="14" s="1"/>
  <c r="S64" i="14"/>
  <c r="Q41" i="14"/>
  <c r="R182" i="14"/>
  <c r="R222" i="14" s="1"/>
  <c r="R75" i="14"/>
  <c r="P228" i="14"/>
  <c r="P241" i="14" s="1"/>
  <c r="Q173" i="14"/>
  <c r="Q213" i="14" s="1"/>
  <c r="Q66" i="14"/>
  <c r="S229" i="14"/>
  <c r="Q230" i="14"/>
  <c r="P61" i="14"/>
  <c r="Q180" i="14"/>
  <c r="Q220" i="14" s="1"/>
  <c r="Q73" i="14"/>
  <c r="R179" i="14"/>
  <c r="R72" i="14"/>
  <c r="Q176" i="14"/>
  <c r="Q216" i="14" s="1"/>
  <c r="Q69" i="14"/>
  <c r="Q71" i="14" l="1"/>
  <c r="Q218" i="14"/>
  <c r="Q240" i="14" s="1"/>
  <c r="S190" i="14"/>
  <c r="S83" i="14"/>
  <c r="R184" i="14"/>
  <c r="R224" i="14" s="1"/>
  <c r="R77" i="14"/>
  <c r="R71" i="14" s="1"/>
  <c r="R183" i="14"/>
  <c r="R223" i="14" s="1"/>
  <c r="R76" i="14"/>
  <c r="R73" i="14"/>
  <c r="R180" i="14"/>
  <c r="R220" i="14" s="1"/>
  <c r="O246" i="14"/>
  <c r="O353" i="14" s="1"/>
  <c r="O243" i="14"/>
  <c r="X199" i="14"/>
  <c r="W198" i="14"/>
  <c r="T196" i="14"/>
  <c r="T236" i="14" s="1"/>
  <c r="T89" i="14"/>
  <c r="S182" i="14"/>
  <c r="S222" i="14" s="1"/>
  <c r="S75" i="14"/>
  <c r="T229" i="14"/>
  <c r="R41" i="14"/>
  <c r="R173" i="14"/>
  <c r="R213" i="14" s="1"/>
  <c r="R66" i="14"/>
  <c r="Q61" i="14"/>
  <c r="R191" i="14"/>
  <c r="R231" i="14" s="1"/>
  <c r="R84" i="14"/>
  <c r="R230" i="14"/>
  <c r="Q228" i="14"/>
  <c r="Q241" i="14" s="1"/>
  <c r="X174" i="14"/>
  <c r="X214" i="14" s="1"/>
  <c r="X67" i="14"/>
  <c r="S193" i="14"/>
  <c r="S233" i="14" s="1"/>
  <c r="S86" i="14"/>
  <c r="S195" i="14"/>
  <c r="S235" i="14" s="1"/>
  <c r="S88" i="14"/>
  <c r="S179" i="14"/>
  <c r="S72" i="14"/>
  <c r="Q188" i="14"/>
  <c r="T171" i="14"/>
  <c r="T211" i="14" s="1"/>
  <c r="T64" i="14"/>
  <c r="Q209" i="14"/>
  <c r="Q208" i="14" s="1"/>
  <c r="Q239" i="14" s="1"/>
  <c r="Q168" i="14"/>
  <c r="R192" i="14"/>
  <c r="R232" i="14" s="1"/>
  <c r="R85" i="14"/>
  <c r="U189" i="14"/>
  <c r="U82" i="14"/>
  <c r="S31" i="14"/>
  <c r="S175" i="14"/>
  <c r="S215" i="14" s="1"/>
  <c r="S68" i="14"/>
  <c r="P242" i="14"/>
  <c r="Q25" i="3" s="1"/>
  <c r="R169" i="14"/>
  <c r="R62" i="14"/>
  <c r="R61" i="14" s="1"/>
  <c r="R21" i="14"/>
  <c r="R194" i="14"/>
  <c r="R234" i="14" s="1"/>
  <c r="R87" i="14"/>
  <c r="R170" i="14"/>
  <c r="R210" i="14" s="1"/>
  <c r="R63" i="14"/>
  <c r="R176" i="14"/>
  <c r="R216" i="14" s="1"/>
  <c r="R69" i="14"/>
  <c r="R219" i="14"/>
  <c r="S65" i="14"/>
  <c r="S172" i="14"/>
  <c r="S212" i="14" s="1"/>
  <c r="T181" i="14"/>
  <c r="T221" i="14" s="1"/>
  <c r="T74" i="14"/>
  <c r="R51" i="14"/>
  <c r="Q178" i="14"/>
  <c r="R81" i="14" l="1"/>
  <c r="R188" i="14"/>
  <c r="Q242" i="14"/>
  <c r="R25" i="3" s="1"/>
  <c r="R228" i="14"/>
  <c r="R241" i="14" s="1"/>
  <c r="U171" i="14"/>
  <c r="U211" i="14" s="1"/>
  <c r="U64" i="14"/>
  <c r="S173" i="14"/>
  <c r="S213" i="14" s="1"/>
  <c r="S66" i="14"/>
  <c r="T182" i="14"/>
  <c r="T222" i="14" s="1"/>
  <c r="T75" i="14"/>
  <c r="S176" i="14"/>
  <c r="S216" i="14" s="1"/>
  <c r="S69" i="14"/>
  <c r="T172" i="14"/>
  <c r="T212" i="14" s="1"/>
  <c r="T65" i="14"/>
  <c r="T31" i="14"/>
  <c r="S192" i="14"/>
  <c r="S232" i="14" s="1"/>
  <c r="S85" i="14"/>
  <c r="T195" i="14"/>
  <c r="T235" i="14" s="1"/>
  <c r="T88" i="14"/>
  <c r="Y174" i="14"/>
  <c r="Y214" i="14" s="1"/>
  <c r="Y67" i="14"/>
  <c r="S191" i="14"/>
  <c r="S231" i="14" s="1"/>
  <c r="S84" i="14"/>
  <c r="S180" i="14"/>
  <c r="S220" i="14" s="1"/>
  <c r="S73" i="14"/>
  <c r="P246" i="14"/>
  <c r="P353" i="14" s="1"/>
  <c r="P243" i="14"/>
  <c r="V189" i="14"/>
  <c r="V82" i="14"/>
  <c r="S183" i="14"/>
  <c r="S223" i="14" s="1"/>
  <c r="S76" i="14"/>
  <c r="S51" i="14"/>
  <c r="R209" i="14"/>
  <c r="R208" i="14" s="1"/>
  <c r="R239" i="14" s="1"/>
  <c r="R168" i="14"/>
  <c r="S219" i="14"/>
  <c r="Y199" i="14"/>
  <c r="X198" i="14"/>
  <c r="S170" i="14"/>
  <c r="S210" i="14" s="1"/>
  <c r="S63" i="14"/>
  <c r="T175" i="14"/>
  <c r="T215" i="14" s="1"/>
  <c r="T68" i="14"/>
  <c r="S41" i="14"/>
  <c r="U196" i="14"/>
  <c r="U236" i="14" s="1"/>
  <c r="U89" i="14"/>
  <c r="T190" i="14"/>
  <c r="T83" i="14"/>
  <c r="R218" i="14"/>
  <c r="R240" i="14" s="1"/>
  <c r="U229" i="14"/>
  <c r="S194" i="14"/>
  <c r="S234" i="14" s="1"/>
  <c r="S87" i="14"/>
  <c r="U181" i="14"/>
  <c r="U221" i="14" s="1"/>
  <c r="U74" i="14"/>
  <c r="R178" i="14"/>
  <c r="S169" i="14"/>
  <c r="S62" i="14"/>
  <c r="S61" i="14" s="1"/>
  <c r="S21" i="14"/>
  <c r="T179" i="14"/>
  <c r="T72" i="14"/>
  <c r="T41" i="14"/>
  <c r="T193" i="14"/>
  <c r="T233" i="14" s="1"/>
  <c r="T86" i="14"/>
  <c r="S81" i="14"/>
  <c r="S184" i="14"/>
  <c r="S224" i="14" s="1"/>
  <c r="S77" i="14"/>
  <c r="S230" i="14"/>
  <c r="Q243" i="14" l="1"/>
  <c r="Q246" i="14"/>
  <c r="Q353" i="14" s="1"/>
  <c r="S228" i="14"/>
  <c r="S241" i="14" s="1"/>
  <c r="S71" i="14"/>
  <c r="V181" i="14"/>
  <c r="V221" i="14" s="1"/>
  <c r="V74" i="14"/>
  <c r="T230" i="14"/>
  <c r="Z199" i="14"/>
  <c r="Y198" i="14"/>
  <c r="S218" i="14"/>
  <c r="S240" i="14" s="1"/>
  <c r="T183" i="14"/>
  <c r="T223" i="14" s="1"/>
  <c r="T76" i="14"/>
  <c r="W189" i="14"/>
  <c r="W82" i="14"/>
  <c r="T84" i="14"/>
  <c r="T191" i="14"/>
  <c r="T231" i="14" s="1"/>
  <c r="U195" i="14"/>
  <c r="U235" i="14" s="1"/>
  <c r="U88" i="14"/>
  <c r="U193" i="14"/>
  <c r="U233" i="14" s="1"/>
  <c r="U86" i="14"/>
  <c r="U179" i="14"/>
  <c r="U72" i="14"/>
  <c r="V229" i="14"/>
  <c r="T176" i="14"/>
  <c r="T216" i="14" s="1"/>
  <c r="T69" i="14"/>
  <c r="T173" i="14"/>
  <c r="T213" i="14" s="1"/>
  <c r="T66" i="14"/>
  <c r="S188" i="14"/>
  <c r="T169" i="14"/>
  <c r="T62" i="14"/>
  <c r="T21" i="14"/>
  <c r="V196" i="14"/>
  <c r="V236" i="14" s="1"/>
  <c r="V89" i="14"/>
  <c r="T170" i="14"/>
  <c r="T210" i="14" s="1"/>
  <c r="T63" i="14"/>
  <c r="S178" i="14"/>
  <c r="U31" i="14"/>
  <c r="T219" i="14"/>
  <c r="U182" i="14"/>
  <c r="U222" i="14" s="1"/>
  <c r="U75" i="14"/>
  <c r="V171" i="14"/>
  <c r="V211" i="14" s="1"/>
  <c r="V64" i="14"/>
  <c r="T184" i="14"/>
  <c r="T224" i="14" s="1"/>
  <c r="T77" i="14"/>
  <c r="S209" i="14"/>
  <c r="S208" i="14" s="1"/>
  <c r="S239" i="14" s="1"/>
  <c r="S168" i="14"/>
  <c r="U190" i="14"/>
  <c r="U83" i="14"/>
  <c r="R242" i="14"/>
  <c r="S25" i="3" s="1"/>
  <c r="T180" i="14"/>
  <c r="T220" i="14" s="1"/>
  <c r="T73" i="14"/>
  <c r="T71" i="14" s="1"/>
  <c r="U41" i="14"/>
  <c r="Z174" i="14"/>
  <c r="Z214" i="14" s="1"/>
  <c r="Z67" i="14"/>
  <c r="U172" i="14"/>
  <c r="U212" i="14" s="1"/>
  <c r="U65" i="14"/>
  <c r="T194" i="14"/>
  <c r="T234" i="14" s="1"/>
  <c r="T87" i="14"/>
  <c r="T51" i="14"/>
  <c r="U175" i="14"/>
  <c r="U215" i="14" s="1"/>
  <c r="U68" i="14"/>
  <c r="T192" i="14"/>
  <c r="T232" i="14" s="1"/>
  <c r="T85" i="14"/>
  <c r="T81" i="14" s="1"/>
  <c r="T178" i="14" l="1"/>
  <c r="S242" i="14"/>
  <c r="T25" i="3" s="1"/>
  <c r="V179" i="14"/>
  <c r="V72" i="14"/>
  <c r="U191" i="14"/>
  <c r="U231" i="14" s="1"/>
  <c r="U84" i="14"/>
  <c r="U183" i="14"/>
  <c r="U223" i="14" s="1"/>
  <c r="U76" i="14"/>
  <c r="T188" i="14"/>
  <c r="W171" i="14"/>
  <c r="W211" i="14" s="1"/>
  <c r="W64" i="14"/>
  <c r="AA199" i="14"/>
  <c r="Z198" i="14"/>
  <c r="S246" i="14"/>
  <c r="S353" i="14" s="1"/>
  <c r="W196" i="14"/>
  <c r="W236" i="14" s="1"/>
  <c r="W89" i="14"/>
  <c r="T209" i="14"/>
  <c r="T208" i="14" s="1"/>
  <c r="T239" i="14" s="1"/>
  <c r="T168" i="14"/>
  <c r="U176" i="14"/>
  <c r="U216" i="14" s="1"/>
  <c r="U69" i="14"/>
  <c r="X189" i="14"/>
  <c r="X82" i="14"/>
  <c r="T228" i="14"/>
  <c r="T241" i="14" s="1"/>
  <c r="V190" i="14"/>
  <c r="V83" i="14"/>
  <c r="V51" i="14"/>
  <c r="AA174" i="14"/>
  <c r="AA214" i="14" s="1"/>
  <c r="AA67" i="14"/>
  <c r="U51" i="14"/>
  <c r="V31" i="14"/>
  <c r="V195" i="14"/>
  <c r="V235" i="14" s="1"/>
  <c r="V88" i="14"/>
  <c r="T61" i="14"/>
  <c r="U194" i="14"/>
  <c r="U234" i="14" s="1"/>
  <c r="U87" i="14"/>
  <c r="R243" i="14"/>
  <c r="R246" i="14"/>
  <c r="R353" i="14" s="1"/>
  <c r="V175" i="14"/>
  <c r="V215" i="14" s="1"/>
  <c r="V68" i="14"/>
  <c r="V182" i="14"/>
  <c r="V222" i="14" s="1"/>
  <c r="V75" i="14"/>
  <c r="U219" i="14"/>
  <c r="W74" i="14"/>
  <c r="W181" i="14"/>
  <c r="W221" i="14" s="1"/>
  <c r="T218" i="14"/>
  <c r="T240" i="14" s="1"/>
  <c r="U192" i="14"/>
  <c r="U232" i="14" s="1"/>
  <c r="U85" i="14"/>
  <c r="V172" i="14"/>
  <c r="V212" i="14" s="1"/>
  <c r="V65" i="14"/>
  <c r="U180" i="14"/>
  <c r="U220" i="14" s="1"/>
  <c r="U73" i="14"/>
  <c r="U71" i="14" s="1"/>
  <c r="V41" i="14"/>
  <c r="U230" i="14"/>
  <c r="U184" i="14"/>
  <c r="U224" i="14" s="1"/>
  <c r="U77" i="14"/>
  <c r="U170" i="14"/>
  <c r="U210" i="14" s="1"/>
  <c r="U63" i="14"/>
  <c r="U169" i="14"/>
  <c r="U21" i="14"/>
  <c r="U62" i="14"/>
  <c r="U173" i="14"/>
  <c r="U213" i="14" s="1"/>
  <c r="U66" i="14"/>
  <c r="V193" i="14"/>
  <c r="V233" i="14" s="1"/>
  <c r="V86" i="14"/>
  <c r="W229" i="14"/>
  <c r="S243" i="14" l="1"/>
  <c r="U81" i="14"/>
  <c r="V173" i="14"/>
  <c r="V213" i="14" s="1"/>
  <c r="V66" i="14"/>
  <c r="W175" i="14"/>
  <c r="W215" i="14" s="1"/>
  <c r="W68" i="14"/>
  <c r="U188" i="14"/>
  <c r="U218" i="14"/>
  <c r="U240" i="14" s="1"/>
  <c r="U228" i="14"/>
  <c r="U241" i="14" s="1"/>
  <c r="W31" i="14"/>
  <c r="W190" i="14"/>
  <c r="W83" i="14"/>
  <c r="T242" i="14"/>
  <c r="U25" i="3" s="1"/>
  <c r="U209" i="14"/>
  <c r="U208" i="14" s="1"/>
  <c r="U239" i="14" s="1"/>
  <c r="U168" i="14"/>
  <c r="Y189" i="14"/>
  <c r="Y82" i="14"/>
  <c r="W193" i="14"/>
  <c r="W233" i="14" s="1"/>
  <c r="W86" i="14"/>
  <c r="V169" i="14"/>
  <c r="V62" i="14"/>
  <c r="V61" i="14" s="1"/>
  <c r="V21" i="14"/>
  <c r="W172" i="14"/>
  <c r="W212" i="14" s="1"/>
  <c r="W65" i="14"/>
  <c r="U178" i="14"/>
  <c r="V170" i="14"/>
  <c r="V210" i="14" s="1"/>
  <c r="V63" i="14"/>
  <c r="V180" i="14"/>
  <c r="V220" i="14" s="1"/>
  <c r="V73" i="14"/>
  <c r="V71" i="14" s="1"/>
  <c r="V192" i="14"/>
  <c r="V232" i="14" s="1"/>
  <c r="V85" i="14"/>
  <c r="X181" i="14"/>
  <c r="X221" i="14" s="1"/>
  <c r="X74" i="14"/>
  <c r="W182" i="14"/>
  <c r="W222" i="14" s="1"/>
  <c r="W75" i="14"/>
  <c r="X229" i="14"/>
  <c r="X196" i="14"/>
  <c r="X236" i="14" s="1"/>
  <c r="X89" i="14"/>
  <c r="AA198" i="14"/>
  <c r="AB199" i="14"/>
  <c r="W179" i="14"/>
  <c r="W72" i="14"/>
  <c r="U61" i="14"/>
  <c r="V184" i="14"/>
  <c r="V224" i="14" s="1"/>
  <c r="V77" i="14"/>
  <c r="W195" i="14"/>
  <c r="W235" i="14" s="1"/>
  <c r="W88" i="14"/>
  <c r="AB174" i="14"/>
  <c r="AB214" i="14" s="1"/>
  <c r="AB67" i="14"/>
  <c r="V230" i="14"/>
  <c r="V176" i="14"/>
  <c r="V216" i="14" s="1"/>
  <c r="V69" i="14"/>
  <c r="X171" i="14"/>
  <c r="X211" i="14" s="1"/>
  <c r="X64" i="14"/>
  <c r="V183" i="14"/>
  <c r="V223" i="14" s="1"/>
  <c r="V76" i="14"/>
  <c r="V194" i="14"/>
  <c r="V234" i="14" s="1"/>
  <c r="V87" i="14"/>
  <c r="V191" i="14"/>
  <c r="V231" i="14" s="1"/>
  <c r="V84" i="14"/>
  <c r="W51" i="14"/>
  <c r="V219" i="14"/>
  <c r="V81" i="14" l="1"/>
  <c r="V218" i="14"/>
  <c r="V240" i="14" s="1"/>
  <c r="X175" i="14"/>
  <c r="X215" i="14" s="1"/>
  <c r="X68" i="14"/>
  <c r="W169" i="14"/>
  <c r="W62" i="14"/>
  <c r="W21" i="14"/>
  <c r="Z189" i="14"/>
  <c r="Z82" i="14"/>
  <c r="W176" i="14"/>
  <c r="W216" i="14" s="1"/>
  <c r="W69" i="14"/>
  <c r="W219" i="14"/>
  <c r="X172" i="14"/>
  <c r="X212" i="14" s="1"/>
  <c r="X65" i="14"/>
  <c r="AC199" i="14"/>
  <c r="AB198" i="14"/>
  <c r="V209" i="14"/>
  <c r="V208" i="14" s="1"/>
  <c r="V239" i="14" s="1"/>
  <c r="V168" i="14"/>
  <c r="X190" i="14"/>
  <c r="X83" i="14"/>
  <c r="W184" i="14"/>
  <c r="W224" i="14" s="1"/>
  <c r="W77" i="14"/>
  <c r="W180" i="14"/>
  <c r="W220" i="14" s="1"/>
  <c r="W73" i="14"/>
  <c r="X182" i="14"/>
  <c r="X222" i="14" s="1"/>
  <c r="X75" i="14"/>
  <c r="W192" i="14"/>
  <c r="W232" i="14" s="1"/>
  <c r="W85" i="14"/>
  <c r="W170" i="14"/>
  <c r="W210" i="14" s="1"/>
  <c r="W63" i="14"/>
  <c r="Y229" i="14"/>
  <c r="W173" i="14"/>
  <c r="W213" i="14" s="1"/>
  <c r="W66" i="14"/>
  <c r="Y181" i="14"/>
  <c r="Y221" i="14" s="1"/>
  <c r="Y74" i="14"/>
  <c r="T246" i="14"/>
  <c r="T353" i="14" s="1"/>
  <c r="T243" i="14"/>
  <c r="W183" i="14"/>
  <c r="W223" i="14" s="1"/>
  <c r="W76" i="14"/>
  <c r="X195" i="14"/>
  <c r="X235" i="14" s="1"/>
  <c r="X88" i="14"/>
  <c r="V178" i="14"/>
  <c r="W194" i="14"/>
  <c r="W234" i="14" s="1"/>
  <c r="W87" i="14"/>
  <c r="Y171" i="14"/>
  <c r="Y211" i="14" s="1"/>
  <c r="Y64" i="14"/>
  <c r="V188" i="14"/>
  <c r="W41" i="14"/>
  <c r="Y196" i="14"/>
  <c r="Y236" i="14" s="1"/>
  <c r="Y89" i="14"/>
  <c r="X193" i="14"/>
  <c r="X233" i="14" s="1"/>
  <c r="X86" i="14"/>
  <c r="W230" i="14"/>
  <c r="W191" i="14"/>
  <c r="W231" i="14" s="1"/>
  <c r="W84" i="14"/>
  <c r="W81" i="14" s="1"/>
  <c r="AC67" i="14"/>
  <c r="AC174" i="14"/>
  <c r="AC214" i="14" s="1"/>
  <c r="V228" i="14"/>
  <c r="V241" i="14" s="1"/>
  <c r="X179" i="14"/>
  <c r="X72" i="14"/>
  <c r="X41" i="14"/>
  <c r="U242" i="14"/>
  <c r="V25" i="3" s="1"/>
  <c r="X31" i="14"/>
  <c r="W228" i="14" l="1"/>
  <c r="W241" i="14" s="1"/>
  <c r="W188" i="14"/>
  <c r="W71" i="14"/>
  <c r="V242" i="14"/>
  <c r="W25" i="3" s="1"/>
  <c r="W61" i="14"/>
  <c r="Z181" i="14"/>
  <c r="Z221" i="14" s="1"/>
  <c r="Z74" i="14"/>
  <c r="X169" i="14"/>
  <c r="X62" i="14"/>
  <c r="X21" i="14"/>
  <c r="U246" i="14"/>
  <c r="U353" i="14" s="1"/>
  <c r="U243" i="14"/>
  <c r="X194" i="14"/>
  <c r="X234" i="14" s="1"/>
  <c r="X87" i="14"/>
  <c r="X192" i="14"/>
  <c r="X232" i="14" s="1"/>
  <c r="X85" i="14"/>
  <c r="X191" i="14"/>
  <c r="X231" i="14" s="1"/>
  <c r="X84" i="14"/>
  <c r="Y193" i="14"/>
  <c r="Y233" i="14" s="1"/>
  <c r="Y86" i="14"/>
  <c r="X180" i="14"/>
  <c r="X220" i="14" s="1"/>
  <c r="X73" i="14"/>
  <c r="Y190" i="14"/>
  <c r="Y83" i="14"/>
  <c r="Y51" i="14"/>
  <c r="W178" i="14"/>
  <c r="AA189" i="14"/>
  <c r="AA82" i="14"/>
  <c r="W209" i="14"/>
  <c r="W208" i="14" s="1"/>
  <c r="W239" i="14" s="1"/>
  <c r="W168" i="14"/>
  <c r="X183" i="14"/>
  <c r="X223" i="14" s="1"/>
  <c r="X76" i="14"/>
  <c r="Z171" i="14"/>
  <c r="Z211" i="14" s="1"/>
  <c r="Z64" i="14"/>
  <c r="W218" i="14"/>
  <c r="W240" i="14" s="1"/>
  <c r="Y175" i="14"/>
  <c r="Y215" i="14" s="1"/>
  <c r="Y68" i="14"/>
  <c r="Y179" i="14"/>
  <c r="Y72" i="14"/>
  <c r="X51" i="14"/>
  <c r="Y31" i="14"/>
  <c r="X219" i="14"/>
  <c r="Z196" i="14"/>
  <c r="Z236" i="14" s="1"/>
  <c r="Z89" i="14"/>
  <c r="Y195" i="14"/>
  <c r="Y235" i="14" s="1"/>
  <c r="Y88" i="14"/>
  <c r="X66" i="14"/>
  <c r="X173" i="14"/>
  <c r="X213" i="14" s="1"/>
  <c r="X170" i="14"/>
  <c r="X210" i="14" s="1"/>
  <c r="X63" i="14"/>
  <c r="Y182" i="14"/>
  <c r="Y222" i="14" s="1"/>
  <c r="Y75" i="14"/>
  <c r="X184" i="14"/>
  <c r="X224" i="14" s="1"/>
  <c r="X77" i="14"/>
  <c r="X230" i="14"/>
  <c r="AD199" i="14"/>
  <c r="AC198" i="14"/>
  <c r="X176" i="14"/>
  <c r="X216" i="14" s="1"/>
  <c r="X69" i="14"/>
  <c r="Z229" i="14"/>
  <c r="AD174" i="14"/>
  <c r="AD214" i="14" s="1"/>
  <c r="AD67" i="14"/>
  <c r="Y172" i="14"/>
  <c r="Y212" i="14" s="1"/>
  <c r="Y65" i="14"/>
  <c r="X81" i="14" l="1"/>
  <c r="V243" i="14"/>
  <c r="V246" i="14"/>
  <c r="V353" i="14" s="1"/>
  <c r="X178" i="14"/>
  <c r="W242" i="14"/>
  <c r="X25" i="3" s="1"/>
  <c r="X218" i="14"/>
  <c r="X240" i="14" s="1"/>
  <c r="X71" i="14"/>
  <c r="AE174" i="14"/>
  <c r="AE214" i="14" s="1"/>
  <c r="AE67" i="14"/>
  <c r="Y184" i="14"/>
  <c r="Y224" i="14" s="1"/>
  <c r="Y77" i="14"/>
  <c r="Y170" i="14"/>
  <c r="Y210" i="14" s="1"/>
  <c r="Y63" i="14"/>
  <c r="Z195" i="14"/>
  <c r="Z235" i="14" s="1"/>
  <c r="Z88" i="14"/>
  <c r="Z179" i="14"/>
  <c r="Z72" i="14"/>
  <c r="Y194" i="14"/>
  <c r="Y234" i="14" s="1"/>
  <c r="Y87" i="14"/>
  <c r="Y169" i="14"/>
  <c r="Y62" i="14"/>
  <c r="Y21" i="14"/>
  <c r="X61" i="14"/>
  <c r="W246" i="14"/>
  <c r="W353" i="14" s="1"/>
  <c r="X209" i="14"/>
  <c r="X208" i="14" s="1"/>
  <c r="X239" i="14" s="1"/>
  <c r="X168" i="14"/>
  <c r="Z172" i="14"/>
  <c r="Z212" i="14" s="1"/>
  <c r="Z65" i="14"/>
  <c r="AE199" i="14"/>
  <c r="AD198" i="14"/>
  <c r="Z182" i="14"/>
  <c r="Z222" i="14" s="1"/>
  <c r="Z75" i="14"/>
  <c r="Y173" i="14"/>
  <c r="Y213" i="14" s="1"/>
  <c r="Y66" i="14"/>
  <c r="Z31" i="14"/>
  <c r="Z175" i="14"/>
  <c r="Z215" i="14" s="1"/>
  <c r="Z68" i="14"/>
  <c r="Y183" i="14"/>
  <c r="Y223" i="14" s="1"/>
  <c r="Y76" i="14"/>
  <c r="AB189" i="14"/>
  <c r="AB82" i="14"/>
  <c r="Y192" i="14"/>
  <c r="Y232" i="14" s="1"/>
  <c r="Y85" i="14"/>
  <c r="AA181" i="14"/>
  <c r="AA221" i="14" s="1"/>
  <c r="AA74" i="14"/>
  <c r="Y71" i="14"/>
  <c r="Y219" i="14"/>
  <c r="Z193" i="14"/>
  <c r="Z233" i="14" s="1"/>
  <c r="Z86" i="14"/>
  <c r="X188" i="14"/>
  <c r="AA196" i="14"/>
  <c r="AA236" i="14" s="1"/>
  <c r="AA89" i="14"/>
  <c r="AA171" i="14"/>
  <c r="AA211" i="14" s="1"/>
  <c r="AA64" i="14"/>
  <c r="Y230" i="14"/>
  <c r="Z190" i="14"/>
  <c r="Z83" i="14"/>
  <c r="Z51" i="14"/>
  <c r="Y176" i="14"/>
  <c r="Y216" i="14" s="1"/>
  <c r="Y69" i="14"/>
  <c r="X228" i="14"/>
  <c r="X241" i="14" s="1"/>
  <c r="Y41" i="14"/>
  <c r="AA229" i="14"/>
  <c r="Y180" i="14"/>
  <c r="Y220" i="14" s="1"/>
  <c r="Y73" i="14"/>
  <c r="Z41" i="14"/>
  <c r="Y191" i="14"/>
  <c r="Y231" i="14" s="1"/>
  <c r="Y84" i="14"/>
  <c r="Y81" i="14" s="1"/>
  <c r="W243" i="14" l="1"/>
  <c r="AB171" i="14"/>
  <c r="AB211" i="14" s="1"/>
  <c r="AB64" i="14"/>
  <c r="Z183" i="14"/>
  <c r="Z223" i="14" s="1"/>
  <c r="Z76" i="14"/>
  <c r="AA190" i="14"/>
  <c r="AA83" i="14"/>
  <c r="Y178" i="14"/>
  <c r="Z192" i="14"/>
  <c r="Z232" i="14" s="1"/>
  <c r="Z85" i="14"/>
  <c r="AC189" i="14"/>
  <c r="AC82" i="14"/>
  <c r="AA182" i="14"/>
  <c r="AA222" i="14" s="1"/>
  <c r="AA75" i="14"/>
  <c r="AA195" i="14"/>
  <c r="AA235" i="14" s="1"/>
  <c r="AA88" i="14"/>
  <c r="Z184" i="14"/>
  <c r="Z224" i="14" s="1"/>
  <c r="Z77" i="14"/>
  <c r="Z176" i="14"/>
  <c r="Z216" i="14" s="1"/>
  <c r="Z69" i="14"/>
  <c r="Z230" i="14"/>
  <c r="AA193" i="14"/>
  <c r="AA233" i="14" s="1"/>
  <c r="AA86" i="14"/>
  <c r="AB181" i="14"/>
  <c r="AB221" i="14" s="1"/>
  <c r="AB74" i="14"/>
  <c r="AA31" i="14"/>
  <c r="Z169" i="14"/>
  <c r="Z62" i="14"/>
  <c r="Z21" i="14"/>
  <c r="AA179" i="14"/>
  <c r="AA72" i="14"/>
  <c r="Y188" i="14"/>
  <c r="Z173" i="14"/>
  <c r="Z213" i="14" s="1"/>
  <c r="Z66" i="14"/>
  <c r="X242" i="14"/>
  <c r="Y25" i="3" s="1"/>
  <c r="Y61" i="14"/>
  <c r="Z170" i="14"/>
  <c r="Z210" i="14" s="1"/>
  <c r="Z63" i="14"/>
  <c r="AF174" i="14"/>
  <c r="AF214" i="14" s="1"/>
  <c r="AF67" i="14"/>
  <c r="Z180" i="14"/>
  <c r="Z220" i="14" s="1"/>
  <c r="Z73" i="14"/>
  <c r="Z71" i="14" s="1"/>
  <c r="AA41" i="14"/>
  <c r="AA51" i="14"/>
  <c r="Z191" i="14"/>
  <c r="Z231" i="14" s="1"/>
  <c r="Z84" i="14"/>
  <c r="Z81" i="14" s="1"/>
  <c r="Y228" i="14"/>
  <c r="Y241" i="14" s="1"/>
  <c r="AB196" i="14"/>
  <c r="AB236" i="14" s="1"/>
  <c r="AB89" i="14"/>
  <c r="AA175" i="14"/>
  <c r="AA215" i="14" s="1"/>
  <c r="AA68" i="14"/>
  <c r="AF199" i="14"/>
  <c r="AE198" i="14"/>
  <c r="Y209" i="14"/>
  <c r="Y208" i="14" s="1"/>
  <c r="Y239" i="14" s="1"/>
  <c r="Y168" i="14"/>
  <c r="Y218" i="14"/>
  <c r="Y240" i="14" s="1"/>
  <c r="AB229" i="14"/>
  <c r="AA172" i="14"/>
  <c r="AA212" i="14" s="1"/>
  <c r="AA65" i="14"/>
  <c r="Z194" i="14"/>
  <c r="Z234" i="14" s="1"/>
  <c r="Z87" i="14"/>
  <c r="Z219" i="14"/>
  <c r="Z178" i="14" l="1"/>
  <c r="Z218" i="14"/>
  <c r="Z240" i="14" s="1"/>
  <c r="AA194" i="14"/>
  <c r="AA234" i="14" s="1"/>
  <c r="AA87" i="14"/>
  <c r="Y242" i="14"/>
  <c r="Z25" i="3" s="1"/>
  <c r="X243" i="14"/>
  <c r="X246" i="14"/>
  <c r="X353" i="14" s="1"/>
  <c r="Z209" i="14"/>
  <c r="Z208" i="14" s="1"/>
  <c r="Z239" i="14" s="1"/>
  <c r="Z168" i="14"/>
  <c r="AB193" i="14"/>
  <c r="AB233" i="14" s="1"/>
  <c r="AB86" i="14"/>
  <c r="AB195" i="14"/>
  <c r="AB235" i="14" s="1"/>
  <c r="AB88" i="14"/>
  <c r="AD189" i="14"/>
  <c r="AD82" i="14"/>
  <c r="AA173" i="14"/>
  <c r="AA213" i="14" s="1"/>
  <c r="AA66" i="14"/>
  <c r="AA183" i="14"/>
  <c r="AA223" i="14" s="1"/>
  <c r="AA76" i="14"/>
  <c r="AA219" i="14"/>
  <c r="AB31" i="14"/>
  <c r="AC196" i="14"/>
  <c r="AC236" i="14" s="1"/>
  <c r="AC89" i="14"/>
  <c r="AG199" i="14"/>
  <c r="AF198" i="14"/>
  <c r="AA180" i="14"/>
  <c r="AA220" i="14" s="1"/>
  <c r="AA73" i="14"/>
  <c r="AA71" i="14" s="1"/>
  <c r="AB172" i="14"/>
  <c r="AB212" i="14" s="1"/>
  <c r="AB65" i="14"/>
  <c r="AB175" i="14"/>
  <c r="AB215" i="14" s="1"/>
  <c r="AB68" i="14"/>
  <c r="AA169" i="14"/>
  <c r="AA21" i="14"/>
  <c r="AA62" i="14"/>
  <c r="Z188" i="14"/>
  <c r="AB75" i="14"/>
  <c r="AB182" i="14"/>
  <c r="AB222" i="14" s="1"/>
  <c r="AC229" i="14"/>
  <c r="AC171" i="14"/>
  <c r="AC211" i="14" s="1"/>
  <c r="AC64" i="14"/>
  <c r="AA170" i="14"/>
  <c r="AA210" i="14" s="1"/>
  <c r="AA63" i="14"/>
  <c r="AC181" i="14"/>
  <c r="AC221" i="14" s="1"/>
  <c r="AC74" i="14"/>
  <c r="Z228" i="14"/>
  <c r="Z241" i="14" s="1"/>
  <c r="AA184" i="14"/>
  <c r="AA224" i="14" s="1"/>
  <c r="AA77" i="14"/>
  <c r="AA192" i="14"/>
  <c r="AA232" i="14" s="1"/>
  <c r="AA85" i="14"/>
  <c r="AA230" i="14"/>
  <c r="AA191" i="14"/>
  <c r="AA231" i="14" s="1"/>
  <c r="AA84" i="14"/>
  <c r="AG174" i="14"/>
  <c r="AG214" i="14" s="1"/>
  <c r="AG67" i="14"/>
  <c r="AB179" i="14"/>
  <c r="AB72" i="14"/>
  <c r="AB41" i="14"/>
  <c r="Z61" i="14"/>
  <c r="AA176" i="14"/>
  <c r="AA216" i="14" s="1"/>
  <c r="AA69" i="14"/>
  <c r="AB190" i="14"/>
  <c r="AB83" i="14"/>
  <c r="AA81" i="14" l="1"/>
  <c r="AA188" i="14"/>
  <c r="AB169" i="14"/>
  <c r="AB62" i="14"/>
  <c r="AB21" i="14"/>
  <c r="AB183" i="14"/>
  <c r="AB223" i="14" s="1"/>
  <c r="AB76" i="14"/>
  <c r="AE189" i="14"/>
  <c r="AE82" i="14"/>
  <c r="AB192" i="14"/>
  <c r="AB232" i="14" s="1"/>
  <c r="AB85" i="14"/>
  <c r="AB230" i="14"/>
  <c r="AC179" i="14"/>
  <c r="AC72" i="14"/>
  <c r="AB191" i="14"/>
  <c r="AB231" i="14" s="1"/>
  <c r="AB84" i="14"/>
  <c r="AD181" i="14"/>
  <c r="AD221" i="14" s="1"/>
  <c r="AD74" i="14"/>
  <c r="AA61" i="14"/>
  <c r="AC172" i="14"/>
  <c r="AC212" i="14" s="1"/>
  <c r="AC65" i="14"/>
  <c r="AC193" i="14"/>
  <c r="AC233" i="14" s="1"/>
  <c r="AC86" i="14"/>
  <c r="AB81" i="14"/>
  <c r="AB176" i="14"/>
  <c r="AB216" i="14" s="1"/>
  <c r="AB69" i="14"/>
  <c r="AD171" i="14"/>
  <c r="AD211" i="14" s="1"/>
  <c r="AD64" i="14"/>
  <c r="AG198" i="14"/>
  <c r="AH199" i="14"/>
  <c r="AC31" i="14"/>
  <c r="Y246" i="14"/>
  <c r="Y353" i="14" s="1"/>
  <c r="Y243" i="14"/>
  <c r="AB219" i="14"/>
  <c r="AB184" i="14"/>
  <c r="AB224" i="14" s="1"/>
  <c r="AB77" i="14"/>
  <c r="AA209" i="14"/>
  <c r="AA208" i="14" s="1"/>
  <c r="AA239" i="14" s="1"/>
  <c r="AA168" i="14"/>
  <c r="AD196" i="14"/>
  <c r="AD236" i="14" s="1"/>
  <c r="AD89" i="14"/>
  <c r="AA178" i="14"/>
  <c r="AB173" i="14"/>
  <c r="AB213" i="14" s="1"/>
  <c r="AB66" i="14"/>
  <c r="AD229" i="14"/>
  <c r="AB194" i="14"/>
  <c r="AB234" i="14" s="1"/>
  <c r="AB87" i="14"/>
  <c r="AH174" i="14"/>
  <c r="AH67" i="14"/>
  <c r="AI67" i="14"/>
  <c r="AB170" i="14"/>
  <c r="AB210" i="14" s="1"/>
  <c r="AB63" i="14"/>
  <c r="AC182" i="14"/>
  <c r="AC222" i="14" s="1"/>
  <c r="AC75" i="14"/>
  <c r="AC175" i="14"/>
  <c r="AC215" i="14" s="1"/>
  <c r="AC68" i="14"/>
  <c r="AB180" i="14"/>
  <c r="AB220" i="14" s="1"/>
  <c r="AB73" i="14"/>
  <c r="AA218" i="14"/>
  <c r="AA240" i="14" s="1"/>
  <c r="AB51" i="14"/>
  <c r="AC190" i="14"/>
  <c r="AC83" i="14"/>
  <c r="AC51" i="14"/>
  <c r="AA228" i="14"/>
  <c r="AA241" i="14" s="1"/>
  <c r="AC195" i="14"/>
  <c r="AC235" i="14" s="1"/>
  <c r="AC88" i="14"/>
  <c r="Z242" i="14"/>
  <c r="AA25" i="3" s="1"/>
  <c r="AB71" i="14" l="1"/>
  <c r="AC184" i="14"/>
  <c r="AC224" i="14" s="1"/>
  <c r="AC77" i="14"/>
  <c r="AE196" i="14"/>
  <c r="AE236" i="14" s="1"/>
  <c r="AE89" i="14"/>
  <c r="AC191" i="14"/>
  <c r="AC231" i="14" s="1"/>
  <c r="AC84" i="14"/>
  <c r="AC219" i="14"/>
  <c r="AF189" i="14"/>
  <c r="AF82" i="14"/>
  <c r="AC180" i="14"/>
  <c r="AC220" i="14" s="1"/>
  <c r="AC73" i="14"/>
  <c r="AD182" i="14"/>
  <c r="AD222" i="14" s="1"/>
  <c r="AD75" i="14"/>
  <c r="AD31" i="14"/>
  <c r="Z246" i="14"/>
  <c r="Z353" i="14" s="1"/>
  <c r="Z243" i="14"/>
  <c r="AD190" i="14"/>
  <c r="AD83" i="14"/>
  <c r="AD193" i="14"/>
  <c r="AD233" i="14" s="1"/>
  <c r="AD86" i="14"/>
  <c r="AB188" i="14"/>
  <c r="AD195" i="14"/>
  <c r="AD235" i="14" s="1"/>
  <c r="AD88" i="14"/>
  <c r="AH214" i="14"/>
  <c r="AI214" i="14" s="1"/>
  <c r="AI174" i="14"/>
  <c r="AC173" i="14"/>
  <c r="AC213" i="14" s="1"/>
  <c r="AC66" i="14"/>
  <c r="AB178" i="14"/>
  <c r="AH198" i="14"/>
  <c r="AI199" i="14"/>
  <c r="AI198" i="14" s="1"/>
  <c r="AC176" i="14"/>
  <c r="AC216" i="14" s="1"/>
  <c r="AC69" i="14"/>
  <c r="AB228" i="14"/>
  <c r="AB241" i="14" s="1"/>
  <c r="AC169" i="14"/>
  <c r="AC21" i="14"/>
  <c r="AC62" i="14"/>
  <c r="AC230" i="14"/>
  <c r="AD175" i="14"/>
  <c r="AD215" i="14" s="1"/>
  <c r="AD68" i="14"/>
  <c r="AC170" i="14"/>
  <c r="AC210" i="14" s="1"/>
  <c r="AC63" i="14"/>
  <c r="AB218" i="14"/>
  <c r="AB240" i="14" s="1"/>
  <c r="AE181" i="14"/>
  <c r="AE221" i="14" s="1"/>
  <c r="AE74" i="14"/>
  <c r="AC41" i="14"/>
  <c r="AC85" i="14"/>
  <c r="AC81" i="14" s="1"/>
  <c r="AC192" i="14"/>
  <c r="AC232" i="14" s="1"/>
  <c r="AE229" i="14"/>
  <c r="AB61" i="14"/>
  <c r="AC194" i="14"/>
  <c r="AC234" i="14" s="1"/>
  <c r="AC87" i="14"/>
  <c r="AA242" i="14"/>
  <c r="AB25" i="3" s="1"/>
  <c r="AE171" i="14"/>
  <c r="AE211" i="14" s="1"/>
  <c r="AE64" i="14"/>
  <c r="AD172" i="14"/>
  <c r="AD212" i="14" s="1"/>
  <c r="AD65" i="14"/>
  <c r="AD179" i="14"/>
  <c r="AD72" i="14"/>
  <c r="AD41" i="14"/>
  <c r="AC183" i="14"/>
  <c r="AC223" i="14" s="1"/>
  <c r="AC76" i="14"/>
  <c r="AB168" i="14"/>
  <c r="AB209" i="14"/>
  <c r="AB208" i="14" s="1"/>
  <c r="AB239" i="14" s="1"/>
  <c r="AC71" i="14" l="1"/>
  <c r="AD192" i="14"/>
  <c r="AD232" i="14" s="1"/>
  <c r="AD85" i="14"/>
  <c r="AD51" i="14"/>
  <c r="AE31" i="14"/>
  <c r="AC178" i="14"/>
  <c r="AE190" i="14"/>
  <c r="AE83" i="14"/>
  <c r="AE51" i="14"/>
  <c r="AC218" i="14"/>
  <c r="AC240" i="14" s="1"/>
  <c r="AC209" i="14"/>
  <c r="AC208" i="14" s="1"/>
  <c r="AC239" i="14" s="1"/>
  <c r="AC168" i="14"/>
  <c r="AE182" i="14"/>
  <c r="AE222" i="14" s="1"/>
  <c r="AE75" i="14"/>
  <c r="AG189" i="14"/>
  <c r="AG82" i="14"/>
  <c r="AD191" i="14"/>
  <c r="AD231" i="14" s="1"/>
  <c r="AD84" i="14"/>
  <c r="AC228" i="14"/>
  <c r="AC241" i="14" s="1"/>
  <c r="AE193" i="14"/>
  <c r="AE233" i="14" s="1"/>
  <c r="AE86" i="14"/>
  <c r="AD230" i="14"/>
  <c r="AD184" i="14"/>
  <c r="AD224" i="14" s="1"/>
  <c r="AD77" i="14"/>
  <c r="AD194" i="14"/>
  <c r="AD234" i="14" s="1"/>
  <c r="AD87" i="14"/>
  <c r="AB242" i="14"/>
  <c r="AC25" i="3" s="1"/>
  <c r="AF171" i="14"/>
  <c r="AF211" i="14" s="1"/>
  <c r="AF64" i="14"/>
  <c r="AD170" i="14"/>
  <c r="AD210" i="14" s="1"/>
  <c r="AD63" i="14"/>
  <c r="AF181" i="14"/>
  <c r="AF221" i="14" s="1"/>
  <c r="AF74" i="14"/>
  <c r="AE195" i="14"/>
  <c r="AE235" i="14" s="1"/>
  <c r="AE88" i="14"/>
  <c r="AD169" i="14"/>
  <c r="AD62" i="14"/>
  <c r="AD21" i="14"/>
  <c r="AE179" i="14"/>
  <c r="AE72" i="14"/>
  <c r="AC188" i="14"/>
  <c r="AD183" i="14"/>
  <c r="AD223" i="14" s="1"/>
  <c r="AD76" i="14"/>
  <c r="AD219" i="14"/>
  <c r="AE172" i="14"/>
  <c r="AE212" i="14" s="1"/>
  <c r="AE65" i="14"/>
  <c r="AA246" i="14"/>
  <c r="AA353" i="14" s="1"/>
  <c r="AA243" i="14"/>
  <c r="AE175" i="14"/>
  <c r="AE215" i="14" s="1"/>
  <c r="AE68" i="14"/>
  <c r="AC61" i="14"/>
  <c r="AD176" i="14"/>
  <c r="AD216" i="14" s="1"/>
  <c r="AD69" i="14"/>
  <c r="AD173" i="14"/>
  <c r="AD213" i="14" s="1"/>
  <c r="AD66" i="14"/>
  <c r="AD180" i="14"/>
  <c r="AD220" i="14" s="1"/>
  <c r="AD73" i="14"/>
  <c r="AD71" i="14" s="1"/>
  <c r="AE41" i="14"/>
  <c r="AF229" i="14"/>
  <c r="AF196" i="14"/>
  <c r="AF236" i="14" s="1"/>
  <c r="AF89" i="14"/>
  <c r="AD81" i="14" l="1"/>
  <c r="AG196" i="14"/>
  <c r="AG236" i="14" s="1"/>
  <c r="AG89" i="14"/>
  <c r="AD178" i="14"/>
  <c r="AD61" i="14"/>
  <c r="AG181" i="14"/>
  <c r="AG221" i="14" s="1"/>
  <c r="AG74" i="14"/>
  <c r="AG171" i="14"/>
  <c r="AG211" i="14" s="1"/>
  <c r="AG64" i="14"/>
  <c r="AF193" i="14"/>
  <c r="AF233" i="14" s="1"/>
  <c r="AF86" i="14"/>
  <c r="AF182" i="14"/>
  <c r="AF222" i="14" s="1"/>
  <c r="AF75" i="14"/>
  <c r="AD218" i="14"/>
  <c r="AD240" i="14" s="1"/>
  <c r="AF179" i="14"/>
  <c r="AF72" i="14"/>
  <c r="AD209" i="14"/>
  <c r="AD208" i="14" s="1"/>
  <c r="AD239" i="14" s="1"/>
  <c r="AD168" i="14"/>
  <c r="AE184" i="14"/>
  <c r="AE224" i="14" s="1"/>
  <c r="AE77" i="14"/>
  <c r="AF31" i="14"/>
  <c r="AF190" i="14"/>
  <c r="AF83" i="14"/>
  <c r="AE173" i="14"/>
  <c r="AE213" i="14" s="1"/>
  <c r="AE66" i="14"/>
  <c r="AE183" i="14"/>
  <c r="AE223" i="14" s="1"/>
  <c r="AE76" i="14"/>
  <c r="AF175" i="14"/>
  <c r="AF215" i="14" s="1"/>
  <c r="AF68" i="14"/>
  <c r="AF172" i="14"/>
  <c r="AF212" i="14" s="1"/>
  <c r="AF65" i="14"/>
  <c r="AE219" i="14"/>
  <c r="AF195" i="14"/>
  <c r="AF235" i="14" s="1"/>
  <c r="AF88" i="14"/>
  <c r="AE170" i="14"/>
  <c r="AE210" i="14" s="1"/>
  <c r="AE63" i="14"/>
  <c r="AB246" i="14"/>
  <c r="AB353" i="14" s="1"/>
  <c r="AB243" i="14"/>
  <c r="AE192" i="14"/>
  <c r="AE232" i="14" s="1"/>
  <c r="AE85" i="14"/>
  <c r="AE194" i="14"/>
  <c r="AE234" i="14" s="1"/>
  <c r="AE87" i="14"/>
  <c r="AD188" i="14"/>
  <c r="AH189" i="14"/>
  <c r="AH82" i="14"/>
  <c r="AE230" i="14"/>
  <c r="AE180" i="14"/>
  <c r="AE220" i="14" s="1"/>
  <c r="AE73" i="14"/>
  <c r="AE71" i="14" s="1"/>
  <c r="AE176" i="14"/>
  <c r="AE216" i="14" s="1"/>
  <c r="AE69" i="14"/>
  <c r="AE169" i="14"/>
  <c r="AE62" i="14"/>
  <c r="AE21" i="14"/>
  <c r="AD228" i="14"/>
  <c r="AD241" i="14" s="1"/>
  <c r="AE191" i="14"/>
  <c r="AE231" i="14" s="1"/>
  <c r="AE84" i="14"/>
  <c r="AF51" i="14"/>
  <c r="AG229" i="14"/>
  <c r="AC242" i="14"/>
  <c r="AD25" i="3" s="1"/>
  <c r="AE81" i="14" l="1"/>
  <c r="AE178" i="14"/>
  <c r="AE218" i="14"/>
  <c r="AE240" i="14" s="1"/>
  <c r="AE228" i="14"/>
  <c r="AE241" i="14" s="1"/>
  <c r="AF176" i="14"/>
  <c r="AF216" i="14" s="1"/>
  <c r="AF69" i="14"/>
  <c r="AE188" i="14"/>
  <c r="AF192" i="14"/>
  <c r="AF232" i="14" s="1"/>
  <c r="AF85" i="14"/>
  <c r="AF170" i="14"/>
  <c r="AF210" i="14" s="1"/>
  <c r="AF63" i="14"/>
  <c r="AD242" i="14"/>
  <c r="AE25" i="3" s="1"/>
  <c r="AG182" i="14"/>
  <c r="AG222" i="14" s="1"/>
  <c r="AG75" i="14"/>
  <c r="AH171" i="14"/>
  <c r="AH64" i="14"/>
  <c r="AI64" i="14"/>
  <c r="AC246" i="14"/>
  <c r="AC353" i="14" s="1"/>
  <c r="AC243" i="14"/>
  <c r="AI82" i="14"/>
  <c r="AG172" i="14"/>
  <c r="AG212" i="14" s="1"/>
  <c r="AG65" i="14"/>
  <c r="AF183" i="14"/>
  <c r="AF223" i="14" s="1"/>
  <c r="AF76" i="14"/>
  <c r="AG31" i="14"/>
  <c r="AG179" i="14"/>
  <c r="AG72" i="14"/>
  <c r="AF169" i="14"/>
  <c r="AF62" i="14"/>
  <c r="AF21" i="14"/>
  <c r="AF180" i="14"/>
  <c r="AF220" i="14" s="1"/>
  <c r="AF73" i="14"/>
  <c r="AF71" i="14" s="1"/>
  <c r="AG195" i="14"/>
  <c r="AG235" i="14" s="1"/>
  <c r="AG88" i="14"/>
  <c r="AG190" i="14"/>
  <c r="AG83" i="14"/>
  <c r="AF41" i="14"/>
  <c r="AF194" i="14"/>
  <c r="AF234" i="14" s="1"/>
  <c r="AF87" i="14"/>
  <c r="AF81" i="14" s="1"/>
  <c r="AG51" i="14"/>
  <c r="AF191" i="14"/>
  <c r="AF231" i="14" s="1"/>
  <c r="AF84" i="14"/>
  <c r="AE61" i="14"/>
  <c r="AF184" i="14"/>
  <c r="AF224" i="14" s="1"/>
  <c r="AF77" i="14"/>
  <c r="AG193" i="14"/>
  <c r="AG233" i="14" s="1"/>
  <c r="AG86" i="14"/>
  <c r="AH181" i="14"/>
  <c r="AH74" i="14"/>
  <c r="AI74" i="14"/>
  <c r="AH196" i="14"/>
  <c r="AH89" i="14"/>
  <c r="AI89" i="14"/>
  <c r="AE209" i="14"/>
  <c r="AE208" i="14" s="1"/>
  <c r="AE239" i="14" s="1"/>
  <c r="AE242" i="14" s="1"/>
  <c r="AF25" i="3" s="1"/>
  <c r="AE168" i="14"/>
  <c r="AH229" i="14"/>
  <c r="AI189" i="14"/>
  <c r="AG175" i="14"/>
  <c r="AG215" i="14" s="1"/>
  <c r="AG68" i="14"/>
  <c r="AF173" i="14"/>
  <c r="AF213" i="14" s="1"/>
  <c r="AF66" i="14"/>
  <c r="AF230" i="14"/>
  <c r="AF219" i="14"/>
  <c r="AF188" i="14" l="1"/>
  <c r="AF228" i="14"/>
  <c r="AF241" i="14" s="1"/>
  <c r="AF61" i="14"/>
  <c r="AH221" i="14"/>
  <c r="AI221" i="14" s="1"/>
  <c r="AI181" i="14"/>
  <c r="AG184" i="14"/>
  <c r="AG224" i="14" s="1"/>
  <c r="AG77" i="14"/>
  <c r="AG219" i="14"/>
  <c r="AH172" i="14"/>
  <c r="AH65" i="14"/>
  <c r="AI65" i="14"/>
  <c r="AD243" i="14"/>
  <c r="AD246" i="14"/>
  <c r="AD353" i="14" s="1"/>
  <c r="AG180" i="14"/>
  <c r="AG220" i="14" s="1"/>
  <c r="AG73" i="14"/>
  <c r="AG71" i="14" s="1"/>
  <c r="AF209" i="14"/>
  <c r="AF208" i="14" s="1"/>
  <c r="AF239" i="14" s="1"/>
  <c r="AF168" i="14"/>
  <c r="AH31" i="14"/>
  <c r="AI31" i="14"/>
  <c r="AG170" i="14"/>
  <c r="AG210" i="14" s="1"/>
  <c r="AG63" i="14"/>
  <c r="AG173" i="14"/>
  <c r="AG213" i="14" s="1"/>
  <c r="AG66" i="14"/>
  <c r="AH236" i="14"/>
  <c r="AI236" i="14" s="1"/>
  <c r="AI196" i="14"/>
  <c r="AG194" i="14"/>
  <c r="AG234" i="14" s="1"/>
  <c r="AG87" i="14"/>
  <c r="AG230" i="14"/>
  <c r="AH179" i="14"/>
  <c r="AH72" i="14"/>
  <c r="AG76" i="14"/>
  <c r="AG183" i="14"/>
  <c r="AG223" i="14" s="1"/>
  <c r="AH211" i="14"/>
  <c r="AI211" i="14" s="1"/>
  <c r="AI171" i="14"/>
  <c r="AG176" i="14"/>
  <c r="AG216" i="14" s="1"/>
  <c r="AG69" i="14"/>
  <c r="AE246" i="14"/>
  <c r="AE353" i="14" s="1"/>
  <c r="AE243" i="14"/>
  <c r="AH190" i="14"/>
  <c r="AH83" i="14"/>
  <c r="AH51" i="14"/>
  <c r="AG41" i="14"/>
  <c r="AH182" i="14"/>
  <c r="AH75" i="14"/>
  <c r="AI75" i="14"/>
  <c r="AH193" i="14"/>
  <c r="AH86" i="14"/>
  <c r="AI86" i="14"/>
  <c r="AG191" i="14"/>
  <c r="AG231" i="14" s="1"/>
  <c r="AG84" i="14"/>
  <c r="AF178" i="14"/>
  <c r="AI229" i="14"/>
  <c r="AF218" i="14"/>
  <c r="AF240" i="14" s="1"/>
  <c r="AH68" i="14"/>
  <c r="AH175" i="14"/>
  <c r="AI68" i="14"/>
  <c r="AH195" i="14"/>
  <c r="AH88" i="14"/>
  <c r="AI88" i="14"/>
  <c r="AG169" i="14"/>
  <c r="AG21" i="14"/>
  <c r="AG62" i="14"/>
  <c r="AG192" i="14"/>
  <c r="AG232" i="14" s="1"/>
  <c r="AG85" i="14"/>
  <c r="AG81" i="14" l="1"/>
  <c r="AG61" i="14"/>
  <c r="AH170" i="14"/>
  <c r="AH63" i="14"/>
  <c r="AI63" i="14"/>
  <c r="AF242" i="14"/>
  <c r="AG25" i="3" s="1"/>
  <c r="AG218" i="14"/>
  <c r="AG240" i="14" s="1"/>
  <c r="AH169" i="14"/>
  <c r="AH62" i="14"/>
  <c r="AH61" i="14" s="1"/>
  <c r="AH21" i="14"/>
  <c r="AH235" i="14"/>
  <c r="AI235" i="14" s="1"/>
  <c r="AI195" i="14"/>
  <c r="AH219" i="14"/>
  <c r="AI179" i="14"/>
  <c r="AH180" i="14"/>
  <c r="AH73" i="14"/>
  <c r="AH71" i="14" s="1"/>
  <c r="AI73" i="14"/>
  <c r="AH184" i="14"/>
  <c r="AH77" i="14"/>
  <c r="AI77" i="14"/>
  <c r="AH176" i="14"/>
  <c r="AH69" i="14"/>
  <c r="AI69" i="14"/>
  <c r="AG188" i="14"/>
  <c r="AH215" i="14"/>
  <c r="AI215" i="14" s="1"/>
  <c r="AI175" i="14"/>
  <c r="AH191" i="14"/>
  <c r="AH84" i="14"/>
  <c r="AH81" i="14" s="1"/>
  <c r="AI84" i="14"/>
  <c r="AI83" i="14"/>
  <c r="AI81" i="14" s="1"/>
  <c r="AH183" i="14"/>
  <c r="AH76" i="14"/>
  <c r="AI76" i="14"/>
  <c r="AG228" i="14"/>
  <c r="AG241" i="14" s="1"/>
  <c r="AH173" i="14"/>
  <c r="AH66" i="14"/>
  <c r="AI66" i="14"/>
  <c r="AG209" i="14"/>
  <c r="AG208" i="14" s="1"/>
  <c r="AG239" i="14" s="1"/>
  <c r="AG168" i="14"/>
  <c r="AI72" i="14"/>
  <c r="AI71" i="14" s="1"/>
  <c r="AH194" i="14"/>
  <c r="AH87" i="14"/>
  <c r="AI87" i="14"/>
  <c r="AH212" i="14"/>
  <c r="AI212" i="14" s="1"/>
  <c r="AI172" i="14"/>
  <c r="AH233" i="14"/>
  <c r="AI233" i="14" s="1"/>
  <c r="AI193" i="14"/>
  <c r="AH192" i="14"/>
  <c r="AH188" i="14" s="1"/>
  <c r="AH85" i="14"/>
  <c r="AI85" i="14"/>
  <c r="AH222" i="14"/>
  <c r="AI222" i="14" s="1"/>
  <c r="AI182" i="14"/>
  <c r="AH230" i="14"/>
  <c r="AI190" i="14"/>
  <c r="AH41" i="14"/>
  <c r="AG178" i="14"/>
  <c r="AH178" i="14" l="1"/>
  <c r="AG242" i="14"/>
  <c r="AH25" i="3" s="1"/>
  <c r="AG243" i="14"/>
  <c r="AH231" i="14"/>
  <c r="AI231" i="14" s="1"/>
  <c r="AI191" i="14"/>
  <c r="AF246" i="14"/>
  <c r="AF353" i="14" s="1"/>
  <c r="AF243" i="14"/>
  <c r="AH234" i="14"/>
  <c r="AI234" i="14" s="1"/>
  <c r="AI194" i="14"/>
  <c r="AH223" i="14"/>
  <c r="AI223" i="14" s="1"/>
  <c r="AI183" i="14"/>
  <c r="AH216" i="14"/>
  <c r="AI216" i="14" s="1"/>
  <c r="AI176" i="14"/>
  <c r="AH220" i="14"/>
  <c r="AI220" i="14" s="1"/>
  <c r="AI180" i="14"/>
  <c r="AI62" i="14"/>
  <c r="AI61" i="14" s="1"/>
  <c r="AI21" i="14"/>
  <c r="AH213" i="14"/>
  <c r="AI213" i="14" s="1"/>
  <c r="AI173" i="14"/>
  <c r="AH232" i="14"/>
  <c r="AI232" i="14" s="1"/>
  <c r="AI192" i="14"/>
  <c r="AI230" i="14"/>
  <c r="AI41" i="14"/>
  <c r="AI51" i="14"/>
  <c r="AH210" i="14"/>
  <c r="AI210" i="14" s="1"/>
  <c r="AI170" i="14"/>
  <c r="AH224" i="14"/>
  <c r="AI224" i="14" s="1"/>
  <c r="AI184" i="14"/>
  <c r="AI219" i="14"/>
  <c r="AH168" i="14"/>
  <c r="AH209" i="14"/>
  <c r="AI169" i="14"/>
  <c r="AI168" i="14" s="1"/>
  <c r="AG246" i="14" l="1"/>
  <c r="AG353" i="14" s="1"/>
  <c r="AI188" i="14"/>
  <c r="AI228" i="14"/>
  <c r="AH228" i="14"/>
  <c r="AH241" i="14" s="1"/>
  <c r="AI178" i="14"/>
  <c r="AH208" i="14"/>
  <c r="AH239" i="14" s="1"/>
  <c r="AI209" i="14"/>
  <c r="AI208" i="14" s="1"/>
  <c r="AI218" i="14"/>
  <c r="AH218" i="14"/>
  <c r="AH240" i="14" s="1"/>
  <c r="AH242" i="14" l="1"/>
  <c r="AI25" i="3" s="1"/>
  <c r="AH246" i="14" l="1"/>
  <c r="AH243" i="14"/>
  <c r="AI246" i="14" l="1"/>
  <c r="AH353" i="14"/>
  <c r="AI353" i="14" s="1"/>
  <c r="E75" i="3"/>
  <c r="E78" i="3"/>
  <c r="AC78" i="3" l="1"/>
  <c r="U78" i="3"/>
  <c r="M78" i="3"/>
  <c r="AB78" i="3"/>
  <c r="T78" i="3"/>
  <c r="L78" i="3"/>
  <c r="AI78" i="3"/>
  <c r="AA78" i="3"/>
  <c r="S78" i="3"/>
  <c r="K78" i="3"/>
  <c r="AH78" i="3"/>
  <c r="Z78" i="3"/>
  <c r="R78" i="3"/>
  <c r="J78" i="3"/>
  <c r="AG78" i="3"/>
  <c r="Y78" i="3"/>
  <c r="Q78" i="3"/>
  <c r="I78" i="3"/>
  <c r="AF78" i="3"/>
  <c r="X78" i="3"/>
  <c r="P78" i="3"/>
  <c r="H78" i="3"/>
  <c r="AE78" i="3"/>
  <c r="AD78" i="3"/>
  <c r="W78" i="3"/>
  <c r="V78" i="3"/>
  <c r="O78" i="3"/>
  <c r="N78" i="3"/>
  <c r="AG75" i="3"/>
  <c r="Y75" i="3"/>
  <c r="Q75" i="3"/>
  <c r="I75" i="3"/>
  <c r="AF75" i="3"/>
  <c r="X75" i="3"/>
  <c r="P75" i="3"/>
  <c r="H75" i="3"/>
  <c r="AE75" i="3"/>
  <c r="W75" i="3"/>
  <c r="O75" i="3"/>
  <c r="AD75" i="3"/>
  <c r="V75" i="3"/>
  <c r="N75" i="3"/>
  <c r="AC75" i="3"/>
  <c r="U75" i="3"/>
  <c r="M75" i="3"/>
  <c r="AB75" i="3"/>
  <c r="T75" i="3"/>
  <c r="L75" i="3"/>
  <c r="AI75" i="3"/>
  <c r="AH75" i="3"/>
  <c r="AA75" i="3"/>
  <c r="Z75" i="3"/>
  <c r="S75" i="3"/>
  <c r="R75" i="3"/>
  <c r="J75" i="3"/>
  <c r="K75" i="3"/>
  <c r="C32" i="11"/>
  <c r="C30" i="11"/>
  <c r="C28" i="11"/>
  <c r="C26" i="11"/>
  <c r="C24" i="11"/>
  <c r="C22" i="11"/>
  <c r="C20" i="11"/>
  <c r="C18" i="11"/>
  <c r="F48" i="10" l="1"/>
  <c r="F49" i="10"/>
  <c r="F47" i="10"/>
  <c r="E42" i="3" l="1"/>
  <c r="E43" i="3"/>
  <c r="F188" i="10"/>
  <c r="F187" i="10"/>
  <c r="F186" i="10"/>
  <c r="F185" i="10"/>
  <c r="F184" i="10"/>
  <c r="F183" i="10"/>
  <c r="F182" i="10"/>
  <c r="F181" i="10"/>
  <c r="F180" i="10"/>
  <c r="C170" i="10"/>
  <c r="F169" i="10"/>
  <c r="F33" i="11" s="1"/>
  <c r="C169" i="10"/>
  <c r="C161" i="10"/>
  <c r="F160" i="10"/>
  <c r="F31" i="11" s="1"/>
  <c r="C160" i="10"/>
  <c r="C152" i="10"/>
  <c r="F151" i="10"/>
  <c r="F29" i="11" s="1"/>
  <c r="C151" i="10"/>
  <c r="C143" i="10"/>
  <c r="F142" i="10"/>
  <c r="F27" i="11" s="1"/>
  <c r="C142" i="10"/>
  <c r="C134" i="10"/>
  <c r="F133" i="10"/>
  <c r="F25" i="11" s="1"/>
  <c r="C133" i="10"/>
  <c r="C125" i="10"/>
  <c r="F124" i="10"/>
  <c r="F23" i="11" s="1"/>
  <c r="C116" i="10"/>
  <c r="C108" i="10"/>
  <c r="C100" i="10"/>
  <c r="F99" i="10"/>
  <c r="F21" i="11" s="1"/>
  <c r="C99" i="10"/>
  <c r="C91" i="10"/>
  <c r="C83" i="10"/>
  <c r="F82" i="10"/>
  <c r="F19" i="11" s="1"/>
  <c r="C82" i="10"/>
  <c r="F76" i="10"/>
  <c r="F74" i="10" s="1"/>
  <c r="F73" i="10"/>
  <c r="F72" i="10" s="1"/>
  <c r="F71" i="10" s="1"/>
  <c r="F70" i="10"/>
  <c r="F69" i="10"/>
  <c r="F68" i="10"/>
  <c r="F67" i="10"/>
  <c r="F66" i="10"/>
  <c r="F65" i="10"/>
  <c r="F62" i="10"/>
  <c r="F61" i="10"/>
  <c r="F60" i="10"/>
  <c r="F57" i="10"/>
  <c r="F56" i="10"/>
  <c r="F55" i="10"/>
  <c r="F54" i="10"/>
  <c r="F53" i="10"/>
  <c r="F50" i="10"/>
  <c r="F46" i="10"/>
  <c r="F45" i="10"/>
  <c r="F42" i="10"/>
  <c r="F41" i="10"/>
  <c r="F40" i="10"/>
  <c r="F38" i="10"/>
  <c r="F37" i="10"/>
  <c r="F35" i="10"/>
  <c r="F34" i="10"/>
  <c r="F33" i="10"/>
  <c r="F32" i="10"/>
  <c r="F24" i="10"/>
  <c r="F23" i="10"/>
  <c r="F22" i="10"/>
  <c r="F21" i="10"/>
  <c r="F20" i="10"/>
  <c r="F19" i="10"/>
  <c r="F35" i="11" l="1"/>
  <c r="F37" i="11" s="1"/>
  <c r="F36" i="10"/>
  <c r="F39" i="10"/>
  <c r="F64" i="10"/>
  <c r="F31" i="10"/>
  <c r="F59" i="10"/>
  <c r="F58" i="10" l="1"/>
  <c r="F63" i="10"/>
  <c r="F51" i="10"/>
  <c r="F43" i="10"/>
  <c r="F18" i="10"/>
  <c r="F30" i="10" l="1"/>
  <c r="D27" i="5" l="1"/>
  <c r="E27" i="5"/>
  <c r="D223" i="4"/>
  <c r="E223" i="4"/>
  <c r="D78" i="3"/>
  <c r="D75" i="3"/>
  <c r="D71" i="3"/>
  <c r="D72" i="3"/>
  <c r="D70" i="3"/>
  <c r="D69" i="3"/>
  <c r="D68" i="3"/>
  <c r="D67" i="3"/>
  <c r="D63" i="3"/>
  <c r="D62" i="3"/>
  <c r="D61" i="3"/>
  <c r="D58" i="3"/>
  <c r="D57" i="3"/>
  <c r="D56" i="3"/>
  <c r="D55" i="3"/>
  <c r="D54" i="3"/>
  <c r="D51" i="3"/>
  <c r="D47" i="3"/>
  <c r="D46" i="3"/>
  <c r="D43" i="3"/>
  <c r="D42" i="3"/>
  <c r="D41" i="3"/>
  <c r="D39" i="3"/>
  <c r="D38" i="3"/>
  <c r="D36" i="3"/>
  <c r="D35" i="3"/>
  <c r="D34" i="3"/>
  <c r="D33" i="3"/>
  <c r="D30" i="3"/>
  <c r="D29" i="3"/>
  <c r="D27" i="3"/>
  <c r="D25" i="3"/>
  <c r="D24" i="3"/>
  <c r="D23" i="3"/>
  <c r="D22" i="3"/>
  <c r="D21" i="3"/>
  <c r="D20" i="3"/>
  <c r="E20" i="3"/>
  <c r="AD20" i="3" l="1"/>
  <c r="V20" i="3"/>
  <c r="N20" i="3"/>
  <c r="O20" i="3"/>
  <c r="AC20" i="3"/>
  <c r="U20" i="3"/>
  <c r="M20" i="3"/>
  <c r="AB20" i="3"/>
  <c r="T20" i="3"/>
  <c r="L20" i="3"/>
  <c r="AE20" i="3"/>
  <c r="AI20" i="3"/>
  <c r="AA20" i="3"/>
  <c r="S20" i="3"/>
  <c r="K20" i="3"/>
  <c r="W20" i="3"/>
  <c r="AH20" i="3"/>
  <c r="Z20" i="3"/>
  <c r="R20" i="3"/>
  <c r="J20" i="3"/>
  <c r="G20" i="3"/>
  <c r="AG20" i="3"/>
  <c r="Y20" i="3"/>
  <c r="Q20" i="3"/>
  <c r="I20" i="3"/>
  <c r="AF20" i="3"/>
  <c r="X20" i="3"/>
  <c r="P20" i="3"/>
  <c r="H20" i="3"/>
  <c r="AD50" i="3"/>
  <c r="AD49" i="10" s="1"/>
  <c r="X50" i="3"/>
  <c r="X49" i="10" s="1"/>
  <c r="R50" i="3"/>
  <c r="R49" i="10" s="1"/>
  <c r="L50" i="3"/>
  <c r="L49" i="10" s="1"/>
  <c r="AI50" i="3"/>
  <c r="AC50" i="3"/>
  <c r="AC49" i="10" s="1"/>
  <c r="W50" i="3"/>
  <c r="W49" i="10" s="1"/>
  <c r="Q50" i="3"/>
  <c r="Q49" i="10" s="1"/>
  <c r="K50" i="3"/>
  <c r="K49" i="10" s="1"/>
  <c r="AH50" i="3"/>
  <c r="AH49" i="10" s="1"/>
  <c r="AB50" i="3"/>
  <c r="AB49" i="10" s="1"/>
  <c r="V50" i="3"/>
  <c r="V49" i="10" s="1"/>
  <c r="P50" i="3"/>
  <c r="P49" i="10" s="1"/>
  <c r="J50" i="3"/>
  <c r="J49" i="10" s="1"/>
  <c r="AG50" i="3"/>
  <c r="AG49" i="10" s="1"/>
  <c r="AA50" i="3"/>
  <c r="AA49" i="10" s="1"/>
  <c r="U50" i="3"/>
  <c r="U49" i="10" s="1"/>
  <c r="O50" i="3"/>
  <c r="O49" i="10" s="1"/>
  <c r="I50" i="3"/>
  <c r="I49" i="10" s="1"/>
  <c r="AF50" i="3"/>
  <c r="AF49" i="10" s="1"/>
  <c r="Z50" i="3"/>
  <c r="Z49" i="10" s="1"/>
  <c r="T50" i="3"/>
  <c r="T49" i="10" s="1"/>
  <c r="N50" i="3"/>
  <c r="N49" i="10" s="1"/>
  <c r="H50" i="3"/>
  <c r="H49" i="10" s="1"/>
  <c r="AE50" i="3"/>
  <c r="AE49" i="10" s="1"/>
  <c r="Y50" i="3"/>
  <c r="Y49" i="10" s="1"/>
  <c r="S50" i="3"/>
  <c r="S49" i="10" s="1"/>
  <c r="M50" i="3"/>
  <c r="M49" i="10" s="1"/>
  <c r="AF43" i="3"/>
  <c r="Z43" i="3"/>
  <c r="T43" i="3"/>
  <c r="N43" i="3"/>
  <c r="H43" i="3"/>
  <c r="AD42" i="3"/>
  <c r="X42" i="3"/>
  <c r="R42" i="3"/>
  <c r="L42" i="3"/>
  <c r="AC43" i="3"/>
  <c r="AG42" i="3"/>
  <c r="I42" i="3"/>
  <c r="AH43" i="3"/>
  <c r="P43" i="3"/>
  <c r="T42" i="3"/>
  <c r="AE43" i="3"/>
  <c r="Y43" i="3"/>
  <c r="S43" i="3"/>
  <c r="M43" i="3"/>
  <c r="AI42" i="3"/>
  <c r="AC42" i="3"/>
  <c r="W42" i="3"/>
  <c r="Q42" i="3"/>
  <c r="K42" i="3"/>
  <c r="Q43" i="3"/>
  <c r="J43" i="3"/>
  <c r="AD43" i="3"/>
  <c r="X43" i="3"/>
  <c r="R43" i="3"/>
  <c r="L43" i="3"/>
  <c r="AH42" i="3"/>
  <c r="AB42" i="3"/>
  <c r="V42" i="3"/>
  <c r="P42" i="3"/>
  <c r="J42" i="3"/>
  <c r="W43" i="3"/>
  <c r="AA42" i="3"/>
  <c r="O42" i="3"/>
  <c r="AB43" i="3"/>
  <c r="AF42" i="3"/>
  <c r="H42" i="3"/>
  <c r="AG43" i="3"/>
  <c r="AA43" i="3"/>
  <c r="U43" i="3"/>
  <c r="O43" i="3"/>
  <c r="I43" i="3"/>
  <c r="AE42" i="3"/>
  <c r="Y42" i="3"/>
  <c r="S42" i="3"/>
  <c r="M42" i="3"/>
  <c r="AI43" i="3"/>
  <c r="K43" i="3"/>
  <c r="U42" i="3"/>
  <c r="V43" i="3"/>
  <c r="Z42" i="3"/>
  <c r="N42" i="3"/>
  <c r="G43" i="3"/>
  <c r="G42" i="3"/>
  <c r="AI49" i="10"/>
  <c r="G50" i="3"/>
  <c r="D30" i="5"/>
  <c r="D34" i="5" s="1"/>
  <c r="E71" i="3"/>
  <c r="E72" i="3"/>
  <c r="E70" i="3"/>
  <c r="E69" i="3"/>
  <c r="E68" i="3"/>
  <c r="E67" i="3"/>
  <c r="E63" i="3"/>
  <c r="E62" i="3"/>
  <c r="E61" i="3"/>
  <c r="E58" i="3"/>
  <c r="E57" i="3"/>
  <c r="E56" i="3"/>
  <c r="E55" i="3"/>
  <c r="E54" i="3"/>
  <c r="E51" i="3"/>
  <c r="E47" i="3"/>
  <c r="E46" i="3"/>
  <c r="E41" i="3"/>
  <c r="P41" i="3" s="1"/>
  <c r="E39" i="3"/>
  <c r="E38" i="3"/>
  <c r="E36" i="3"/>
  <c r="E35" i="3"/>
  <c r="E34" i="3"/>
  <c r="E33" i="3"/>
  <c r="E30" i="3"/>
  <c r="E29" i="3"/>
  <c r="E27" i="3"/>
  <c r="E25" i="3"/>
  <c r="E24" i="3"/>
  <c r="E23" i="3"/>
  <c r="E22" i="3"/>
  <c r="E21" i="3"/>
  <c r="AG47" i="3" l="1"/>
  <c r="Y47" i="3"/>
  <c r="Q47" i="3"/>
  <c r="I47" i="3"/>
  <c r="AF47" i="3"/>
  <c r="X47" i="3"/>
  <c r="P47" i="3"/>
  <c r="P46" i="10" s="1"/>
  <c r="H47" i="3"/>
  <c r="AE47" i="3"/>
  <c r="W47" i="3"/>
  <c r="O47" i="3"/>
  <c r="G47" i="3"/>
  <c r="AD47" i="3"/>
  <c r="V47" i="3"/>
  <c r="N47" i="3"/>
  <c r="N46" i="10" s="1"/>
  <c r="AC47" i="3"/>
  <c r="U47" i="3"/>
  <c r="M47" i="3"/>
  <c r="AB47" i="3"/>
  <c r="T47" i="3"/>
  <c r="L47" i="3"/>
  <c r="AI47" i="3"/>
  <c r="AA47" i="3"/>
  <c r="S47" i="3"/>
  <c r="K47" i="3"/>
  <c r="AH47" i="3"/>
  <c r="Z47" i="3"/>
  <c r="R47" i="3"/>
  <c r="J47" i="3"/>
  <c r="AB51" i="3"/>
  <c r="T51" i="3"/>
  <c r="L51" i="3"/>
  <c r="AI51" i="3"/>
  <c r="AA51" i="3"/>
  <c r="S51" i="3"/>
  <c r="K51" i="3"/>
  <c r="AH51" i="3"/>
  <c r="Z51" i="3"/>
  <c r="R51" i="3"/>
  <c r="R50" i="10" s="1"/>
  <c r="J51" i="3"/>
  <c r="AG51" i="3"/>
  <c r="Y51" i="3"/>
  <c r="Q51" i="3"/>
  <c r="I51" i="3"/>
  <c r="AF51" i="3"/>
  <c r="X51" i="3"/>
  <c r="P51" i="3"/>
  <c r="P50" i="10" s="1"/>
  <c r="H51" i="3"/>
  <c r="AE51" i="3"/>
  <c r="W51" i="3"/>
  <c r="O51" i="3"/>
  <c r="G51" i="3"/>
  <c r="AD51" i="3"/>
  <c r="V51" i="3"/>
  <c r="N51" i="3"/>
  <c r="N50" i="10" s="1"/>
  <c r="AC51" i="3"/>
  <c r="U51" i="3"/>
  <c r="M51" i="3"/>
  <c r="AD46" i="3"/>
  <c r="V46" i="3"/>
  <c r="N46" i="3"/>
  <c r="AC46" i="3"/>
  <c r="U46" i="3"/>
  <c r="M46" i="3"/>
  <c r="M45" i="10" s="1"/>
  <c r="AB46" i="3"/>
  <c r="T46" i="3"/>
  <c r="L46" i="3"/>
  <c r="AI46" i="3"/>
  <c r="AA46" i="3"/>
  <c r="S46" i="3"/>
  <c r="K46" i="3"/>
  <c r="K45" i="10" s="1"/>
  <c r="AH46" i="3"/>
  <c r="Z46" i="3"/>
  <c r="R46" i="3"/>
  <c r="J46" i="3"/>
  <c r="AG46" i="3"/>
  <c r="Y46" i="3"/>
  <c r="Q46" i="3"/>
  <c r="I46" i="3"/>
  <c r="AF46" i="3"/>
  <c r="X46" i="3"/>
  <c r="P46" i="3"/>
  <c r="H46" i="3"/>
  <c r="AE46" i="3"/>
  <c r="W46" i="3"/>
  <c r="O46" i="3"/>
  <c r="G46" i="3"/>
  <c r="AE38" i="3"/>
  <c r="AE37" i="10" s="1"/>
  <c r="W38" i="3"/>
  <c r="O38" i="3"/>
  <c r="AD38" i="3"/>
  <c r="AD37" i="10" s="1"/>
  <c r="V38" i="3"/>
  <c r="V37" i="10" s="1"/>
  <c r="N38" i="3"/>
  <c r="G38" i="3"/>
  <c r="G37" i="10" s="1"/>
  <c r="AC38" i="3"/>
  <c r="AC37" i="10" s="1"/>
  <c r="U38" i="3"/>
  <c r="U37" i="10" s="1"/>
  <c r="M38" i="3"/>
  <c r="AB38" i="3"/>
  <c r="T38" i="3"/>
  <c r="L38" i="3"/>
  <c r="AI38" i="3"/>
  <c r="AA38" i="3"/>
  <c r="S38" i="3"/>
  <c r="S37" i="10" s="1"/>
  <c r="K38" i="3"/>
  <c r="K37" i="10" s="1"/>
  <c r="Z38" i="3"/>
  <c r="AH38" i="3"/>
  <c r="R38" i="3"/>
  <c r="R37" i="10" s="1"/>
  <c r="J38" i="3"/>
  <c r="J37" i="10" s="1"/>
  <c r="AG38" i="3"/>
  <c r="Y38" i="3"/>
  <c r="Q38" i="3"/>
  <c r="I38" i="3"/>
  <c r="I37" i="10" s="1"/>
  <c r="AF38" i="3"/>
  <c r="X38" i="3"/>
  <c r="X37" i="10" s="1"/>
  <c r="P38" i="3"/>
  <c r="P37" i="10" s="1"/>
  <c r="H38" i="3"/>
  <c r="H37" i="10" s="1"/>
  <c r="AC27" i="3"/>
  <c r="U27" i="3"/>
  <c r="M27" i="3"/>
  <c r="AB27" i="3"/>
  <c r="T27" i="3"/>
  <c r="L27" i="3"/>
  <c r="AI27" i="3"/>
  <c r="AA27" i="3"/>
  <c r="S27" i="3"/>
  <c r="K27" i="3"/>
  <c r="AH27" i="3"/>
  <c r="Z27" i="3"/>
  <c r="R27" i="3"/>
  <c r="J27" i="3"/>
  <c r="AG27" i="3"/>
  <c r="Y27" i="3"/>
  <c r="Q27" i="3"/>
  <c r="I27" i="3"/>
  <c r="AF27" i="3"/>
  <c r="X27" i="3"/>
  <c r="P27" i="3"/>
  <c r="H27" i="3"/>
  <c r="AE27" i="3"/>
  <c r="W27" i="3"/>
  <c r="O27" i="3"/>
  <c r="F27" i="3"/>
  <c r="AD27" i="3"/>
  <c r="V27" i="3"/>
  <c r="N27" i="3"/>
  <c r="G27" i="3"/>
  <c r="AI39" i="3"/>
  <c r="AA39" i="3"/>
  <c r="AA38" i="10" s="1"/>
  <c r="S39" i="3"/>
  <c r="S38" i="10" s="1"/>
  <c r="K39" i="3"/>
  <c r="K38" i="10" s="1"/>
  <c r="G39" i="3"/>
  <c r="G38" i="10" s="1"/>
  <c r="AH39" i="3"/>
  <c r="Z39" i="3"/>
  <c r="Z38" i="10" s="1"/>
  <c r="R39" i="3"/>
  <c r="R38" i="10" s="1"/>
  <c r="J39" i="3"/>
  <c r="J38" i="10" s="1"/>
  <c r="AG39" i="3"/>
  <c r="Y39" i="3"/>
  <c r="Q39" i="3"/>
  <c r="I39" i="3"/>
  <c r="AF39" i="3"/>
  <c r="X39" i="3"/>
  <c r="P39" i="3"/>
  <c r="H39" i="3"/>
  <c r="AE39" i="3"/>
  <c r="AE38" i="10" s="1"/>
  <c r="W39" i="3"/>
  <c r="O39" i="3"/>
  <c r="O38" i="10" s="1"/>
  <c r="AD39" i="3"/>
  <c r="AD38" i="10" s="1"/>
  <c r="V39" i="3"/>
  <c r="V38" i="10" s="1"/>
  <c r="N39" i="3"/>
  <c r="AC39" i="3"/>
  <c r="U39" i="3"/>
  <c r="M39" i="3"/>
  <c r="AB39" i="3"/>
  <c r="T39" i="3"/>
  <c r="T38" i="10" s="1"/>
  <c r="L39" i="3"/>
  <c r="L38" i="10" s="1"/>
  <c r="AE68" i="3"/>
  <c r="Y68" i="3"/>
  <c r="S68" i="3"/>
  <c r="M68" i="3"/>
  <c r="Q68" i="3"/>
  <c r="AC68" i="3"/>
  <c r="AA68" i="3"/>
  <c r="W68" i="3"/>
  <c r="AG68" i="3"/>
  <c r="AI68" i="3"/>
  <c r="V68" i="3"/>
  <c r="L68" i="3"/>
  <c r="J68" i="3"/>
  <c r="R68" i="3"/>
  <c r="P68" i="3"/>
  <c r="N68" i="3"/>
  <c r="AD68" i="3"/>
  <c r="I68" i="3"/>
  <c r="O68" i="3"/>
  <c r="K68" i="3"/>
  <c r="H68" i="3"/>
  <c r="X68" i="3"/>
  <c r="AB68" i="3"/>
  <c r="T68" i="3"/>
  <c r="AH68" i="3"/>
  <c r="Z68" i="3"/>
  <c r="AF68" i="3"/>
  <c r="U68" i="3"/>
  <c r="X41" i="3"/>
  <c r="X40" i="10" s="1"/>
  <c r="N41" i="3"/>
  <c r="U41" i="3"/>
  <c r="U40" i="10" s="1"/>
  <c r="V41" i="3"/>
  <c r="V40" i="10" s="1"/>
  <c r="X45" i="10"/>
  <c r="AI50" i="10"/>
  <c r="AG45" i="10"/>
  <c r="Q29" i="3"/>
  <c r="W29" i="3"/>
  <c r="AB29" i="3"/>
  <c r="AG69" i="3"/>
  <c r="AG67" i="10" s="1"/>
  <c r="Y69" i="3"/>
  <c r="Q69" i="3"/>
  <c r="Q67" i="10" s="1"/>
  <c r="I69" i="3"/>
  <c r="I67" i="10" s="1"/>
  <c r="AF69" i="3"/>
  <c r="AF67" i="10" s="1"/>
  <c r="X69" i="3"/>
  <c r="P69" i="3"/>
  <c r="P67" i="10" s="1"/>
  <c r="H69" i="3"/>
  <c r="H67" i="10" s="1"/>
  <c r="AE69" i="3"/>
  <c r="AE67" i="10" s="1"/>
  <c r="W69" i="3"/>
  <c r="W67" i="10" s="1"/>
  <c r="O69" i="3"/>
  <c r="O67" i="10" s="1"/>
  <c r="AD69" i="3"/>
  <c r="AD67" i="10" s="1"/>
  <c r="V69" i="3"/>
  <c r="V67" i="10" s="1"/>
  <c r="N69" i="3"/>
  <c r="AC69" i="3"/>
  <c r="U69" i="3"/>
  <c r="U67" i="10" s="1"/>
  <c r="M69" i="3"/>
  <c r="M67" i="10" s="1"/>
  <c r="AB69" i="3"/>
  <c r="AB67" i="10" s="1"/>
  <c r="T69" i="3"/>
  <c r="T67" i="10" s="1"/>
  <c r="L69" i="3"/>
  <c r="L67" i="10" s="1"/>
  <c r="S69" i="3"/>
  <c r="S67" i="10" s="1"/>
  <c r="R69" i="3"/>
  <c r="K69" i="3"/>
  <c r="Z69" i="3"/>
  <c r="Z67" i="10" s="1"/>
  <c r="J69" i="3"/>
  <c r="J67" i="10" s="1"/>
  <c r="AI69" i="3"/>
  <c r="AH69" i="3"/>
  <c r="AH67" i="10" s="1"/>
  <c r="AA69" i="3"/>
  <c r="AA67" i="10" s="1"/>
  <c r="AE41" i="3"/>
  <c r="T41" i="3"/>
  <c r="AA41" i="3"/>
  <c r="AB41" i="3"/>
  <c r="U46" i="10"/>
  <c r="J46" i="10"/>
  <c r="I50" i="10"/>
  <c r="AD45" i="10"/>
  <c r="X50" i="10"/>
  <c r="Y29" i="3"/>
  <c r="K29" i="3"/>
  <c r="M29" i="3"/>
  <c r="AH36" i="3"/>
  <c r="Z36" i="3"/>
  <c r="R36" i="3"/>
  <c r="R35" i="10" s="1"/>
  <c r="J36" i="3"/>
  <c r="J35" i="10" s="1"/>
  <c r="AG36" i="3"/>
  <c r="Y36" i="3"/>
  <c r="Y35" i="10" s="1"/>
  <c r="Q36" i="3"/>
  <c r="Q35" i="10" s="1"/>
  <c r="I36" i="3"/>
  <c r="I35" i="10" s="1"/>
  <c r="AF36" i="3"/>
  <c r="X36" i="3"/>
  <c r="X35" i="10" s="1"/>
  <c r="P36" i="3"/>
  <c r="P35" i="10" s="1"/>
  <c r="H36" i="3"/>
  <c r="H35" i="10" s="1"/>
  <c r="AE36" i="3"/>
  <c r="AE35" i="10" s="1"/>
  <c r="W36" i="3"/>
  <c r="W35" i="10" s="1"/>
  <c r="O36" i="3"/>
  <c r="O35" i="10" s="1"/>
  <c r="AD36" i="3"/>
  <c r="AD35" i="10" s="1"/>
  <c r="V36" i="3"/>
  <c r="V35" i="10" s="1"/>
  <c r="N36" i="3"/>
  <c r="N35" i="10" s="1"/>
  <c r="AC36" i="3"/>
  <c r="AC35" i="10" s="1"/>
  <c r="U36" i="3"/>
  <c r="U35" i="10" s="1"/>
  <c r="M36" i="3"/>
  <c r="M35" i="10" s="1"/>
  <c r="AI36" i="3"/>
  <c r="AB36" i="3"/>
  <c r="AB35" i="10" s="1"/>
  <c r="AA36" i="3"/>
  <c r="AA35" i="10" s="1"/>
  <c r="T36" i="3"/>
  <c r="S36" i="3"/>
  <c r="S35" i="10" s="1"/>
  <c r="G36" i="3"/>
  <c r="G35" i="10" s="1"/>
  <c r="L36" i="3"/>
  <c r="L35" i="10" s="1"/>
  <c r="K36" i="3"/>
  <c r="K35" i="10" s="1"/>
  <c r="AH21" i="3"/>
  <c r="Z21" i="3"/>
  <c r="Z20" i="10" s="1"/>
  <c r="R21" i="3"/>
  <c r="R20" i="10" s="1"/>
  <c r="J21" i="3"/>
  <c r="J20" i="10" s="1"/>
  <c r="K21" i="3"/>
  <c r="K20" i="10" s="1"/>
  <c r="AG21" i="3"/>
  <c r="Y21" i="3"/>
  <c r="Y20" i="10" s="1"/>
  <c r="Q21" i="3"/>
  <c r="Q20" i="10" s="1"/>
  <c r="I21" i="3"/>
  <c r="S21" i="3"/>
  <c r="S20" i="10" s="1"/>
  <c r="AF21" i="3"/>
  <c r="X21" i="3"/>
  <c r="X20" i="10" s="1"/>
  <c r="P21" i="3"/>
  <c r="P20" i="10" s="1"/>
  <c r="H21" i="3"/>
  <c r="H20" i="10" s="1"/>
  <c r="AE21" i="3"/>
  <c r="AE20" i="10" s="1"/>
  <c r="W21" i="3"/>
  <c r="W20" i="10" s="1"/>
  <c r="O21" i="3"/>
  <c r="O20" i="10" s="1"/>
  <c r="G21" i="3"/>
  <c r="G20" i="10" s="1"/>
  <c r="AD21" i="3"/>
  <c r="AD20" i="10" s="1"/>
  <c r="V21" i="3"/>
  <c r="N21" i="3"/>
  <c r="N20" i="10" s="1"/>
  <c r="AC21" i="3"/>
  <c r="AC20" i="10" s="1"/>
  <c r="U21" i="3"/>
  <c r="M21" i="3"/>
  <c r="M20" i="10" s="1"/>
  <c r="AI21" i="3"/>
  <c r="AB21" i="3"/>
  <c r="AB20" i="10" s="1"/>
  <c r="T21" i="3"/>
  <c r="T20" i="10" s="1"/>
  <c r="L21" i="3"/>
  <c r="L20" i="10" s="1"/>
  <c r="AA21" i="3"/>
  <c r="AA20" i="10" s="1"/>
  <c r="AC70" i="3"/>
  <c r="AC68" i="10" s="1"/>
  <c r="U70" i="3"/>
  <c r="U68" i="10" s="1"/>
  <c r="M70" i="3"/>
  <c r="M68" i="10" s="1"/>
  <c r="AB70" i="3"/>
  <c r="AB68" i="10" s="1"/>
  <c r="T70" i="3"/>
  <c r="T68" i="10" s="1"/>
  <c r="L70" i="3"/>
  <c r="L68" i="10" s="1"/>
  <c r="AI70" i="3"/>
  <c r="AA70" i="3"/>
  <c r="AA68" i="10" s="1"/>
  <c r="S70" i="3"/>
  <c r="S68" i="10" s="1"/>
  <c r="K70" i="3"/>
  <c r="K68" i="10" s="1"/>
  <c r="AH70" i="3"/>
  <c r="Z70" i="3"/>
  <c r="Z68" i="10" s="1"/>
  <c r="R70" i="3"/>
  <c r="R68" i="10" s="1"/>
  <c r="J70" i="3"/>
  <c r="J68" i="10" s="1"/>
  <c r="AG70" i="3"/>
  <c r="Y70" i="3"/>
  <c r="Q70" i="3"/>
  <c r="Q68" i="10" s="1"/>
  <c r="I70" i="3"/>
  <c r="I68" i="10" s="1"/>
  <c r="AF70" i="3"/>
  <c r="AF68" i="10" s="1"/>
  <c r="X70" i="3"/>
  <c r="X68" i="10" s="1"/>
  <c r="P70" i="3"/>
  <c r="P68" i="10" s="1"/>
  <c r="H70" i="3"/>
  <c r="H68" i="10" s="1"/>
  <c r="W70" i="3"/>
  <c r="W68" i="10" s="1"/>
  <c r="G70" i="3"/>
  <c r="G68" i="10" s="1"/>
  <c r="V70" i="3"/>
  <c r="V68" i="10" s="1"/>
  <c r="AD70" i="3"/>
  <c r="AD68" i="10" s="1"/>
  <c r="O70" i="3"/>
  <c r="O68" i="10" s="1"/>
  <c r="N70" i="3"/>
  <c r="N68" i="10" s="1"/>
  <c r="AE70" i="3"/>
  <c r="AE68" i="10" s="1"/>
  <c r="K41" i="3"/>
  <c r="K40" i="10" s="1"/>
  <c r="Z41" i="3"/>
  <c r="AG41" i="3"/>
  <c r="AH41" i="3"/>
  <c r="AA46" i="10"/>
  <c r="O50" i="10"/>
  <c r="J50" i="10"/>
  <c r="Y45" i="10"/>
  <c r="S50" i="10"/>
  <c r="AG29" i="3"/>
  <c r="S29" i="3"/>
  <c r="U29" i="3"/>
  <c r="AH55" i="3"/>
  <c r="Z55" i="3"/>
  <c r="Z54" i="10" s="1"/>
  <c r="R55" i="3"/>
  <c r="R54" i="10" s="1"/>
  <c r="J55" i="3"/>
  <c r="AG55" i="3"/>
  <c r="Y55" i="3"/>
  <c r="Y54" i="10" s="1"/>
  <c r="Q55" i="3"/>
  <c r="Q54" i="10" s="1"/>
  <c r="I55" i="3"/>
  <c r="I54" i="10" s="1"/>
  <c r="AF55" i="3"/>
  <c r="X55" i="3"/>
  <c r="X54" i="10" s="1"/>
  <c r="P55" i="3"/>
  <c r="P54" i="10" s="1"/>
  <c r="H55" i="3"/>
  <c r="AE55" i="3"/>
  <c r="AE54" i="10" s="1"/>
  <c r="W55" i="3"/>
  <c r="W54" i="10" s="1"/>
  <c r="O55" i="3"/>
  <c r="O54" i="10" s="1"/>
  <c r="AD55" i="3"/>
  <c r="AD54" i="10" s="1"/>
  <c r="V55" i="3"/>
  <c r="V54" i="10" s="1"/>
  <c r="N55" i="3"/>
  <c r="N54" i="10" s="1"/>
  <c r="AC55" i="3"/>
  <c r="AC54" i="10" s="1"/>
  <c r="U55" i="3"/>
  <c r="U54" i="10" s="1"/>
  <c r="M55" i="3"/>
  <c r="M54" i="10" s="1"/>
  <c r="S55" i="3"/>
  <c r="S54" i="10" s="1"/>
  <c r="G55" i="3"/>
  <c r="G54" i="10" s="1"/>
  <c r="T55" i="3"/>
  <c r="T54" i="10" s="1"/>
  <c r="L55" i="3"/>
  <c r="L54" i="10" s="1"/>
  <c r="K55" i="3"/>
  <c r="K54" i="10" s="1"/>
  <c r="AI55" i="3"/>
  <c r="AB55" i="3"/>
  <c r="AB54" i="10" s="1"/>
  <c r="AA55" i="3"/>
  <c r="AA54" i="10" s="1"/>
  <c r="AD58" i="3"/>
  <c r="AD57" i="10" s="1"/>
  <c r="V58" i="3"/>
  <c r="V57" i="10" s="1"/>
  <c r="N58" i="3"/>
  <c r="N57" i="10" s="1"/>
  <c r="AC58" i="3"/>
  <c r="AC57" i="10" s="1"/>
  <c r="U58" i="3"/>
  <c r="U57" i="10" s="1"/>
  <c r="M58" i="3"/>
  <c r="M57" i="10" s="1"/>
  <c r="AB58" i="3"/>
  <c r="T58" i="3"/>
  <c r="T57" i="10" s="1"/>
  <c r="L58" i="3"/>
  <c r="L57" i="10" s="1"/>
  <c r="AI58" i="3"/>
  <c r="AA58" i="3"/>
  <c r="AA57" i="10" s="1"/>
  <c r="S58" i="3"/>
  <c r="S57" i="10" s="1"/>
  <c r="K58" i="3"/>
  <c r="K57" i="10" s="1"/>
  <c r="AH58" i="3"/>
  <c r="Z58" i="3"/>
  <c r="Z57" i="10" s="1"/>
  <c r="R58" i="3"/>
  <c r="R57" i="10" s="1"/>
  <c r="J58" i="3"/>
  <c r="J57" i="10" s="1"/>
  <c r="AG58" i="3"/>
  <c r="Y58" i="3"/>
  <c r="Y57" i="10" s="1"/>
  <c r="Q58" i="3"/>
  <c r="Q57" i="10" s="1"/>
  <c r="I58" i="3"/>
  <c r="I57" i="10" s="1"/>
  <c r="AE58" i="3"/>
  <c r="AE57" i="10" s="1"/>
  <c r="X58" i="3"/>
  <c r="X57" i="10" s="1"/>
  <c r="W58" i="3"/>
  <c r="W57" i="10" s="1"/>
  <c r="AF58" i="3"/>
  <c r="P58" i="3"/>
  <c r="P57" i="10" s="1"/>
  <c r="O58" i="3"/>
  <c r="O57" i="10" s="1"/>
  <c r="H58" i="3"/>
  <c r="H57" i="10" s="1"/>
  <c r="G58" i="3"/>
  <c r="G57" i="10" s="1"/>
  <c r="AC72" i="3"/>
  <c r="AC70" i="10" s="1"/>
  <c r="U72" i="3"/>
  <c r="M72" i="3"/>
  <c r="M70" i="10" s="1"/>
  <c r="AB72" i="3"/>
  <c r="AB70" i="10" s="1"/>
  <c r="T72" i="3"/>
  <c r="L72" i="3"/>
  <c r="L70" i="10" s="1"/>
  <c r="AI72" i="3"/>
  <c r="AI70" i="10" s="1"/>
  <c r="AA72" i="3"/>
  <c r="AA70" i="10" s="1"/>
  <c r="S72" i="3"/>
  <c r="S70" i="10" s="1"/>
  <c r="K72" i="3"/>
  <c r="AH72" i="3"/>
  <c r="AH70" i="10" s="1"/>
  <c r="Z72" i="3"/>
  <c r="Z70" i="10" s="1"/>
  <c r="R72" i="3"/>
  <c r="R70" i="10" s="1"/>
  <c r="J72" i="3"/>
  <c r="J70" i="10" s="1"/>
  <c r="AG72" i="3"/>
  <c r="AG70" i="10" s="1"/>
  <c r="Y72" i="3"/>
  <c r="Y70" i="10" s="1"/>
  <c r="Q72" i="3"/>
  <c r="Q70" i="10" s="1"/>
  <c r="I72" i="3"/>
  <c r="AF72" i="3"/>
  <c r="AF70" i="10" s="1"/>
  <c r="X72" i="3"/>
  <c r="X70" i="10" s="1"/>
  <c r="P72" i="3"/>
  <c r="P70" i="10" s="1"/>
  <c r="H72" i="3"/>
  <c r="H70" i="10" s="1"/>
  <c r="AE72" i="3"/>
  <c r="AE70" i="10" s="1"/>
  <c r="AD72" i="3"/>
  <c r="AD70" i="10" s="1"/>
  <c r="W72" i="3"/>
  <c r="W70" i="10" s="1"/>
  <c r="V72" i="3"/>
  <c r="V70" i="10" s="1"/>
  <c r="O72" i="3"/>
  <c r="O70" i="10" s="1"/>
  <c r="N72" i="3"/>
  <c r="N70" i="10" s="1"/>
  <c r="Q41" i="3"/>
  <c r="Q40" i="10" s="1"/>
  <c r="AF41" i="3"/>
  <c r="AF40" i="10" s="1"/>
  <c r="AD41" i="3"/>
  <c r="AD40" i="10" s="1"/>
  <c r="Z50" i="10"/>
  <c r="U50" i="10"/>
  <c r="AE45" i="10"/>
  <c r="Y50" i="10"/>
  <c r="H29" i="3"/>
  <c r="AA29" i="3"/>
  <c r="AC29" i="3"/>
  <c r="M37" i="10"/>
  <c r="AB37" i="10"/>
  <c r="T37" i="10"/>
  <c r="L37" i="10"/>
  <c r="Z37" i="10"/>
  <c r="AH61" i="3"/>
  <c r="Z61" i="3"/>
  <c r="Z60" i="10" s="1"/>
  <c r="R61" i="3"/>
  <c r="R60" i="10" s="1"/>
  <c r="J61" i="3"/>
  <c r="J60" i="10" s="1"/>
  <c r="AG61" i="3"/>
  <c r="Y61" i="3"/>
  <c r="Y60" i="10" s="1"/>
  <c r="Q61" i="3"/>
  <c r="Q60" i="10" s="1"/>
  <c r="I61" i="3"/>
  <c r="I60" i="10" s="1"/>
  <c r="AF61" i="3"/>
  <c r="X61" i="3"/>
  <c r="X60" i="10" s="1"/>
  <c r="P61" i="3"/>
  <c r="P60" i="10" s="1"/>
  <c r="H61" i="3"/>
  <c r="H60" i="10" s="1"/>
  <c r="AE61" i="3"/>
  <c r="AE60" i="10" s="1"/>
  <c r="W61" i="3"/>
  <c r="W60" i="10" s="1"/>
  <c r="O61" i="3"/>
  <c r="O60" i="10" s="1"/>
  <c r="AD61" i="3"/>
  <c r="V61" i="3"/>
  <c r="V60" i="10" s="1"/>
  <c r="N61" i="3"/>
  <c r="N60" i="10" s="1"/>
  <c r="AC61" i="3"/>
  <c r="AC60" i="10" s="1"/>
  <c r="U61" i="3"/>
  <c r="U60" i="10" s="1"/>
  <c r="M61" i="3"/>
  <c r="M60" i="10" s="1"/>
  <c r="AI61" i="3"/>
  <c r="AB61" i="3"/>
  <c r="AB60" i="10" s="1"/>
  <c r="AA61" i="3"/>
  <c r="AA60" i="10" s="1"/>
  <c r="T61" i="3"/>
  <c r="T60" i="10" s="1"/>
  <c r="S61" i="3"/>
  <c r="S60" i="10" s="1"/>
  <c r="L61" i="3"/>
  <c r="L60" i="10" s="1"/>
  <c r="G61" i="3"/>
  <c r="G60" i="10" s="1"/>
  <c r="K61" i="3"/>
  <c r="K60" i="10" s="1"/>
  <c r="AG71" i="3"/>
  <c r="Y71" i="3"/>
  <c r="Q71" i="3"/>
  <c r="Q69" i="10" s="1"/>
  <c r="I71" i="3"/>
  <c r="I69" i="10" s="1"/>
  <c r="AF71" i="3"/>
  <c r="AF69" i="10" s="1"/>
  <c r="X71" i="3"/>
  <c r="X69" i="10" s="1"/>
  <c r="P71" i="3"/>
  <c r="P69" i="10" s="1"/>
  <c r="H71" i="3"/>
  <c r="H69" i="10" s="1"/>
  <c r="AE71" i="3"/>
  <c r="AE69" i="10" s="1"/>
  <c r="W71" i="3"/>
  <c r="W69" i="10" s="1"/>
  <c r="O71" i="3"/>
  <c r="O69" i="10" s="1"/>
  <c r="AD71" i="3"/>
  <c r="AD69" i="10" s="1"/>
  <c r="V71" i="3"/>
  <c r="V69" i="10" s="1"/>
  <c r="N71" i="3"/>
  <c r="N69" i="10" s="1"/>
  <c r="AC71" i="3"/>
  <c r="AC69" i="10" s="1"/>
  <c r="U71" i="3"/>
  <c r="U69" i="10" s="1"/>
  <c r="M71" i="3"/>
  <c r="AB71" i="3"/>
  <c r="AB69" i="10" s="1"/>
  <c r="T71" i="3"/>
  <c r="T69" i="10" s="1"/>
  <c r="L71" i="3"/>
  <c r="L69" i="10" s="1"/>
  <c r="AA71" i="3"/>
  <c r="AA69" i="10" s="1"/>
  <c r="Z71" i="3"/>
  <c r="Z69" i="10" s="1"/>
  <c r="S71" i="3"/>
  <c r="S69" i="10" s="1"/>
  <c r="R71" i="3"/>
  <c r="R69" i="10" s="1"/>
  <c r="AH71" i="3"/>
  <c r="K71" i="3"/>
  <c r="K69" i="10" s="1"/>
  <c r="J71" i="3"/>
  <c r="J69" i="10" s="1"/>
  <c r="G71" i="3"/>
  <c r="G69" i="10" s="1"/>
  <c r="AI71" i="3"/>
  <c r="W41" i="3"/>
  <c r="W40" i="10" s="1"/>
  <c r="L41" i="3"/>
  <c r="L40" i="10" s="1"/>
  <c r="M41" i="3"/>
  <c r="M40" i="10" s="1"/>
  <c r="Q46" i="10"/>
  <c r="AA50" i="10"/>
  <c r="V50" i="10"/>
  <c r="K50" i="10"/>
  <c r="I45" i="10"/>
  <c r="P29" i="3"/>
  <c r="J29" i="3"/>
  <c r="AI29" i="3"/>
  <c r="O29" i="3"/>
  <c r="Y38" i="10"/>
  <c r="Q38" i="10"/>
  <c r="I38" i="10"/>
  <c r="H38" i="10"/>
  <c r="W38" i="10"/>
  <c r="M38" i="10"/>
  <c r="AD33" i="3"/>
  <c r="AD32" i="10" s="1"/>
  <c r="V33" i="3"/>
  <c r="V32" i="10" s="1"/>
  <c r="N33" i="3"/>
  <c r="N32" i="10" s="1"/>
  <c r="AC33" i="3"/>
  <c r="AC32" i="10" s="1"/>
  <c r="U33" i="3"/>
  <c r="U32" i="10" s="1"/>
  <c r="M33" i="3"/>
  <c r="M32" i="10" s="1"/>
  <c r="AB33" i="3"/>
  <c r="AB32" i="10" s="1"/>
  <c r="T33" i="3"/>
  <c r="T32" i="10" s="1"/>
  <c r="L33" i="3"/>
  <c r="L32" i="10" s="1"/>
  <c r="AI33" i="3"/>
  <c r="AA33" i="3"/>
  <c r="AA32" i="10" s="1"/>
  <c r="S33" i="3"/>
  <c r="S32" i="10" s="1"/>
  <c r="K33" i="3"/>
  <c r="K32" i="10" s="1"/>
  <c r="AH33" i="3"/>
  <c r="Z33" i="3"/>
  <c r="Z32" i="10" s="1"/>
  <c r="R33" i="3"/>
  <c r="R32" i="10" s="1"/>
  <c r="J33" i="3"/>
  <c r="J32" i="10" s="1"/>
  <c r="AG33" i="3"/>
  <c r="Y33" i="3"/>
  <c r="Y32" i="10" s="1"/>
  <c r="Q33" i="3"/>
  <c r="Q32" i="10" s="1"/>
  <c r="I33" i="3"/>
  <c r="I32" i="10" s="1"/>
  <c r="W33" i="3"/>
  <c r="W32" i="10" s="1"/>
  <c r="P33" i="3"/>
  <c r="P32" i="10" s="1"/>
  <c r="X33" i="3"/>
  <c r="X32" i="10" s="1"/>
  <c r="O33" i="3"/>
  <c r="O32" i="10" s="1"/>
  <c r="H33" i="3"/>
  <c r="H32" i="10" s="1"/>
  <c r="AF33" i="3"/>
  <c r="AE33" i="3"/>
  <c r="AE32" i="10" s="1"/>
  <c r="G33" i="3"/>
  <c r="G32" i="10" s="1"/>
  <c r="AD62" i="3"/>
  <c r="AD61" i="10" s="1"/>
  <c r="V62" i="3"/>
  <c r="V61" i="10" s="1"/>
  <c r="N62" i="3"/>
  <c r="N61" i="10" s="1"/>
  <c r="AC62" i="3"/>
  <c r="AC61" i="10" s="1"/>
  <c r="U62" i="3"/>
  <c r="U61" i="10" s="1"/>
  <c r="M62" i="3"/>
  <c r="M61" i="10" s="1"/>
  <c r="AB62" i="3"/>
  <c r="AB61" i="10" s="1"/>
  <c r="T62" i="3"/>
  <c r="T61" i="10" s="1"/>
  <c r="L62" i="3"/>
  <c r="L61" i="10" s="1"/>
  <c r="AI62" i="3"/>
  <c r="AA62" i="3"/>
  <c r="AA61" i="10" s="1"/>
  <c r="S62" i="3"/>
  <c r="S61" i="10" s="1"/>
  <c r="K62" i="3"/>
  <c r="K61" i="10" s="1"/>
  <c r="AH62" i="3"/>
  <c r="Z62" i="3"/>
  <c r="Z61" i="10" s="1"/>
  <c r="R62" i="3"/>
  <c r="R61" i="10" s="1"/>
  <c r="J62" i="3"/>
  <c r="J61" i="10" s="1"/>
  <c r="AG62" i="3"/>
  <c r="Y62" i="3"/>
  <c r="Y61" i="10" s="1"/>
  <c r="Q62" i="3"/>
  <c r="Q61" i="10" s="1"/>
  <c r="I62" i="3"/>
  <c r="I61" i="10" s="1"/>
  <c r="H62" i="3"/>
  <c r="H61" i="10" s="1"/>
  <c r="AF62" i="3"/>
  <c r="AE62" i="3"/>
  <c r="AE61" i="10" s="1"/>
  <c r="X62" i="3"/>
  <c r="X61" i="10" s="1"/>
  <c r="W62" i="3"/>
  <c r="W61" i="10" s="1"/>
  <c r="G62" i="3"/>
  <c r="G61" i="10" s="1"/>
  <c r="P62" i="3"/>
  <c r="P61" i="10" s="1"/>
  <c r="O62" i="3"/>
  <c r="O61" i="10" s="1"/>
  <c r="AC41" i="3"/>
  <c r="AC40" i="10" s="1"/>
  <c r="S41" i="3"/>
  <c r="S40" i="10" s="1"/>
  <c r="Y41" i="3"/>
  <c r="S46" i="10"/>
  <c r="AH46" i="10"/>
  <c r="W46" i="10"/>
  <c r="R46" i="10"/>
  <c r="Q45" i="10"/>
  <c r="AG50" i="10"/>
  <c r="Q50" i="10"/>
  <c r="Z45" i="10"/>
  <c r="O45" i="10"/>
  <c r="V45" i="10"/>
  <c r="X29" i="3"/>
  <c r="R29" i="3"/>
  <c r="AE29" i="3"/>
  <c r="N29" i="3"/>
  <c r="AH57" i="3"/>
  <c r="Z57" i="3"/>
  <c r="Z56" i="10" s="1"/>
  <c r="R57" i="3"/>
  <c r="R56" i="10" s="1"/>
  <c r="J57" i="3"/>
  <c r="J56" i="10" s="1"/>
  <c r="AG57" i="3"/>
  <c r="AG56" i="10" s="1"/>
  <c r="Y57" i="3"/>
  <c r="Y56" i="10" s="1"/>
  <c r="Q57" i="3"/>
  <c r="Q56" i="10" s="1"/>
  <c r="I57" i="3"/>
  <c r="I56" i="10" s="1"/>
  <c r="AF57" i="3"/>
  <c r="X57" i="3"/>
  <c r="X56" i="10" s="1"/>
  <c r="P57" i="3"/>
  <c r="P56" i="10" s="1"/>
  <c r="H57" i="3"/>
  <c r="H56" i="10" s="1"/>
  <c r="AE57" i="3"/>
  <c r="AE56" i="10" s="1"/>
  <c r="W57" i="3"/>
  <c r="W56" i="10" s="1"/>
  <c r="O57" i="3"/>
  <c r="O56" i="10" s="1"/>
  <c r="AD57" i="3"/>
  <c r="AD56" i="10" s="1"/>
  <c r="V57" i="3"/>
  <c r="V56" i="10" s="1"/>
  <c r="N57" i="3"/>
  <c r="N56" i="10" s="1"/>
  <c r="AC57" i="3"/>
  <c r="AC56" i="10" s="1"/>
  <c r="U57" i="3"/>
  <c r="U56" i="10" s="1"/>
  <c r="M57" i="3"/>
  <c r="M56" i="10" s="1"/>
  <c r="AA57" i="3"/>
  <c r="AA56" i="10" s="1"/>
  <c r="AB57" i="3"/>
  <c r="AB56" i="10" s="1"/>
  <c r="T57" i="3"/>
  <c r="T56" i="10" s="1"/>
  <c r="S57" i="3"/>
  <c r="L57" i="3"/>
  <c r="L56" i="10" s="1"/>
  <c r="K57" i="3"/>
  <c r="K56" i="10" s="1"/>
  <c r="AI57" i="3"/>
  <c r="AI56" i="10" s="1"/>
  <c r="AD22" i="3"/>
  <c r="AD28" i="3" s="1"/>
  <c r="AD27" i="10" s="1"/>
  <c r="V22" i="3"/>
  <c r="V28" i="3" s="1"/>
  <c r="V27" i="10" s="1"/>
  <c r="N22" i="3"/>
  <c r="N28" i="3" s="1"/>
  <c r="N27" i="10" s="1"/>
  <c r="O22" i="3"/>
  <c r="O28" i="3" s="1"/>
  <c r="O27" i="10" s="1"/>
  <c r="AC22" i="3"/>
  <c r="AC28" i="3" s="1"/>
  <c r="AC27" i="10" s="1"/>
  <c r="U22" i="3"/>
  <c r="U28" i="3" s="1"/>
  <c r="U27" i="10" s="1"/>
  <c r="M22" i="3"/>
  <c r="M28" i="3" s="1"/>
  <c r="M27" i="10" s="1"/>
  <c r="AB22" i="3"/>
  <c r="AB28" i="3" s="1"/>
  <c r="AB27" i="10" s="1"/>
  <c r="T22" i="3"/>
  <c r="T28" i="3" s="1"/>
  <c r="T27" i="10" s="1"/>
  <c r="L22" i="3"/>
  <c r="L28" i="3" s="1"/>
  <c r="L27" i="10" s="1"/>
  <c r="G22" i="3"/>
  <c r="W22" i="3"/>
  <c r="W28" i="3" s="1"/>
  <c r="W27" i="10" s="1"/>
  <c r="AI22" i="3"/>
  <c r="AI28" i="3" s="1"/>
  <c r="AI27" i="10" s="1"/>
  <c r="AA22" i="3"/>
  <c r="AA28" i="3" s="1"/>
  <c r="AA27" i="10" s="1"/>
  <c r="S22" i="3"/>
  <c r="S28" i="3" s="1"/>
  <c r="S27" i="10" s="1"/>
  <c r="K22" i="3"/>
  <c r="K28" i="3" s="1"/>
  <c r="K27" i="10" s="1"/>
  <c r="AH22" i="3"/>
  <c r="AH28" i="3" s="1"/>
  <c r="AH27" i="10" s="1"/>
  <c r="Z22" i="3"/>
  <c r="Z28" i="3" s="1"/>
  <c r="Z27" i="10" s="1"/>
  <c r="R22" i="3"/>
  <c r="R28" i="3" s="1"/>
  <c r="R27" i="10" s="1"/>
  <c r="J22" i="3"/>
  <c r="J28" i="3" s="1"/>
  <c r="J27" i="10" s="1"/>
  <c r="AE22" i="3"/>
  <c r="AE28" i="3" s="1"/>
  <c r="AE27" i="10" s="1"/>
  <c r="AG22" i="3"/>
  <c r="AG28" i="3" s="1"/>
  <c r="AG27" i="10" s="1"/>
  <c r="Y22" i="3"/>
  <c r="Y28" i="3" s="1"/>
  <c r="Y27" i="10" s="1"/>
  <c r="Q22" i="3"/>
  <c r="Q28" i="3" s="1"/>
  <c r="Q27" i="10" s="1"/>
  <c r="I22" i="3"/>
  <c r="I28" i="3" s="1"/>
  <c r="I27" i="10" s="1"/>
  <c r="AF22" i="3"/>
  <c r="AF28" i="3" s="1"/>
  <c r="AF27" i="10" s="1"/>
  <c r="X22" i="3"/>
  <c r="X28" i="3" s="1"/>
  <c r="X27" i="10" s="1"/>
  <c r="P22" i="3"/>
  <c r="P28" i="3" s="1"/>
  <c r="P27" i="10" s="1"/>
  <c r="H22" i="3"/>
  <c r="H28" i="3" s="1"/>
  <c r="H27" i="10" s="1"/>
  <c r="AH23" i="3"/>
  <c r="AH30" i="3" s="1"/>
  <c r="Z23" i="3"/>
  <c r="Z30" i="3" s="1"/>
  <c r="R23" i="3"/>
  <c r="R30" i="3" s="1"/>
  <c r="J23" i="3"/>
  <c r="J30" i="3" s="1"/>
  <c r="AA23" i="3"/>
  <c r="AA30" i="3" s="1"/>
  <c r="AG23" i="3"/>
  <c r="AG30" i="3" s="1"/>
  <c r="Y23" i="3"/>
  <c r="Y30" i="3" s="1"/>
  <c r="Q23" i="3"/>
  <c r="Q30" i="3" s="1"/>
  <c r="I23" i="3"/>
  <c r="I30" i="3" s="1"/>
  <c r="G23" i="3"/>
  <c r="G30" i="3" s="1"/>
  <c r="AI23" i="3"/>
  <c r="AI30" i="3" s="1"/>
  <c r="AF23" i="3"/>
  <c r="AF30" i="3" s="1"/>
  <c r="X23" i="3"/>
  <c r="X30" i="3" s="1"/>
  <c r="P23" i="3"/>
  <c r="P30" i="3" s="1"/>
  <c r="H23" i="3"/>
  <c r="H30" i="3" s="1"/>
  <c r="S23" i="3"/>
  <c r="S30" i="3" s="1"/>
  <c r="AE23" i="3"/>
  <c r="AE30" i="3" s="1"/>
  <c r="W23" i="3"/>
  <c r="W30" i="3" s="1"/>
  <c r="O23" i="3"/>
  <c r="O30" i="3" s="1"/>
  <c r="K23" i="3"/>
  <c r="K30" i="3" s="1"/>
  <c r="AD23" i="3"/>
  <c r="AD30" i="3" s="1"/>
  <c r="V23" i="3"/>
  <c r="V30" i="3" s="1"/>
  <c r="N23" i="3"/>
  <c r="N30" i="3" s="1"/>
  <c r="AC23" i="3"/>
  <c r="AC30" i="3" s="1"/>
  <c r="U23" i="3"/>
  <c r="U30" i="3" s="1"/>
  <c r="M23" i="3"/>
  <c r="M30" i="3" s="1"/>
  <c r="AB23" i="3"/>
  <c r="AB30" i="3" s="1"/>
  <c r="T23" i="3"/>
  <c r="T30" i="3" s="1"/>
  <c r="L23" i="3"/>
  <c r="L30" i="3" s="1"/>
  <c r="AI24" i="10"/>
  <c r="AA24" i="10"/>
  <c r="S24" i="10"/>
  <c r="AH24" i="10"/>
  <c r="Z24" i="10"/>
  <c r="R24" i="10"/>
  <c r="AG24" i="10"/>
  <c r="Y24" i="10"/>
  <c r="AF24" i="10"/>
  <c r="X24" i="10"/>
  <c r="W24" i="10"/>
  <c r="AD24" i="10"/>
  <c r="V24" i="10"/>
  <c r="T24" i="10"/>
  <c r="J24" i="10"/>
  <c r="Q24" i="10"/>
  <c r="I24" i="10"/>
  <c r="P24" i="10"/>
  <c r="H24" i="10"/>
  <c r="G24" i="10"/>
  <c r="K24" i="10"/>
  <c r="O24" i="10"/>
  <c r="N24" i="10"/>
  <c r="AC24" i="10"/>
  <c r="M24" i="10"/>
  <c r="AB24" i="10"/>
  <c r="L24" i="10"/>
  <c r="AH34" i="3"/>
  <c r="Z34" i="3"/>
  <c r="Z33" i="10" s="1"/>
  <c r="R34" i="3"/>
  <c r="R33" i="10" s="1"/>
  <c r="J34" i="3"/>
  <c r="J33" i="10" s="1"/>
  <c r="AG34" i="3"/>
  <c r="Y34" i="3"/>
  <c r="Y33" i="10" s="1"/>
  <c r="Q34" i="3"/>
  <c r="Q33" i="10" s="1"/>
  <c r="I34" i="3"/>
  <c r="I33" i="10" s="1"/>
  <c r="AF34" i="3"/>
  <c r="AF33" i="10" s="1"/>
  <c r="X34" i="3"/>
  <c r="X33" i="10" s="1"/>
  <c r="P34" i="3"/>
  <c r="P33" i="10" s="1"/>
  <c r="H34" i="3"/>
  <c r="H33" i="10" s="1"/>
  <c r="AE34" i="3"/>
  <c r="AE33" i="10" s="1"/>
  <c r="W34" i="3"/>
  <c r="W33" i="10" s="1"/>
  <c r="O34" i="3"/>
  <c r="O33" i="10" s="1"/>
  <c r="AD34" i="3"/>
  <c r="AD33" i="10" s="1"/>
  <c r="V34" i="3"/>
  <c r="V33" i="10" s="1"/>
  <c r="N34" i="3"/>
  <c r="N33" i="10" s="1"/>
  <c r="AC34" i="3"/>
  <c r="AC33" i="10" s="1"/>
  <c r="U34" i="3"/>
  <c r="U33" i="10" s="1"/>
  <c r="M34" i="3"/>
  <c r="M33" i="10" s="1"/>
  <c r="AA34" i="3"/>
  <c r="AA33" i="10" s="1"/>
  <c r="T34" i="3"/>
  <c r="T33" i="10" s="1"/>
  <c r="S34" i="3"/>
  <c r="S33" i="10" s="1"/>
  <c r="AB34" i="3"/>
  <c r="AB33" i="10" s="1"/>
  <c r="L34" i="3"/>
  <c r="L33" i="10" s="1"/>
  <c r="K34" i="3"/>
  <c r="K33" i="10" s="1"/>
  <c r="AI34" i="3"/>
  <c r="G34" i="3"/>
  <c r="G33" i="10" s="1"/>
  <c r="AH63" i="3"/>
  <c r="Z63" i="3"/>
  <c r="Z62" i="10" s="1"/>
  <c r="R63" i="3"/>
  <c r="R62" i="10" s="1"/>
  <c r="J63" i="3"/>
  <c r="J62" i="10" s="1"/>
  <c r="AG63" i="3"/>
  <c r="Y63" i="3"/>
  <c r="Y62" i="10" s="1"/>
  <c r="Q63" i="3"/>
  <c r="Q62" i="10" s="1"/>
  <c r="I63" i="3"/>
  <c r="I62" i="10" s="1"/>
  <c r="AF63" i="3"/>
  <c r="X63" i="3"/>
  <c r="X62" i="10" s="1"/>
  <c r="P63" i="3"/>
  <c r="P62" i="10" s="1"/>
  <c r="H63" i="3"/>
  <c r="H62" i="10" s="1"/>
  <c r="AE63" i="3"/>
  <c r="AE62" i="10" s="1"/>
  <c r="W63" i="3"/>
  <c r="W62" i="10" s="1"/>
  <c r="O63" i="3"/>
  <c r="O62" i="10" s="1"/>
  <c r="AD63" i="3"/>
  <c r="AD62" i="10" s="1"/>
  <c r="V63" i="3"/>
  <c r="V62" i="10" s="1"/>
  <c r="N63" i="3"/>
  <c r="N62" i="10" s="1"/>
  <c r="AC63" i="3"/>
  <c r="AC62" i="10" s="1"/>
  <c r="U63" i="3"/>
  <c r="U62" i="10" s="1"/>
  <c r="M63" i="3"/>
  <c r="M62" i="10" s="1"/>
  <c r="K63" i="3"/>
  <c r="K62" i="10" s="1"/>
  <c r="L63" i="3"/>
  <c r="L62" i="10" s="1"/>
  <c r="AI63" i="3"/>
  <c r="AB63" i="3"/>
  <c r="AB62" i="10" s="1"/>
  <c r="G63" i="3"/>
  <c r="G62" i="10" s="1"/>
  <c r="AA63" i="3"/>
  <c r="AA62" i="10" s="1"/>
  <c r="T63" i="3"/>
  <c r="T62" i="10" s="1"/>
  <c r="S63" i="3"/>
  <c r="S62" i="10" s="1"/>
  <c r="AI41" i="3"/>
  <c r="AI40" i="10" s="1"/>
  <c r="I41" i="3"/>
  <c r="I40" i="10" s="1"/>
  <c r="J41" i="3"/>
  <c r="J40" i="10" s="1"/>
  <c r="Y46" i="10"/>
  <c r="T46" i="10"/>
  <c r="L46" i="10"/>
  <c r="AC46" i="10"/>
  <c r="X46" i="10"/>
  <c r="W45" i="10"/>
  <c r="L45" i="10"/>
  <c r="AH50" i="10"/>
  <c r="W50" i="10"/>
  <c r="AF45" i="10"/>
  <c r="U45" i="10"/>
  <c r="AB45" i="10"/>
  <c r="AF29" i="3"/>
  <c r="Z29" i="3"/>
  <c r="L29" i="3"/>
  <c r="V29" i="3"/>
  <c r="AD56" i="3"/>
  <c r="AD55" i="10" s="1"/>
  <c r="V56" i="3"/>
  <c r="V55" i="10" s="1"/>
  <c r="N56" i="3"/>
  <c r="N55" i="10" s="1"/>
  <c r="AC56" i="3"/>
  <c r="AC55" i="10" s="1"/>
  <c r="U56" i="3"/>
  <c r="U55" i="10" s="1"/>
  <c r="M56" i="3"/>
  <c r="M55" i="10" s="1"/>
  <c r="AB56" i="3"/>
  <c r="AB55" i="10" s="1"/>
  <c r="T56" i="3"/>
  <c r="T55" i="10" s="1"/>
  <c r="L56" i="3"/>
  <c r="L55" i="10" s="1"/>
  <c r="AI56" i="3"/>
  <c r="AA56" i="3"/>
  <c r="AA55" i="10" s="1"/>
  <c r="S56" i="3"/>
  <c r="S55" i="10" s="1"/>
  <c r="K56" i="3"/>
  <c r="K55" i="10" s="1"/>
  <c r="AH56" i="3"/>
  <c r="Z56" i="3"/>
  <c r="Z55" i="10" s="1"/>
  <c r="R56" i="3"/>
  <c r="R55" i="10" s="1"/>
  <c r="J56" i="3"/>
  <c r="J55" i="10" s="1"/>
  <c r="AG56" i="3"/>
  <c r="Y56" i="3"/>
  <c r="Y55" i="10" s="1"/>
  <c r="Q56" i="3"/>
  <c r="Q55" i="10" s="1"/>
  <c r="I56" i="3"/>
  <c r="I55" i="10" s="1"/>
  <c r="W56" i="3"/>
  <c r="W55" i="10" s="1"/>
  <c r="P56" i="3"/>
  <c r="P55" i="10" s="1"/>
  <c r="O56" i="3"/>
  <c r="O55" i="10" s="1"/>
  <c r="X56" i="3"/>
  <c r="X55" i="10" s="1"/>
  <c r="G56" i="3"/>
  <c r="G55" i="10" s="1"/>
  <c r="H56" i="3"/>
  <c r="H55" i="10" s="1"/>
  <c r="AF56" i="3"/>
  <c r="AE56" i="3"/>
  <c r="AE55" i="10" s="1"/>
  <c r="AD24" i="3"/>
  <c r="AD23" i="10" s="1"/>
  <c r="V24" i="3"/>
  <c r="V23" i="10" s="1"/>
  <c r="N24" i="3"/>
  <c r="N23" i="10" s="1"/>
  <c r="G24" i="3"/>
  <c r="G23" i="10" s="1"/>
  <c r="W24" i="3"/>
  <c r="W23" i="10" s="1"/>
  <c r="AC24" i="3"/>
  <c r="AC23" i="10" s="1"/>
  <c r="U24" i="3"/>
  <c r="U23" i="10" s="1"/>
  <c r="M24" i="3"/>
  <c r="M23" i="10" s="1"/>
  <c r="AB24" i="3"/>
  <c r="AB23" i="10" s="1"/>
  <c r="T24" i="3"/>
  <c r="T23" i="10" s="1"/>
  <c r="L24" i="3"/>
  <c r="L23" i="10" s="1"/>
  <c r="O24" i="3"/>
  <c r="O23" i="10" s="1"/>
  <c r="AI24" i="3"/>
  <c r="AA24" i="3"/>
  <c r="AA23" i="10" s="1"/>
  <c r="S24" i="3"/>
  <c r="S23" i="10" s="1"/>
  <c r="K24" i="3"/>
  <c r="K23" i="10" s="1"/>
  <c r="AH24" i="3"/>
  <c r="Z24" i="3"/>
  <c r="Z23" i="10" s="1"/>
  <c r="R24" i="3"/>
  <c r="R23" i="10" s="1"/>
  <c r="J24" i="3"/>
  <c r="J23" i="10" s="1"/>
  <c r="AG24" i="3"/>
  <c r="Y24" i="3"/>
  <c r="Y23" i="10" s="1"/>
  <c r="Q24" i="3"/>
  <c r="Q23" i="10" s="1"/>
  <c r="I24" i="3"/>
  <c r="I23" i="10" s="1"/>
  <c r="AF24" i="3"/>
  <c r="X24" i="3"/>
  <c r="X23" i="10" s="1"/>
  <c r="P24" i="3"/>
  <c r="P23" i="10" s="1"/>
  <c r="H24" i="3"/>
  <c r="H23" i="10" s="1"/>
  <c r="AE24" i="3"/>
  <c r="AE23" i="10" s="1"/>
  <c r="AD35" i="3"/>
  <c r="AD34" i="10" s="1"/>
  <c r="V35" i="3"/>
  <c r="V34" i="10" s="1"/>
  <c r="N35" i="3"/>
  <c r="N34" i="10" s="1"/>
  <c r="AC35" i="3"/>
  <c r="AC34" i="10" s="1"/>
  <c r="U35" i="3"/>
  <c r="U34" i="10" s="1"/>
  <c r="M35" i="3"/>
  <c r="M34" i="10" s="1"/>
  <c r="AB35" i="3"/>
  <c r="AB34" i="10" s="1"/>
  <c r="T35" i="3"/>
  <c r="T34" i="10" s="1"/>
  <c r="L35" i="3"/>
  <c r="L34" i="10" s="1"/>
  <c r="AI35" i="3"/>
  <c r="AA35" i="3"/>
  <c r="AA34" i="10" s="1"/>
  <c r="S35" i="3"/>
  <c r="S34" i="10" s="1"/>
  <c r="K35" i="3"/>
  <c r="K34" i="10" s="1"/>
  <c r="AH35" i="3"/>
  <c r="Z35" i="3"/>
  <c r="Z34" i="10" s="1"/>
  <c r="R35" i="3"/>
  <c r="R34" i="10" s="1"/>
  <c r="J35" i="3"/>
  <c r="J34" i="10" s="1"/>
  <c r="AG35" i="3"/>
  <c r="Y35" i="3"/>
  <c r="Y34" i="10" s="1"/>
  <c r="Q35" i="3"/>
  <c r="Q34" i="10" s="1"/>
  <c r="I35" i="3"/>
  <c r="I34" i="10" s="1"/>
  <c r="AE35" i="3"/>
  <c r="AE34" i="10" s="1"/>
  <c r="AF35" i="3"/>
  <c r="X35" i="3"/>
  <c r="X34" i="10" s="1"/>
  <c r="W35" i="3"/>
  <c r="W34" i="10" s="1"/>
  <c r="P35" i="3"/>
  <c r="P34" i="10" s="1"/>
  <c r="O35" i="3"/>
  <c r="O34" i="10" s="1"/>
  <c r="H35" i="3"/>
  <c r="H34" i="10" s="1"/>
  <c r="G35" i="3"/>
  <c r="G34" i="10" s="1"/>
  <c r="AD54" i="3"/>
  <c r="AD53" i="10" s="1"/>
  <c r="V54" i="3"/>
  <c r="V53" i="10" s="1"/>
  <c r="N54" i="3"/>
  <c r="N53" i="10" s="1"/>
  <c r="AC54" i="3"/>
  <c r="AC53" i="10" s="1"/>
  <c r="U54" i="3"/>
  <c r="U53" i="10" s="1"/>
  <c r="M54" i="3"/>
  <c r="M53" i="10" s="1"/>
  <c r="AB54" i="3"/>
  <c r="AB53" i="10" s="1"/>
  <c r="T54" i="3"/>
  <c r="T53" i="10" s="1"/>
  <c r="L54" i="3"/>
  <c r="L53" i="10" s="1"/>
  <c r="AI54" i="3"/>
  <c r="AA54" i="3"/>
  <c r="AA53" i="10" s="1"/>
  <c r="S54" i="3"/>
  <c r="S53" i="10" s="1"/>
  <c r="K54" i="3"/>
  <c r="K53" i="10" s="1"/>
  <c r="AH54" i="3"/>
  <c r="Z54" i="3"/>
  <c r="Z53" i="10" s="1"/>
  <c r="R54" i="3"/>
  <c r="R53" i="10" s="1"/>
  <c r="J54" i="3"/>
  <c r="J53" i="10" s="1"/>
  <c r="AG54" i="3"/>
  <c r="Y54" i="3"/>
  <c r="Y53" i="10" s="1"/>
  <c r="Q54" i="3"/>
  <c r="Q53" i="10" s="1"/>
  <c r="I54" i="3"/>
  <c r="I53" i="10" s="1"/>
  <c r="O54" i="3"/>
  <c r="O53" i="10" s="1"/>
  <c r="H54" i="3"/>
  <c r="H53" i="10" s="1"/>
  <c r="G54" i="3"/>
  <c r="G53" i="10" s="1"/>
  <c r="P54" i="3"/>
  <c r="P53" i="10" s="1"/>
  <c r="AF54" i="3"/>
  <c r="AE54" i="3"/>
  <c r="AE53" i="10" s="1"/>
  <c r="X54" i="3"/>
  <c r="X53" i="10" s="1"/>
  <c r="W54" i="3"/>
  <c r="W53" i="10" s="1"/>
  <c r="W67" i="3"/>
  <c r="Q67" i="3"/>
  <c r="K67" i="3"/>
  <c r="AI67" i="3"/>
  <c r="AC67" i="3"/>
  <c r="O67" i="3"/>
  <c r="S67" i="3"/>
  <c r="AB67" i="3"/>
  <c r="Y67" i="3"/>
  <c r="AA67" i="3"/>
  <c r="N67" i="3"/>
  <c r="AH67" i="3"/>
  <c r="AE67" i="3"/>
  <c r="AG67" i="3"/>
  <c r="L67" i="3"/>
  <c r="AD67" i="3"/>
  <c r="R67" i="3"/>
  <c r="T67" i="3"/>
  <c r="Z67" i="3"/>
  <c r="AF67" i="3"/>
  <c r="M67" i="3"/>
  <c r="H67" i="3"/>
  <c r="X67" i="3"/>
  <c r="J67" i="3"/>
  <c r="U67" i="3"/>
  <c r="P67" i="3"/>
  <c r="V67" i="3"/>
  <c r="I67" i="3"/>
  <c r="R41" i="3"/>
  <c r="R40" i="10" s="1"/>
  <c r="H41" i="3"/>
  <c r="H40" i="10" s="1"/>
  <c r="O41" i="3"/>
  <c r="O40" i="10" s="1"/>
  <c r="AE46" i="10"/>
  <c r="Z46" i="10"/>
  <c r="I46" i="10"/>
  <c r="AC45" i="10"/>
  <c r="R45" i="10"/>
  <c r="T50" i="10"/>
  <c r="AC50" i="10"/>
  <c r="AA45" i="10"/>
  <c r="I29" i="3"/>
  <c r="AH29" i="3"/>
  <c r="T29" i="3"/>
  <c r="AD29" i="3"/>
  <c r="AH49" i="3"/>
  <c r="AH48" i="10" s="1"/>
  <c r="V49" i="3"/>
  <c r="V48" i="10" s="1"/>
  <c r="P49" i="3"/>
  <c r="P48" i="10" s="1"/>
  <c r="AF48" i="3"/>
  <c r="AF47" i="10" s="1"/>
  <c r="T48" i="3"/>
  <c r="T47" i="10" s="1"/>
  <c r="H48" i="3"/>
  <c r="H47" i="10" s="1"/>
  <c r="AG49" i="3"/>
  <c r="AA49" i="3"/>
  <c r="AA48" i="10" s="1"/>
  <c r="U49" i="3"/>
  <c r="U48" i="10" s="1"/>
  <c r="O49" i="3"/>
  <c r="O48" i="10" s="1"/>
  <c r="I49" i="3"/>
  <c r="I48" i="10" s="1"/>
  <c r="AE48" i="3"/>
  <c r="AE47" i="10" s="1"/>
  <c r="Y48" i="3"/>
  <c r="Y47" i="10" s="1"/>
  <c r="S48" i="3"/>
  <c r="S47" i="10" s="1"/>
  <c r="M48" i="3"/>
  <c r="M47" i="10" s="1"/>
  <c r="AF49" i="3"/>
  <c r="AF48" i="10" s="1"/>
  <c r="Z49" i="3"/>
  <c r="Z48" i="10" s="1"/>
  <c r="T49" i="3"/>
  <c r="T48" i="10" s="1"/>
  <c r="N49" i="3"/>
  <c r="N48" i="10" s="1"/>
  <c r="H49" i="3"/>
  <c r="AD48" i="3"/>
  <c r="AD47" i="10" s="1"/>
  <c r="X48" i="3"/>
  <c r="X47" i="10" s="1"/>
  <c r="R48" i="3"/>
  <c r="R47" i="10" s="1"/>
  <c r="L48" i="3"/>
  <c r="L47" i="10" s="1"/>
  <c r="AE49" i="3"/>
  <c r="AE48" i="10" s="1"/>
  <c r="Y49" i="3"/>
  <c r="Y48" i="10" s="1"/>
  <c r="S49" i="3"/>
  <c r="S48" i="10" s="1"/>
  <c r="M49" i="3"/>
  <c r="M48" i="10" s="1"/>
  <c r="AI48" i="3"/>
  <c r="AI47" i="10" s="1"/>
  <c r="AC48" i="3"/>
  <c r="AC47" i="10" s="1"/>
  <c r="W48" i="3"/>
  <c r="W47" i="10" s="1"/>
  <c r="Q48" i="3"/>
  <c r="Q47" i="10" s="1"/>
  <c r="K48" i="3"/>
  <c r="K47" i="10" s="1"/>
  <c r="AD49" i="3"/>
  <c r="AD48" i="10" s="1"/>
  <c r="X49" i="3"/>
  <c r="X48" i="10" s="1"/>
  <c r="R49" i="3"/>
  <c r="R48" i="10" s="1"/>
  <c r="L49" i="3"/>
  <c r="L48" i="10" s="1"/>
  <c r="AH48" i="3"/>
  <c r="AH47" i="10" s="1"/>
  <c r="AB48" i="3"/>
  <c r="AB47" i="10" s="1"/>
  <c r="V48" i="3"/>
  <c r="V47" i="10" s="1"/>
  <c r="P48" i="3"/>
  <c r="P47" i="10" s="1"/>
  <c r="J48" i="3"/>
  <c r="J47" i="10" s="1"/>
  <c r="AI49" i="3"/>
  <c r="AI48" i="10" s="1"/>
  <c r="AC49" i="3"/>
  <c r="AC48" i="10" s="1"/>
  <c r="W49" i="3"/>
  <c r="W48" i="10" s="1"/>
  <c r="Q49" i="3"/>
  <c r="Q48" i="10" s="1"/>
  <c r="K49" i="3"/>
  <c r="K48" i="10" s="1"/>
  <c r="AG48" i="3"/>
  <c r="AG47" i="10" s="1"/>
  <c r="AA48" i="3"/>
  <c r="AA47" i="10" s="1"/>
  <c r="U48" i="3"/>
  <c r="U47" i="10" s="1"/>
  <c r="O48" i="3"/>
  <c r="O47" i="10" s="1"/>
  <c r="I48" i="3"/>
  <c r="I47" i="10" s="1"/>
  <c r="AB49" i="3"/>
  <c r="AB48" i="10" s="1"/>
  <c r="J49" i="3"/>
  <c r="J48" i="10" s="1"/>
  <c r="Z48" i="3"/>
  <c r="Z47" i="10" s="1"/>
  <c r="N48" i="3"/>
  <c r="N47" i="10" s="1"/>
  <c r="AB46" i="10"/>
  <c r="T45" i="10"/>
  <c r="S45" i="10"/>
  <c r="AB50" i="10"/>
  <c r="AD46" i="10"/>
  <c r="AF46" i="10"/>
  <c r="M46" i="10"/>
  <c r="AI46" i="10"/>
  <c r="O46" i="10"/>
  <c r="AG48" i="10"/>
  <c r="G49" i="3"/>
  <c r="G48" i="10" s="1"/>
  <c r="G48" i="3"/>
  <c r="AJ50" i="3"/>
  <c r="G49" i="10"/>
  <c r="AJ49" i="10" s="1"/>
  <c r="AI67" i="10"/>
  <c r="K67" i="10"/>
  <c r="G69" i="3"/>
  <c r="G67" i="10" s="1"/>
  <c r="N67" i="10"/>
  <c r="Y67" i="10"/>
  <c r="AC67" i="10"/>
  <c r="X67" i="10"/>
  <c r="U70" i="10"/>
  <c r="K70" i="10"/>
  <c r="I70" i="10"/>
  <c r="G72" i="3"/>
  <c r="G70" i="10" s="1"/>
  <c r="V20" i="10"/>
  <c r="I20" i="10"/>
  <c r="Y69" i="10"/>
  <c r="M69" i="10"/>
  <c r="AB57" i="10"/>
  <c r="AD60" i="10"/>
  <c r="T35" i="10"/>
  <c r="Z35" i="10"/>
  <c r="Q37" i="10"/>
  <c r="AA37" i="10"/>
  <c r="O37" i="10"/>
  <c r="N37" i="10"/>
  <c r="Y37" i="10"/>
  <c r="W37" i="10"/>
  <c r="N38" i="10"/>
  <c r="P38" i="10"/>
  <c r="X38" i="10"/>
  <c r="AB38" i="10"/>
  <c r="U38" i="10"/>
  <c r="AC38" i="10"/>
  <c r="Y68" i="10"/>
  <c r="J54" i="10"/>
  <c r="H54" i="10"/>
  <c r="G67" i="3"/>
  <c r="K46" i="10"/>
  <c r="H46" i="10"/>
  <c r="G46" i="10"/>
  <c r="G68" i="3"/>
  <c r="AI73" i="10"/>
  <c r="AI72" i="10" s="1"/>
  <c r="AI71" i="10" s="1"/>
  <c r="AI161" i="10" s="1"/>
  <c r="W73" i="10"/>
  <c r="W72" i="10" s="1"/>
  <c r="W71" i="10" s="1"/>
  <c r="W161" i="10" s="1"/>
  <c r="K73" i="10"/>
  <c r="K72" i="10" s="1"/>
  <c r="K71" i="10" s="1"/>
  <c r="K161" i="10" s="1"/>
  <c r="L73" i="10"/>
  <c r="L72" i="10" s="1"/>
  <c r="L71" i="10" s="1"/>
  <c r="L161" i="10" s="1"/>
  <c r="AH73" i="10"/>
  <c r="AH72" i="10" s="1"/>
  <c r="AH71" i="10" s="1"/>
  <c r="AH161" i="10" s="1"/>
  <c r="V73" i="10"/>
  <c r="V72" i="10" s="1"/>
  <c r="V71" i="10" s="1"/>
  <c r="V161" i="10" s="1"/>
  <c r="J73" i="10"/>
  <c r="J72" i="10" s="1"/>
  <c r="J71" i="10" s="1"/>
  <c r="J161" i="10" s="1"/>
  <c r="AE73" i="10"/>
  <c r="AE72" i="10" s="1"/>
  <c r="AE71" i="10" s="1"/>
  <c r="AE161" i="10" s="1"/>
  <c r="G75" i="3"/>
  <c r="G73" i="10" s="1"/>
  <c r="AC73" i="10"/>
  <c r="AC72" i="10" s="1"/>
  <c r="AC71" i="10" s="1"/>
  <c r="AC161" i="10" s="1"/>
  <c r="U73" i="10"/>
  <c r="U72" i="10" s="1"/>
  <c r="U71" i="10" s="1"/>
  <c r="U161" i="10" s="1"/>
  <c r="I73" i="10"/>
  <c r="I72" i="10" s="1"/>
  <c r="I71" i="10" s="1"/>
  <c r="I161" i="10" s="1"/>
  <c r="AF73" i="10"/>
  <c r="AF72" i="10" s="1"/>
  <c r="AF71" i="10" s="1"/>
  <c r="AF161" i="10" s="1"/>
  <c r="T73" i="10"/>
  <c r="T72" i="10" s="1"/>
  <c r="T71" i="10" s="1"/>
  <c r="T161" i="10" s="1"/>
  <c r="H73" i="10"/>
  <c r="H72" i="10" s="1"/>
  <c r="H71" i="10" s="1"/>
  <c r="H161" i="10" s="1"/>
  <c r="S73" i="10"/>
  <c r="S72" i="10" s="1"/>
  <c r="S71" i="10" s="1"/>
  <c r="S161" i="10" s="1"/>
  <c r="AD73" i="10"/>
  <c r="AD72" i="10" s="1"/>
  <c r="AD71" i="10" s="1"/>
  <c r="AD161" i="10" s="1"/>
  <c r="R73" i="10"/>
  <c r="R72" i="10" s="1"/>
  <c r="R71" i="10" s="1"/>
  <c r="R161" i="10" s="1"/>
  <c r="Q73" i="10"/>
  <c r="Q72" i="10" s="1"/>
  <c r="Q71" i="10" s="1"/>
  <c r="Q161" i="10" s="1"/>
  <c r="AB73" i="10"/>
  <c r="AB72" i="10" s="1"/>
  <c r="AB71" i="10" s="1"/>
  <c r="AB161" i="10" s="1"/>
  <c r="P73" i="10"/>
  <c r="P72" i="10" s="1"/>
  <c r="P71" i="10" s="1"/>
  <c r="P161" i="10" s="1"/>
  <c r="AA73" i="10"/>
  <c r="AA72" i="10" s="1"/>
  <c r="AA71" i="10" s="1"/>
  <c r="AA161" i="10" s="1"/>
  <c r="O73" i="10"/>
  <c r="O72" i="10" s="1"/>
  <c r="O71" i="10" s="1"/>
  <c r="O161" i="10" s="1"/>
  <c r="Z73" i="10"/>
  <c r="Z72" i="10" s="1"/>
  <c r="Z71" i="10" s="1"/>
  <c r="Z161" i="10" s="1"/>
  <c r="N73" i="10"/>
  <c r="N72" i="10" s="1"/>
  <c r="N71" i="10" s="1"/>
  <c r="N161" i="10" s="1"/>
  <c r="Y73" i="10"/>
  <c r="Y72" i="10" s="1"/>
  <c r="Y71" i="10" s="1"/>
  <c r="Y161" i="10" s="1"/>
  <c r="M73" i="10"/>
  <c r="M72" i="10" s="1"/>
  <c r="M71" i="10" s="1"/>
  <c r="M161" i="10" s="1"/>
  <c r="X73" i="10"/>
  <c r="X72" i="10" s="1"/>
  <c r="X71" i="10" s="1"/>
  <c r="X161" i="10" s="1"/>
  <c r="T76" i="10"/>
  <c r="T75" i="10" s="1"/>
  <c r="T74" i="10" s="1"/>
  <c r="T170" i="10" s="1"/>
  <c r="AE76" i="10"/>
  <c r="AE75" i="10" s="1"/>
  <c r="AE74" i="10" s="1"/>
  <c r="AE170" i="10" s="1"/>
  <c r="S76" i="10"/>
  <c r="S75" i="10" s="1"/>
  <c r="S74" i="10" s="1"/>
  <c r="S170" i="10" s="1"/>
  <c r="AA76" i="10"/>
  <c r="AA75" i="10" s="1"/>
  <c r="AA74" i="10" s="1"/>
  <c r="AA170" i="10" s="1"/>
  <c r="G78" i="3"/>
  <c r="G76" i="10" s="1"/>
  <c r="AD76" i="10"/>
  <c r="AD75" i="10" s="1"/>
  <c r="AD74" i="10" s="1"/>
  <c r="AD170" i="10" s="1"/>
  <c r="R76" i="10"/>
  <c r="R75" i="10" s="1"/>
  <c r="R74" i="10" s="1"/>
  <c r="R170" i="10" s="1"/>
  <c r="P76" i="10"/>
  <c r="P75" i="10" s="1"/>
  <c r="P74" i="10" s="1"/>
  <c r="P170" i="10" s="1"/>
  <c r="Z76" i="10"/>
  <c r="Z75" i="10" s="1"/>
  <c r="Z74" i="10" s="1"/>
  <c r="Z170" i="10" s="1"/>
  <c r="Y76" i="10"/>
  <c r="Y75" i="10" s="1"/>
  <c r="Y74" i="10" s="1"/>
  <c r="Y170" i="10" s="1"/>
  <c r="U76" i="10"/>
  <c r="U75" i="10" s="1"/>
  <c r="U74" i="10" s="1"/>
  <c r="U170" i="10" s="1"/>
  <c r="AC76" i="10"/>
  <c r="AC75" i="10" s="1"/>
  <c r="AC74" i="10" s="1"/>
  <c r="AC170" i="10" s="1"/>
  <c r="Q76" i="10"/>
  <c r="Q75" i="10" s="1"/>
  <c r="Q74" i="10" s="1"/>
  <c r="Q170" i="10" s="1"/>
  <c r="AB76" i="10"/>
  <c r="AB75" i="10" s="1"/>
  <c r="AB74" i="10" s="1"/>
  <c r="AB170" i="10" s="1"/>
  <c r="O76" i="10"/>
  <c r="O75" i="10" s="1"/>
  <c r="O74" i="10" s="1"/>
  <c r="O170" i="10" s="1"/>
  <c r="N76" i="10"/>
  <c r="N75" i="10" s="1"/>
  <c r="N74" i="10" s="1"/>
  <c r="N170" i="10" s="1"/>
  <c r="M76" i="10"/>
  <c r="M75" i="10" s="1"/>
  <c r="M74" i="10" s="1"/>
  <c r="M170" i="10" s="1"/>
  <c r="AF76" i="10"/>
  <c r="AF75" i="10" s="1"/>
  <c r="AF74" i="10" s="1"/>
  <c r="AF170" i="10" s="1"/>
  <c r="H76" i="10"/>
  <c r="H75" i="10" s="1"/>
  <c r="H74" i="10" s="1"/>
  <c r="H170" i="10" s="1"/>
  <c r="X76" i="10"/>
  <c r="X75" i="10" s="1"/>
  <c r="X74" i="10" s="1"/>
  <c r="X170" i="10" s="1"/>
  <c r="L76" i="10"/>
  <c r="L75" i="10" s="1"/>
  <c r="L74" i="10" s="1"/>
  <c r="L170" i="10" s="1"/>
  <c r="AI76" i="10"/>
  <c r="AI75" i="10" s="1"/>
  <c r="AI74" i="10" s="1"/>
  <c r="AI170" i="10" s="1"/>
  <c r="W76" i="10"/>
  <c r="W75" i="10" s="1"/>
  <c r="W74" i="10" s="1"/>
  <c r="W170" i="10" s="1"/>
  <c r="K76" i="10"/>
  <c r="K75" i="10" s="1"/>
  <c r="K74" i="10" s="1"/>
  <c r="K170" i="10" s="1"/>
  <c r="AH76" i="10"/>
  <c r="AH75" i="10" s="1"/>
  <c r="AH74" i="10" s="1"/>
  <c r="AH170" i="10" s="1"/>
  <c r="V76" i="10"/>
  <c r="V75" i="10" s="1"/>
  <c r="V74" i="10" s="1"/>
  <c r="V170" i="10" s="1"/>
  <c r="J76" i="10"/>
  <c r="J75" i="10" s="1"/>
  <c r="J74" i="10" s="1"/>
  <c r="J170" i="10" s="1"/>
  <c r="AG76" i="10"/>
  <c r="AG75" i="10" s="1"/>
  <c r="AG74" i="10" s="1"/>
  <c r="AG170" i="10" s="1"/>
  <c r="I76" i="10"/>
  <c r="I75" i="10" s="1"/>
  <c r="I74" i="10" s="1"/>
  <c r="I170" i="10" s="1"/>
  <c r="S56" i="10"/>
  <c r="G57" i="3"/>
  <c r="G56" i="10" s="1"/>
  <c r="AF56" i="10"/>
  <c r="AH56" i="10"/>
  <c r="P40" i="10"/>
  <c r="AA40" i="10"/>
  <c r="Z40" i="10"/>
  <c r="N40" i="10"/>
  <c r="Y40" i="10"/>
  <c r="AH40" i="10"/>
  <c r="AG40" i="10"/>
  <c r="T40" i="10"/>
  <c r="AE40" i="10"/>
  <c r="G41" i="3"/>
  <c r="G40" i="10" s="1"/>
  <c r="AB40" i="10"/>
  <c r="U20" i="10"/>
  <c r="J45" i="10"/>
  <c r="H45" i="10"/>
  <c r="G45" i="10"/>
  <c r="P45" i="10"/>
  <c r="AI45" i="10"/>
  <c r="F26" i="10"/>
  <c r="AG46" i="10"/>
  <c r="G29" i="3"/>
  <c r="L50" i="10"/>
  <c r="G50" i="10"/>
  <c r="AF50" i="10"/>
  <c r="H50" i="10"/>
  <c r="AD50" i="10"/>
  <c r="M50" i="10"/>
  <c r="AE24" i="10"/>
  <c r="U24" i="10"/>
  <c r="V46" i="10"/>
  <c r="N45" i="10"/>
  <c r="G19" i="10"/>
  <c r="U19" i="10"/>
  <c r="Z19" i="10"/>
  <c r="L19" i="10"/>
  <c r="P19" i="10"/>
  <c r="T19" i="10"/>
  <c r="O19" i="10"/>
  <c r="K19" i="10"/>
  <c r="AD19" i="10"/>
  <c r="AC19" i="10"/>
  <c r="Y19" i="10"/>
  <c r="V19" i="10"/>
  <c r="W19" i="10"/>
  <c r="Q19" i="10"/>
  <c r="AB19" i="10"/>
  <c r="M19" i="10"/>
  <c r="AA19" i="10"/>
  <c r="R19" i="10"/>
  <c r="X19" i="10"/>
  <c r="I19" i="10"/>
  <c r="J19" i="10"/>
  <c r="N19" i="10"/>
  <c r="S19" i="10"/>
  <c r="H19" i="10"/>
  <c r="AE50" i="10"/>
  <c r="AH45" i="10"/>
  <c r="T70" i="10"/>
  <c r="AC42" i="10"/>
  <c r="Q42" i="10"/>
  <c r="G42" i="10"/>
  <c r="AB42" i="10"/>
  <c r="P42" i="10"/>
  <c r="AA42" i="10"/>
  <c r="O42" i="10"/>
  <c r="Z42" i="10"/>
  <c r="N42" i="10"/>
  <c r="Y42" i="10"/>
  <c r="M42" i="10"/>
  <c r="L42" i="10"/>
  <c r="K42" i="10"/>
  <c r="X42" i="10"/>
  <c r="AI42" i="10"/>
  <c r="W42" i="10"/>
  <c r="J42" i="10"/>
  <c r="AH42" i="10"/>
  <c r="V42" i="10"/>
  <c r="AG42" i="10"/>
  <c r="U42" i="10"/>
  <c r="I42" i="10"/>
  <c r="AF42" i="10"/>
  <c r="T42" i="10"/>
  <c r="AE42" i="10"/>
  <c r="S42" i="10"/>
  <c r="H42" i="10"/>
  <c r="AD42" i="10"/>
  <c r="R42" i="10"/>
  <c r="AB41" i="10"/>
  <c r="P41" i="10"/>
  <c r="AA41" i="10"/>
  <c r="O41" i="10"/>
  <c r="Z41" i="10"/>
  <c r="N41" i="10"/>
  <c r="K41" i="10"/>
  <c r="Y41" i="10"/>
  <c r="M41" i="10"/>
  <c r="X41" i="10"/>
  <c r="J41" i="10"/>
  <c r="AI41" i="10"/>
  <c r="W41" i="10"/>
  <c r="L41" i="10"/>
  <c r="AH41" i="10"/>
  <c r="V41" i="10"/>
  <c r="I41" i="10"/>
  <c r="AG41" i="10"/>
  <c r="U41" i="10"/>
  <c r="AF41" i="10"/>
  <c r="T41" i="10"/>
  <c r="H41" i="10"/>
  <c r="AE41" i="10"/>
  <c r="S41" i="10"/>
  <c r="AD41" i="10"/>
  <c r="R41" i="10"/>
  <c r="G41" i="10"/>
  <c r="AC41" i="10"/>
  <c r="Q41" i="10"/>
  <c r="F29" i="3"/>
  <c r="F28" i="10" s="1"/>
  <c r="R67" i="10"/>
  <c r="F30" i="3"/>
  <c r="F29" i="10" s="1"/>
  <c r="AG73" i="10"/>
  <c r="AG72" i="10" s="1"/>
  <c r="AG71" i="10" s="1"/>
  <c r="AG161" i="10" s="1"/>
  <c r="G21" i="10" l="1"/>
  <c r="G28" i="3"/>
  <c r="G22" i="10"/>
  <c r="AF38" i="10"/>
  <c r="AF57" i="10"/>
  <c r="AG69" i="10"/>
  <c r="AF35" i="10"/>
  <c r="AF23" i="10"/>
  <c r="AE19" i="10"/>
  <c r="AF34" i="10"/>
  <c r="AG68" i="10"/>
  <c r="AF62" i="10"/>
  <c r="AF61" i="10"/>
  <c r="AF20" i="10"/>
  <c r="AF37" i="10"/>
  <c r="AF60" i="10"/>
  <c r="AF54" i="10"/>
  <c r="AF53" i="10"/>
  <c r="G47" i="10"/>
  <c r="AJ47" i="10" s="1"/>
  <c r="AJ48" i="3"/>
  <c r="AJ49" i="3"/>
  <c r="H48" i="10"/>
  <c r="AJ48" i="10" s="1"/>
  <c r="AF32" i="10"/>
  <c r="AF55" i="10"/>
  <c r="J44" i="10"/>
  <c r="J43" i="10" s="1"/>
  <c r="J125" i="10" s="1"/>
  <c r="J129" i="10" s="1"/>
  <c r="AA22" i="10"/>
  <c r="AE21" i="10"/>
  <c r="L22" i="10"/>
  <c r="J21" i="10"/>
  <c r="Z21" i="10"/>
  <c r="T22" i="10"/>
  <c r="Y21" i="10"/>
  <c r="M22" i="10"/>
  <c r="I21" i="10"/>
  <c r="U22" i="10"/>
  <c r="N21" i="10"/>
  <c r="AB22" i="10"/>
  <c r="S21" i="10"/>
  <c r="P21" i="10"/>
  <c r="Q22" i="10"/>
  <c r="J36" i="10"/>
  <c r="J108" i="10" s="1"/>
  <c r="J112" i="10" s="1"/>
  <c r="T21" i="10"/>
  <c r="X21" i="10"/>
  <c r="W36" i="10"/>
  <c r="W108" i="10" s="1"/>
  <c r="W112" i="10" s="1"/>
  <c r="S22" i="10"/>
  <c r="K22" i="10"/>
  <c r="R21" i="10"/>
  <c r="R36" i="10"/>
  <c r="R108" i="10" s="1"/>
  <c r="R110" i="10" s="1"/>
  <c r="Z22" i="10"/>
  <c r="L21" i="10"/>
  <c r="Y22" i="10"/>
  <c r="X22" i="10"/>
  <c r="L36" i="10"/>
  <c r="L108" i="10" s="1"/>
  <c r="L109" i="10" s="1"/>
  <c r="AA21" i="10"/>
  <c r="V22" i="10"/>
  <c r="AC22" i="10"/>
  <c r="AD36" i="10"/>
  <c r="AD108" i="10" s="1"/>
  <c r="AD109" i="10" s="1"/>
  <c r="W21" i="10"/>
  <c r="I22" i="10"/>
  <c r="P36" i="10"/>
  <c r="P108" i="10" s="1"/>
  <c r="P111" i="10" s="1"/>
  <c r="V21" i="10"/>
  <c r="N22" i="10"/>
  <c r="S36" i="10"/>
  <c r="S108" i="10" s="1"/>
  <c r="S110" i="10" s="1"/>
  <c r="AC21" i="10"/>
  <c r="O21" i="10"/>
  <c r="P22" i="10"/>
  <c r="J22" i="10"/>
  <c r="K21" i="10"/>
  <c r="AD22" i="10"/>
  <c r="AD21" i="10"/>
  <c r="W22" i="10"/>
  <c r="AE22" i="10"/>
  <c r="U21" i="10"/>
  <c r="M21" i="10"/>
  <c r="T36" i="10"/>
  <c r="T108" i="10" s="1"/>
  <c r="T112" i="10" s="1"/>
  <c r="AC36" i="10"/>
  <c r="AC108" i="10" s="1"/>
  <c r="AC110" i="10" s="1"/>
  <c r="U59" i="10"/>
  <c r="U58" i="10" s="1"/>
  <c r="U143" i="10" s="1"/>
  <c r="U144" i="10" s="1"/>
  <c r="AC44" i="10"/>
  <c r="AC43" i="10" s="1"/>
  <c r="AC125" i="10" s="1"/>
  <c r="AC129" i="10" s="1"/>
  <c r="U36" i="10"/>
  <c r="U108" i="10" s="1"/>
  <c r="U111" i="10" s="1"/>
  <c r="AA36" i="10"/>
  <c r="AA108" i="10" s="1"/>
  <c r="AA111" i="10" s="1"/>
  <c r="P39" i="10"/>
  <c r="P116" i="10" s="1"/>
  <c r="H22" i="10"/>
  <c r="O22" i="10"/>
  <c r="Q21" i="10"/>
  <c r="R22" i="10"/>
  <c r="K36" i="10"/>
  <c r="K108" i="10" s="1"/>
  <c r="K110" i="10" s="1"/>
  <c r="M31" i="10"/>
  <c r="M100" i="10" s="1"/>
  <c r="M102" i="10" s="1"/>
  <c r="M36" i="10"/>
  <c r="M108" i="10" s="1"/>
  <c r="M110" i="10" s="1"/>
  <c r="T31" i="10"/>
  <c r="T100" i="10" s="1"/>
  <c r="T104" i="10" s="1"/>
  <c r="Q36" i="10"/>
  <c r="Q108" i="10" s="1"/>
  <c r="Q110" i="10" s="1"/>
  <c r="Y36" i="10"/>
  <c r="Y108" i="10" s="1"/>
  <c r="Y109" i="10" s="1"/>
  <c r="N36" i="10"/>
  <c r="N108" i="10" s="1"/>
  <c r="N112" i="10" s="1"/>
  <c r="H21" i="10"/>
  <c r="AB21" i="10"/>
  <c r="U44" i="10"/>
  <c r="U43" i="10" s="1"/>
  <c r="U125" i="10" s="1"/>
  <c r="U126" i="10" s="1"/>
  <c r="M39" i="10"/>
  <c r="M116" i="10" s="1"/>
  <c r="M59" i="10"/>
  <c r="M58" i="10" s="1"/>
  <c r="M143" i="10" s="1"/>
  <c r="M146" i="10" s="1"/>
  <c r="Q44" i="10"/>
  <c r="Q43" i="10" s="1"/>
  <c r="Q125" i="10" s="1"/>
  <c r="Q128" i="10" s="1"/>
  <c r="AB44" i="10"/>
  <c r="AB43" i="10" s="1"/>
  <c r="AB125" i="10" s="1"/>
  <c r="AB126" i="10" s="1"/>
  <c r="K44" i="10"/>
  <c r="K43" i="10" s="1"/>
  <c r="K125" i="10" s="1"/>
  <c r="K127" i="10" s="1"/>
  <c r="AE44" i="10"/>
  <c r="AE43" i="10" s="1"/>
  <c r="AE125" i="10" s="1"/>
  <c r="AE126" i="10" s="1"/>
  <c r="H36" i="10"/>
  <c r="H108" i="10" s="1"/>
  <c r="Z36" i="10"/>
  <c r="Z108" i="10" s="1"/>
  <c r="Z111" i="10" s="1"/>
  <c r="L31" i="10"/>
  <c r="L100" i="10" s="1"/>
  <c r="L101" i="10" s="1"/>
  <c r="AI44" i="10"/>
  <c r="AI43" i="10" s="1"/>
  <c r="AI125" i="10" s="1"/>
  <c r="AI127" i="10" s="1"/>
  <c r="N31" i="10"/>
  <c r="N100" i="10" s="1"/>
  <c r="N104" i="10" s="1"/>
  <c r="R31" i="10"/>
  <c r="R100" i="10" s="1"/>
  <c r="R103" i="10" s="1"/>
  <c r="N44" i="10"/>
  <c r="N43" i="10" s="1"/>
  <c r="N125" i="10" s="1"/>
  <c r="N128" i="10" s="1"/>
  <c r="AA44" i="10"/>
  <c r="AA43" i="10" s="1"/>
  <c r="AA125" i="10" s="1"/>
  <c r="AA129" i="10" s="1"/>
  <c r="O44" i="10"/>
  <c r="O43" i="10" s="1"/>
  <c r="O125" i="10" s="1"/>
  <c r="O129" i="10" s="1"/>
  <c r="AD59" i="10"/>
  <c r="AD58" i="10" s="1"/>
  <c r="AD143" i="10" s="1"/>
  <c r="AD146" i="10" s="1"/>
  <c r="T44" i="10"/>
  <c r="T43" i="10" s="1"/>
  <c r="T125" i="10" s="1"/>
  <c r="T129" i="10" s="1"/>
  <c r="AG44" i="10"/>
  <c r="AG43" i="10" s="1"/>
  <c r="AG125" i="10" s="1"/>
  <c r="AG128" i="10" s="1"/>
  <c r="L44" i="10"/>
  <c r="L43" i="10" s="1"/>
  <c r="L125" i="10" s="1"/>
  <c r="L126" i="10" s="1"/>
  <c r="AF44" i="10"/>
  <c r="AF43" i="10" s="1"/>
  <c r="AF125" i="10" s="1"/>
  <c r="AF128" i="10" s="1"/>
  <c r="S44" i="10"/>
  <c r="S43" i="10" s="1"/>
  <c r="S125" i="10" s="1"/>
  <c r="S126" i="10" s="1"/>
  <c r="V44" i="10"/>
  <c r="V43" i="10" s="1"/>
  <c r="V125" i="10" s="1"/>
  <c r="V127" i="10" s="1"/>
  <c r="Q59" i="10"/>
  <c r="Q58" i="10" s="1"/>
  <c r="Q143" i="10" s="1"/>
  <c r="Q145" i="10" s="1"/>
  <c r="J59" i="10"/>
  <c r="J58" i="10" s="1"/>
  <c r="J143" i="10" s="1"/>
  <c r="J145" i="10" s="1"/>
  <c r="AB52" i="10"/>
  <c r="AB51" i="10" s="1"/>
  <c r="AB134" i="10" s="1"/>
  <c r="AB137" i="10" s="1"/>
  <c r="O52" i="10"/>
  <c r="O51" i="10" s="1"/>
  <c r="O134" i="10" s="1"/>
  <c r="O135" i="10" s="1"/>
  <c r="AC59" i="10"/>
  <c r="AC58" i="10" s="1"/>
  <c r="AC143" i="10" s="1"/>
  <c r="AC146" i="10" s="1"/>
  <c r="F17" i="10"/>
  <c r="F78" i="10" s="1"/>
  <c r="AH44" i="10"/>
  <c r="AH43" i="10" s="1"/>
  <c r="AH125" i="10" s="1"/>
  <c r="AH126" i="10" s="1"/>
  <c r="W44" i="10"/>
  <c r="W43" i="10" s="1"/>
  <c r="W125" i="10" s="1"/>
  <c r="W126" i="10" s="1"/>
  <c r="S59" i="10"/>
  <c r="S58" i="10" s="1"/>
  <c r="S143" i="10" s="1"/>
  <c r="S147" i="10" s="1"/>
  <c r="O59" i="10"/>
  <c r="O58" i="10" s="1"/>
  <c r="O143" i="10" s="1"/>
  <c r="O146" i="10" s="1"/>
  <c r="X44" i="10"/>
  <c r="X43" i="10" s="1"/>
  <c r="X125" i="10" s="1"/>
  <c r="X128" i="10" s="1"/>
  <c r="AJ45" i="10"/>
  <c r="AD44" i="10"/>
  <c r="AD43" i="10" s="1"/>
  <c r="AD125" i="10" s="1"/>
  <c r="AD127" i="10" s="1"/>
  <c r="P44" i="10"/>
  <c r="P43" i="10" s="1"/>
  <c r="P125" i="10" s="1"/>
  <c r="P129" i="10" s="1"/>
  <c r="R44" i="10"/>
  <c r="R43" i="10" s="1"/>
  <c r="R125" i="10" s="1"/>
  <c r="R129" i="10" s="1"/>
  <c r="AJ50" i="10"/>
  <c r="AJ46" i="10"/>
  <c r="V36" i="10"/>
  <c r="V108" i="10" s="1"/>
  <c r="V112" i="10" s="1"/>
  <c r="AB36" i="10"/>
  <c r="AB108" i="10" s="1"/>
  <c r="AB109" i="10" s="1"/>
  <c r="AE31" i="10"/>
  <c r="AE100" i="10" s="1"/>
  <c r="AE104" i="10" s="1"/>
  <c r="Q31" i="10"/>
  <c r="Q100" i="10" s="1"/>
  <c r="Q103" i="10" s="1"/>
  <c r="AD31" i="10"/>
  <c r="AD100" i="10" s="1"/>
  <c r="AD102" i="10" s="1"/>
  <c r="T173" i="10"/>
  <c r="T174" i="10"/>
  <c r="T172" i="10"/>
  <c r="T171" i="10"/>
  <c r="R174" i="10"/>
  <c r="R173" i="10"/>
  <c r="R171" i="10"/>
  <c r="R172" i="10"/>
  <c r="S162" i="10"/>
  <c r="S164" i="10"/>
  <c r="S165" i="10"/>
  <c r="S163" i="10"/>
  <c r="AA163" i="10"/>
  <c r="AA164" i="10"/>
  <c r="AA165" i="10"/>
  <c r="AA162" i="10"/>
  <c r="AG39" i="10"/>
  <c r="AG116" i="10" s="1"/>
  <c r="O31" i="10"/>
  <c r="O100" i="10" s="1"/>
  <c r="I163" i="10"/>
  <c r="I165" i="10"/>
  <c r="I164" i="10"/>
  <c r="I162" i="10"/>
  <c r="G75" i="10"/>
  <c r="AJ76" i="10"/>
  <c r="AJ56" i="10"/>
  <c r="AG173" i="10"/>
  <c r="AG171" i="10"/>
  <c r="AG172" i="10"/>
  <c r="AG174" i="10"/>
  <c r="AC173" i="10"/>
  <c r="AC172" i="10"/>
  <c r="AC171" i="10"/>
  <c r="AC174" i="10"/>
  <c r="AD163" i="10"/>
  <c r="AD165" i="10"/>
  <c r="AD162" i="10"/>
  <c r="AD164" i="10"/>
  <c r="AA174" i="10"/>
  <c r="AA173" i="10"/>
  <c r="AA172" i="10"/>
  <c r="AA171" i="10"/>
  <c r="Q165" i="10"/>
  <c r="Q162" i="10"/>
  <c r="Q163" i="10"/>
  <c r="Q164" i="10"/>
  <c r="O163" i="10"/>
  <c r="O164" i="10"/>
  <c r="O165" i="10"/>
  <c r="O162" i="10"/>
  <c r="AB162" i="10"/>
  <c r="AB163" i="10"/>
  <c r="AB165" i="10"/>
  <c r="AB164" i="10"/>
  <c r="Y165" i="10"/>
  <c r="Y164" i="10"/>
  <c r="Y163" i="10"/>
  <c r="Y162" i="10"/>
  <c r="AJ67" i="10"/>
  <c r="I44" i="10"/>
  <c r="I43" i="10" s="1"/>
  <c r="I125" i="10" s="1"/>
  <c r="I129" i="10" s="1"/>
  <c r="AJ70" i="10"/>
  <c r="W164" i="10"/>
  <c r="W162" i="10"/>
  <c r="W165" i="10"/>
  <c r="W163" i="10"/>
  <c r="X36" i="10"/>
  <c r="X108" i="10" s="1"/>
  <c r="AE36" i="10"/>
  <c r="AE108" i="10" s="1"/>
  <c r="H31" i="10"/>
  <c r="H100" i="10" s="1"/>
  <c r="I31" i="10"/>
  <c r="I100" i="10" s="1"/>
  <c r="W31" i="10"/>
  <c r="W100" i="10" s="1"/>
  <c r="G31" i="10"/>
  <c r="G72" i="10"/>
  <c r="AJ73" i="10"/>
  <c r="R59" i="10"/>
  <c r="R58" i="10" s="1"/>
  <c r="R143" i="10" s="1"/>
  <c r="K59" i="10"/>
  <c r="K58" i="10" s="1"/>
  <c r="K143" i="10" s="1"/>
  <c r="AB59" i="10"/>
  <c r="AB58" i="10" s="1"/>
  <c r="AB143" i="10" s="1"/>
  <c r="L59" i="10"/>
  <c r="L58" i="10" s="1"/>
  <c r="L143" i="10" s="1"/>
  <c r="P59" i="10"/>
  <c r="P58" i="10" s="1"/>
  <c r="P143" i="10" s="1"/>
  <c r="AE59" i="10"/>
  <c r="AE58" i="10" s="1"/>
  <c r="AE143" i="10" s="1"/>
  <c r="H171" i="10"/>
  <c r="H172" i="10"/>
  <c r="H174" i="10"/>
  <c r="H173" i="10"/>
  <c r="H52" i="10"/>
  <c r="H51" i="10" s="1"/>
  <c r="H134" i="10" s="1"/>
  <c r="H135" i="10" s="1"/>
  <c r="AC52" i="10"/>
  <c r="AC51" i="10" s="1"/>
  <c r="AC134" i="10" s="1"/>
  <c r="U52" i="10"/>
  <c r="U51" i="10" s="1"/>
  <c r="U134" i="10" s="1"/>
  <c r="R52" i="10"/>
  <c r="R51" i="10" s="1"/>
  <c r="R134" i="10" s="1"/>
  <c r="W52" i="10"/>
  <c r="W51" i="10" s="1"/>
  <c r="W134" i="10" s="1"/>
  <c r="Y52" i="10"/>
  <c r="Y51" i="10" s="1"/>
  <c r="Y134" i="10" s="1"/>
  <c r="G52" i="10"/>
  <c r="W174" i="10"/>
  <c r="W171" i="10"/>
  <c r="W172" i="10"/>
  <c r="W173" i="10"/>
  <c r="U163" i="10"/>
  <c r="U164" i="10"/>
  <c r="U162" i="10"/>
  <c r="U165" i="10"/>
  <c r="P171" i="10"/>
  <c r="P173" i="10"/>
  <c r="P174" i="10"/>
  <c r="P172" i="10"/>
  <c r="AH163" i="10"/>
  <c r="AH164" i="10"/>
  <c r="AH165" i="10"/>
  <c r="AH162" i="10"/>
  <c r="X171" i="10"/>
  <c r="X174" i="10"/>
  <c r="X172" i="10"/>
  <c r="X173" i="10"/>
  <c r="Z174" i="10"/>
  <c r="Z172" i="10"/>
  <c r="Z173" i="10"/>
  <c r="Z171" i="10"/>
  <c r="AB31" i="10"/>
  <c r="AB100" i="10" s="1"/>
  <c r="Z59" i="10"/>
  <c r="Z58" i="10" s="1"/>
  <c r="Z143" i="10" s="1"/>
  <c r="Y44" i="10"/>
  <c r="Y43" i="10" s="1"/>
  <c r="Y125" i="10" s="1"/>
  <c r="AJ24" i="10"/>
  <c r="M44" i="10"/>
  <c r="M43" i="10" s="1"/>
  <c r="M125" i="10" s="1"/>
  <c r="X52" i="10"/>
  <c r="X51" i="10" s="1"/>
  <c r="X134" i="10" s="1"/>
  <c r="AD52" i="10"/>
  <c r="AD51" i="10" s="1"/>
  <c r="AD134" i="10" s="1"/>
  <c r="AE52" i="10"/>
  <c r="AE51" i="10" s="1"/>
  <c r="AE134" i="10" s="1"/>
  <c r="AE172" i="10"/>
  <c r="AE174" i="10"/>
  <c r="AE173" i="10"/>
  <c r="AE171" i="10"/>
  <c r="AF164" i="10"/>
  <c r="AF165" i="10"/>
  <c r="AF162" i="10"/>
  <c r="AF163" i="10"/>
  <c r="V172" i="10"/>
  <c r="V171" i="10"/>
  <c r="V173" i="10"/>
  <c r="V174" i="10"/>
  <c r="S171" i="10"/>
  <c r="S172" i="10"/>
  <c r="S174" i="10"/>
  <c r="S173" i="10"/>
  <c r="T164" i="10"/>
  <c r="T162" i="10"/>
  <c r="T165" i="10"/>
  <c r="T163" i="10"/>
  <c r="Q171" i="10"/>
  <c r="Q173" i="10"/>
  <c r="Q174" i="10"/>
  <c r="Q172" i="10"/>
  <c r="O171" i="10"/>
  <c r="O173" i="10"/>
  <c r="O174" i="10"/>
  <c r="O172" i="10"/>
  <c r="AI162" i="10"/>
  <c r="AI165" i="10"/>
  <c r="AI164" i="10"/>
  <c r="AI163" i="10"/>
  <c r="AE164" i="10"/>
  <c r="AE165" i="10"/>
  <c r="AE163" i="10"/>
  <c r="AE162" i="10"/>
  <c r="AC163" i="10"/>
  <c r="AC164" i="10"/>
  <c r="AC162" i="10"/>
  <c r="AC165" i="10"/>
  <c r="N172" i="10"/>
  <c r="N173" i="10"/>
  <c r="N171" i="10"/>
  <c r="N174" i="10"/>
  <c r="AH39" i="10"/>
  <c r="AH116" i="10" s="1"/>
  <c r="I36" i="10"/>
  <c r="I108" i="10" s="1"/>
  <c r="O36" i="10"/>
  <c r="O108" i="10" s="1"/>
  <c r="J31" i="10"/>
  <c r="J100" i="10" s="1"/>
  <c r="U31" i="10"/>
  <c r="U100" i="10" s="1"/>
  <c r="P31" i="10"/>
  <c r="P100" i="10" s="1"/>
  <c r="AC31" i="10"/>
  <c r="AC100" i="10" s="1"/>
  <c r="Z31" i="10"/>
  <c r="Z100" i="10" s="1"/>
  <c r="J163" i="10"/>
  <c r="J162" i="10"/>
  <c r="J165" i="10"/>
  <c r="J164" i="10"/>
  <c r="H59" i="10"/>
  <c r="H58" i="10" s="1"/>
  <c r="H143" i="10" s="1"/>
  <c r="N59" i="10"/>
  <c r="N58" i="10" s="1"/>
  <c r="N143" i="10" s="1"/>
  <c r="W59" i="10"/>
  <c r="W58" i="10" s="1"/>
  <c r="W143" i="10" s="1"/>
  <c r="G59" i="10"/>
  <c r="Z44" i="10"/>
  <c r="Z43" i="10" s="1"/>
  <c r="Z125" i="10" s="1"/>
  <c r="I174" i="10"/>
  <c r="I173" i="10"/>
  <c r="I171" i="10"/>
  <c r="I172" i="10"/>
  <c r="N52" i="10"/>
  <c r="N51" i="10" s="1"/>
  <c r="N134" i="10" s="1"/>
  <c r="P52" i="10"/>
  <c r="P51" i="10" s="1"/>
  <c r="P134" i="10" s="1"/>
  <c r="T52" i="10"/>
  <c r="T51" i="10" s="1"/>
  <c r="T134" i="10" s="1"/>
  <c r="AA52" i="10"/>
  <c r="AA51" i="10" s="1"/>
  <c r="AA134" i="10" s="1"/>
  <c r="Q52" i="10"/>
  <c r="Q51" i="10" s="1"/>
  <c r="Q134" i="10" s="1"/>
  <c r="K52" i="10"/>
  <c r="K51" i="10" s="1"/>
  <c r="K134" i="10" s="1"/>
  <c r="M171" i="10"/>
  <c r="M174" i="10"/>
  <c r="M172" i="10"/>
  <c r="M173" i="10"/>
  <c r="M163" i="10"/>
  <c r="M162" i="10"/>
  <c r="M164" i="10"/>
  <c r="M165" i="10"/>
  <c r="K163" i="10"/>
  <c r="K164" i="10"/>
  <c r="K162" i="10"/>
  <c r="K165" i="10"/>
  <c r="J52" i="10"/>
  <c r="J51" i="10" s="1"/>
  <c r="J134" i="10" s="1"/>
  <c r="AH174" i="10"/>
  <c r="AH171" i="10"/>
  <c r="AH172" i="10"/>
  <c r="AH173" i="10"/>
  <c r="L171" i="10"/>
  <c r="L172" i="10"/>
  <c r="L173" i="10"/>
  <c r="L174" i="10"/>
  <c r="U172" i="10"/>
  <c r="U171" i="10"/>
  <c r="U173" i="10"/>
  <c r="U174" i="10"/>
  <c r="R164" i="10"/>
  <c r="R162" i="10"/>
  <c r="R163" i="10"/>
  <c r="R165" i="10"/>
  <c r="X164" i="10"/>
  <c r="X163" i="10"/>
  <c r="X162" i="10"/>
  <c r="X165" i="10"/>
  <c r="AI172" i="10"/>
  <c r="AI171" i="10"/>
  <c r="AI173" i="10"/>
  <c r="AI174" i="10"/>
  <c r="L162" i="10"/>
  <c r="L165" i="10"/>
  <c r="L163" i="10"/>
  <c r="L164" i="10"/>
  <c r="AF172" i="10"/>
  <c r="AF173" i="10"/>
  <c r="AF171" i="10"/>
  <c r="AF174" i="10"/>
  <c r="AG165" i="10"/>
  <c r="AG163" i="10"/>
  <c r="AG164" i="10"/>
  <c r="AG162" i="10"/>
  <c r="AD171" i="10"/>
  <c r="AD174" i="10"/>
  <c r="AD172" i="10"/>
  <c r="AD173" i="10"/>
  <c r="AB172" i="10"/>
  <c r="AB173" i="10"/>
  <c r="AB171" i="10"/>
  <c r="AB174" i="10"/>
  <c r="Y174" i="10"/>
  <c r="Y171" i="10"/>
  <c r="Y172" i="10"/>
  <c r="Y173" i="10"/>
  <c r="V164" i="10"/>
  <c r="V162" i="10"/>
  <c r="V165" i="10"/>
  <c r="V163" i="10"/>
  <c r="P162" i="10"/>
  <c r="P164" i="10"/>
  <c r="P165" i="10"/>
  <c r="P163" i="10"/>
  <c r="N165" i="10"/>
  <c r="N162" i="10"/>
  <c r="N164" i="10"/>
  <c r="N163" i="10"/>
  <c r="Z165" i="10"/>
  <c r="Z163" i="10"/>
  <c r="Z162" i="10"/>
  <c r="Z164" i="10"/>
  <c r="K173" i="10"/>
  <c r="K172" i="10"/>
  <c r="K171" i="10"/>
  <c r="K174" i="10"/>
  <c r="G36" i="10"/>
  <c r="S31" i="10"/>
  <c r="S100" i="10" s="1"/>
  <c r="X31" i="10"/>
  <c r="X100" i="10" s="1"/>
  <c r="V31" i="10"/>
  <c r="V100" i="10" s="1"/>
  <c r="AA31" i="10"/>
  <c r="AA100" i="10" s="1"/>
  <c r="K31" i="10"/>
  <c r="K100" i="10" s="1"/>
  <c r="Y31" i="10"/>
  <c r="Y100" i="10" s="1"/>
  <c r="H164" i="10"/>
  <c r="H162" i="10"/>
  <c r="H163" i="10"/>
  <c r="H165" i="10"/>
  <c r="V59" i="10"/>
  <c r="V58" i="10" s="1"/>
  <c r="V143" i="10" s="1"/>
  <c r="X59" i="10"/>
  <c r="X58" i="10" s="1"/>
  <c r="X143" i="10" s="1"/>
  <c r="AA59" i="10"/>
  <c r="AA58" i="10" s="1"/>
  <c r="AA143" i="10" s="1"/>
  <c r="T59" i="10"/>
  <c r="T58" i="10" s="1"/>
  <c r="T143" i="10" s="1"/>
  <c r="Y59" i="10"/>
  <c r="Y58" i="10" s="1"/>
  <c r="Y143" i="10" s="1"/>
  <c r="I59" i="10"/>
  <c r="I58" i="10" s="1"/>
  <c r="I143" i="10" s="1"/>
  <c r="J174" i="10"/>
  <c r="J172" i="10"/>
  <c r="J171" i="10"/>
  <c r="J173" i="10"/>
  <c r="V52" i="10"/>
  <c r="V51" i="10" s="1"/>
  <c r="V134" i="10" s="1"/>
  <c r="Z52" i="10"/>
  <c r="Z51" i="10" s="1"/>
  <c r="Z134" i="10" s="1"/>
  <c r="S52" i="10"/>
  <c r="S51" i="10" s="1"/>
  <c r="S134" i="10" s="1"/>
  <c r="M52" i="10"/>
  <c r="M51" i="10" s="1"/>
  <c r="M134" i="10" s="1"/>
  <c r="L52" i="10"/>
  <c r="L51" i="10" s="1"/>
  <c r="L134" i="10" s="1"/>
  <c r="I52" i="10"/>
  <c r="I51" i="10" s="1"/>
  <c r="I134" i="10" s="1"/>
  <c r="AA39" i="10"/>
  <c r="AA116" i="10" s="1"/>
  <c r="Z39" i="10"/>
  <c r="Z116" i="10" s="1"/>
  <c r="Q39" i="10"/>
  <c r="Q116" i="10" s="1"/>
  <c r="V39" i="10"/>
  <c r="V116" i="10" s="1"/>
  <c r="J39" i="10"/>
  <c r="J116" i="10" s="1"/>
  <c r="R39" i="10"/>
  <c r="R116" i="10" s="1"/>
  <c r="X39" i="10"/>
  <c r="O39" i="10"/>
  <c r="H39" i="10"/>
  <c r="H116" i="10" s="1"/>
  <c r="AD39" i="10"/>
  <c r="S39" i="10"/>
  <c r="S116" i="10" s="1"/>
  <c r="K39" i="10"/>
  <c r="AJ41" i="10"/>
  <c r="AE39" i="10"/>
  <c r="AE116" i="10" s="1"/>
  <c r="T39" i="10"/>
  <c r="T116" i="10" s="1"/>
  <c r="I39" i="10"/>
  <c r="AC39" i="10"/>
  <c r="AC116" i="10" s="1"/>
  <c r="W39" i="10"/>
  <c r="W116" i="10" s="1"/>
  <c r="AF39" i="10"/>
  <c r="AF116" i="10" s="1"/>
  <c r="Y39" i="10"/>
  <c r="U39" i="10"/>
  <c r="U116" i="10" s="1"/>
  <c r="N39" i="10"/>
  <c r="N116" i="10" s="1"/>
  <c r="AJ42" i="10"/>
  <c r="L39" i="10"/>
  <c r="AB39" i="10"/>
  <c r="AI39" i="10"/>
  <c r="G39" i="10"/>
  <c r="AJ40" i="10"/>
  <c r="AJ78" i="3"/>
  <c r="AJ75" i="3"/>
  <c r="AJ69" i="3"/>
  <c r="AJ57" i="3"/>
  <c r="AJ46" i="3"/>
  <c r="AJ51" i="3"/>
  <c r="AJ41" i="3"/>
  <c r="AJ42" i="3"/>
  <c r="AJ43" i="3"/>
  <c r="AJ47" i="3"/>
  <c r="G18" i="10" l="1"/>
  <c r="G27" i="10"/>
  <c r="AJ27" i="10" s="1"/>
  <c r="AJ28" i="3"/>
  <c r="AC126" i="10"/>
  <c r="H44" i="10"/>
  <c r="H43" i="10" s="1"/>
  <c r="H125" i="10" s="1"/>
  <c r="H127" i="10" s="1"/>
  <c r="J127" i="10"/>
  <c r="J126" i="10"/>
  <c r="J128" i="10"/>
  <c r="AF36" i="10"/>
  <c r="AF108" i="10" s="1"/>
  <c r="AF110" i="10" s="1"/>
  <c r="AF19" i="10"/>
  <c r="AF31" i="10"/>
  <c r="AF100" i="10" s="1"/>
  <c r="AF102" i="10" s="1"/>
  <c r="AF52" i="10"/>
  <c r="AF51" i="10" s="1"/>
  <c r="AF134" i="10" s="1"/>
  <c r="AF135" i="10" s="1"/>
  <c r="AF59" i="10"/>
  <c r="AF58" i="10" s="1"/>
  <c r="AF143" i="10" s="1"/>
  <c r="AF145" i="10" s="1"/>
  <c r="AF22" i="10"/>
  <c r="AF21" i="10"/>
  <c r="L112" i="10"/>
  <c r="G44" i="10"/>
  <c r="G43" i="10" s="1"/>
  <c r="G125" i="10" s="1"/>
  <c r="AG129" i="10"/>
  <c r="AH69" i="10"/>
  <c r="AG32" i="10"/>
  <c r="AG61" i="10"/>
  <c r="AG37" i="10"/>
  <c r="AG54" i="10"/>
  <c r="AG57" i="10"/>
  <c r="AG34" i="10"/>
  <c r="AG62" i="10"/>
  <c r="AG33" i="10"/>
  <c r="AH68" i="10"/>
  <c r="AG55" i="10"/>
  <c r="AG20" i="10"/>
  <c r="AG23" i="10"/>
  <c r="AG35" i="10"/>
  <c r="AG53" i="10"/>
  <c r="AG38" i="10"/>
  <c r="AG60" i="10"/>
  <c r="AI128" i="10"/>
  <c r="Q127" i="10"/>
  <c r="AC127" i="10"/>
  <c r="AE127" i="10"/>
  <c r="AE129" i="10"/>
  <c r="AE128" i="10"/>
  <c r="I126" i="10"/>
  <c r="Q129" i="10"/>
  <c r="AC128" i="10"/>
  <c r="L129" i="10"/>
  <c r="AG126" i="10"/>
  <c r="Q126" i="10"/>
  <c r="N129" i="10"/>
  <c r="N126" i="10"/>
  <c r="AA128" i="10"/>
  <c r="AA127" i="10"/>
  <c r="AA126" i="10"/>
  <c r="AB129" i="10"/>
  <c r="AB128" i="10"/>
  <c r="AB127" i="10"/>
  <c r="I127" i="10"/>
  <c r="I128" i="10"/>
  <c r="T127" i="10"/>
  <c r="T128" i="10"/>
  <c r="T126" i="10"/>
  <c r="AI129" i="10"/>
  <c r="N127" i="10"/>
  <c r="AG127" i="10"/>
  <c r="P126" i="10"/>
  <c r="P127" i="10"/>
  <c r="P128" i="10"/>
  <c r="T18" i="10"/>
  <c r="T83" i="10" s="1"/>
  <c r="T86" i="10" s="1"/>
  <c r="AC111" i="10"/>
  <c r="AA18" i="10"/>
  <c r="AA83" i="10" s="1"/>
  <c r="AA85" i="10" s="1"/>
  <c r="AE18" i="10"/>
  <c r="AE83" i="10" s="1"/>
  <c r="AE87" i="10" s="1"/>
  <c r="Z18" i="10"/>
  <c r="Z83" i="10" s="1"/>
  <c r="Z85" i="10" s="1"/>
  <c r="L18" i="10"/>
  <c r="L83" i="10" s="1"/>
  <c r="L86" i="10" s="1"/>
  <c r="J18" i="10"/>
  <c r="J83" i="10" s="1"/>
  <c r="J85" i="10" s="1"/>
  <c r="U18" i="10"/>
  <c r="U83" i="10" s="1"/>
  <c r="U86" i="10" s="1"/>
  <c r="U109" i="10"/>
  <c r="M18" i="10"/>
  <c r="M83" i="10" s="1"/>
  <c r="M86" i="10" s="1"/>
  <c r="Y18" i="10"/>
  <c r="Y83" i="10" s="1"/>
  <c r="Y85" i="10" s="1"/>
  <c r="I18" i="10"/>
  <c r="I83" i="10" s="1"/>
  <c r="I84" i="10" s="1"/>
  <c r="U146" i="10"/>
  <c r="N110" i="10"/>
  <c r="AC147" i="10"/>
  <c r="N109" i="10"/>
  <c r="K111" i="10"/>
  <c r="Z110" i="10"/>
  <c r="S112" i="10"/>
  <c r="S111" i="10"/>
  <c r="J110" i="10"/>
  <c r="J109" i="10"/>
  <c r="AC112" i="10"/>
  <c r="AC109" i="10"/>
  <c r="X18" i="10"/>
  <c r="X83" i="10" s="1"/>
  <c r="X84" i="10" s="1"/>
  <c r="L110" i="10"/>
  <c r="N18" i="10"/>
  <c r="N83" i="10" s="1"/>
  <c r="N87" i="10" s="1"/>
  <c r="L111" i="10"/>
  <c r="S109" i="10"/>
  <c r="U112" i="10"/>
  <c r="U110" i="10"/>
  <c r="P18" i="10"/>
  <c r="P83" i="10" s="1"/>
  <c r="P84" i="10" s="1"/>
  <c r="S18" i="10"/>
  <c r="S83" i="10" s="1"/>
  <c r="S84" i="10" s="1"/>
  <c r="L102" i="10"/>
  <c r="J111" i="10"/>
  <c r="K18" i="10"/>
  <c r="K83" i="10" s="1"/>
  <c r="K87" i="10" s="1"/>
  <c r="AA109" i="10"/>
  <c r="Q18" i="10"/>
  <c r="Q83" i="10" s="1"/>
  <c r="Q87" i="10" s="1"/>
  <c r="J146" i="10"/>
  <c r="L104" i="10"/>
  <c r="J147" i="10"/>
  <c r="J144" i="10"/>
  <c r="L103" i="10"/>
  <c r="AD110" i="10"/>
  <c r="AC18" i="10"/>
  <c r="AC83" i="10" s="1"/>
  <c r="AC87" i="10" s="1"/>
  <c r="R18" i="10"/>
  <c r="R83" i="10" s="1"/>
  <c r="R86" i="10" s="1"/>
  <c r="AD111" i="10"/>
  <c r="AD112" i="10"/>
  <c r="AD18" i="10"/>
  <c r="AD83" i="10" s="1"/>
  <c r="AD85" i="10" s="1"/>
  <c r="H138" i="10"/>
  <c r="H137" i="10"/>
  <c r="H136" i="10"/>
  <c r="R111" i="10"/>
  <c r="N111" i="10"/>
  <c r="Z112" i="10"/>
  <c r="K112" i="10"/>
  <c r="AC145" i="10"/>
  <c r="U145" i="10"/>
  <c r="K109" i="10"/>
  <c r="AC144" i="10"/>
  <c r="W109" i="10"/>
  <c r="U147" i="10"/>
  <c r="W110" i="10"/>
  <c r="W111" i="10"/>
  <c r="P109" i="10"/>
  <c r="R101" i="10"/>
  <c r="P110" i="10"/>
  <c r="P112" i="10"/>
  <c r="M144" i="10"/>
  <c r="V18" i="10"/>
  <c r="V83" i="10" s="1"/>
  <c r="V85" i="10" s="1"/>
  <c r="AA110" i="10"/>
  <c r="AA112" i="10"/>
  <c r="R109" i="10"/>
  <c r="R112" i="10"/>
  <c r="M111" i="10"/>
  <c r="W18" i="10"/>
  <c r="W83" i="10" s="1"/>
  <c r="W85" i="10" s="1"/>
  <c r="O18" i="10"/>
  <c r="O83" i="10" s="1"/>
  <c r="O86" i="10" s="1"/>
  <c r="T109" i="10"/>
  <c r="T110" i="10"/>
  <c r="T111" i="10"/>
  <c r="V109" i="10"/>
  <c r="AD30" i="10"/>
  <c r="Z109" i="10"/>
  <c r="M145" i="10"/>
  <c r="V126" i="10"/>
  <c r="M147" i="10"/>
  <c r="R102" i="10"/>
  <c r="R104" i="10"/>
  <c r="T103" i="10"/>
  <c r="V129" i="10"/>
  <c r="V128" i="10"/>
  <c r="H18" i="10"/>
  <c r="H83" i="10" s="1"/>
  <c r="H87" i="10" s="1"/>
  <c r="M30" i="10"/>
  <c r="M112" i="10"/>
  <c r="AB111" i="10"/>
  <c r="M109" i="10"/>
  <c r="V110" i="10"/>
  <c r="AB112" i="10"/>
  <c r="R127" i="10"/>
  <c r="T101" i="10"/>
  <c r="T102" i="10"/>
  <c r="Y110" i="10"/>
  <c r="K126" i="10"/>
  <c r="O128" i="10"/>
  <c r="O126" i="10"/>
  <c r="Q146" i="10"/>
  <c r="O127" i="10"/>
  <c r="Q147" i="10"/>
  <c r="Q144" i="10"/>
  <c r="AD147" i="10"/>
  <c r="AD144" i="10"/>
  <c r="O144" i="10"/>
  <c r="AD145" i="10"/>
  <c r="O145" i="10"/>
  <c r="X127" i="10"/>
  <c r="X129" i="10"/>
  <c r="Y111" i="10"/>
  <c r="Y112" i="10"/>
  <c r="Q112" i="10"/>
  <c r="Q111" i="10"/>
  <c r="Q109" i="10"/>
  <c r="AD101" i="10"/>
  <c r="AD104" i="10"/>
  <c r="AD103" i="10"/>
  <c r="Q102" i="10"/>
  <c r="AE102" i="10"/>
  <c r="Q104" i="10"/>
  <c r="AE101" i="10"/>
  <c r="AE103" i="10"/>
  <c r="V111" i="10"/>
  <c r="S127" i="10"/>
  <c r="W129" i="10"/>
  <c r="AF129" i="10"/>
  <c r="N102" i="10"/>
  <c r="AI126" i="10"/>
  <c r="AB18" i="10"/>
  <c r="AB83" i="10" s="1"/>
  <c r="AH128" i="10"/>
  <c r="W127" i="10"/>
  <c r="M101" i="10"/>
  <c r="U127" i="10"/>
  <c r="W128" i="10"/>
  <c r="M104" i="10"/>
  <c r="U128" i="10"/>
  <c r="M103" i="10"/>
  <c r="AD126" i="10"/>
  <c r="U129" i="10"/>
  <c r="AD129" i="10"/>
  <c r="N101" i="10"/>
  <c r="X126" i="10"/>
  <c r="I166" i="10"/>
  <c r="I167" i="10" s="1"/>
  <c r="I168" i="10" s="1"/>
  <c r="I160" i="10" s="1"/>
  <c r="I31" i="11" s="1"/>
  <c r="K129" i="10"/>
  <c r="S129" i="10"/>
  <c r="X166" i="10"/>
  <c r="X167" i="10" s="1"/>
  <c r="X168" i="10" s="1"/>
  <c r="X160" i="10" s="1"/>
  <c r="X31" i="11" s="1"/>
  <c r="L175" i="10"/>
  <c r="L176" i="10" s="1"/>
  <c r="L177" i="10" s="1"/>
  <c r="L169" i="10" s="1"/>
  <c r="L33" i="11" s="1"/>
  <c r="N175" i="10"/>
  <c r="N176" i="10" s="1"/>
  <c r="N177" i="10" s="1"/>
  <c r="N169" i="10" s="1"/>
  <c r="N33" i="11" s="1"/>
  <c r="S128" i="10"/>
  <c r="N103" i="10"/>
  <c r="AD128" i="10"/>
  <c r="Q101" i="10"/>
  <c r="O147" i="10"/>
  <c r="AC166" i="10"/>
  <c r="AC167" i="10" s="1"/>
  <c r="AC168" i="10" s="1"/>
  <c r="AC160" i="10" s="1"/>
  <c r="AC31" i="11" s="1"/>
  <c r="O175" i="10"/>
  <c r="O176" i="10" s="1"/>
  <c r="O177" i="10" s="1"/>
  <c r="O169" i="10" s="1"/>
  <c r="O33" i="11" s="1"/>
  <c r="N166" i="10"/>
  <c r="N167" i="10" s="1"/>
  <c r="N168" i="10" s="1"/>
  <c r="N160" i="10" s="1"/>
  <c r="N31" i="11" s="1"/>
  <c r="U175" i="10"/>
  <c r="U176" i="10" s="1"/>
  <c r="U177" i="10" s="1"/>
  <c r="U169" i="10" s="1"/>
  <c r="U33" i="11" s="1"/>
  <c r="AG175" i="10"/>
  <c r="AG176" i="10" s="1"/>
  <c r="AG177" i="10" s="1"/>
  <c r="AG169" i="10" s="1"/>
  <c r="AG33" i="11" s="1"/>
  <c r="S166" i="10"/>
  <c r="S167" i="10" s="1"/>
  <c r="S168" i="10" s="1"/>
  <c r="S160" i="10" s="1"/>
  <c r="S31" i="11" s="1"/>
  <c r="T166" i="10"/>
  <c r="T167" i="10" s="1"/>
  <c r="T168" i="10" s="1"/>
  <c r="T160" i="10" s="1"/>
  <c r="T31" i="11" s="1"/>
  <c r="O136" i="10"/>
  <c r="AB135" i="10"/>
  <c r="Z175" i="10"/>
  <c r="Z176" i="10" s="1"/>
  <c r="Z177" i="10" s="1"/>
  <c r="Z169" i="10" s="1"/>
  <c r="Z33" i="11" s="1"/>
  <c r="AB110" i="10"/>
  <c r="J175" i="10"/>
  <c r="J176" i="10" s="1"/>
  <c r="J177" i="10" s="1"/>
  <c r="J169" i="10" s="1"/>
  <c r="J33" i="11" s="1"/>
  <c r="AF175" i="10"/>
  <c r="AF176" i="10" s="1"/>
  <c r="AF177" i="10" s="1"/>
  <c r="AF169" i="10" s="1"/>
  <c r="AF33" i="11" s="1"/>
  <c r="X175" i="10"/>
  <c r="X176" i="10" s="1"/>
  <c r="X177" i="10" s="1"/>
  <c r="X169" i="10" s="1"/>
  <c r="X33" i="11" s="1"/>
  <c r="O166" i="10"/>
  <c r="O167" i="10" s="1"/>
  <c r="O168" i="10" s="1"/>
  <c r="O160" i="10" s="1"/>
  <c r="O31" i="11" s="1"/>
  <c r="AD166" i="10"/>
  <c r="AD167" i="10" s="1"/>
  <c r="AD168" i="10" s="1"/>
  <c r="AD160" i="10" s="1"/>
  <c r="AD31" i="11" s="1"/>
  <c r="L166" i="10"/>
  <c r="L167" i="10" s="1"/>
  <c r="L168" i="10" s="1"/>
  <c r="L160" i="10" s="1"/>
  <c r="L31" i="11" s="1"/>
  <c r="V166" i="10"/>
  <c r="V167" i="10" s="1"/>
  <c r="V168" i="10" s="1"/>
  <c r="V160" i="10" s="1"/>
  <c r="V31" i="11" s="1"/>
  <c r="K166" i="10"/>
  <c r="K167" i="10" s="1"/>
  <c r="K168" i="10" s="1"/>
  <c r="K160" i="10" s="1"/>
  <c r="K31" i="11" s="1"/>
  <c r="AH166" i="10"/>
  <c r="AH167" i="10" s="1"/>
  <c r="AH168" i="10" s="1"/>
  <c r="AH160" i="10" s="1"/>
  <c r="AH31" i="11" s="1"/>
  <c r="AB138" i="10"/>
  <c r="K128" i="10"/>
  <c r="AG166" i="10"/>
  <c r="AG167" i="10" s="1"/>
  <c r="AG168" i="10" s="1"/>
  <c r="AG160" i="10" s="1"/>
  <c r="AG31" i="11" s="1"/>
  <c r="AC175" i="10"/>
  <c r="AC176" i="10" s="1"/>
  <c r="AC177" i="10" s="1"/>
  <c r="AC169" i="10" s="1"/>
  <c r="AC33" i="11" s="1"/>
  <c r="H111" i="10"/>
  <c r="H112" i="10"/>
  <c r="H109" i="10"/>
  <c r="H110" i="10"/>
  <c r="H175" i="10"/>
  <c r="H176" i="10" s="1"/>
  <c r="H177" i="10" s="1"/>
  <c r="H169" i="10" s="1"/>
  <c r="H33" i="11" s="1"/>
  <c r="Y166" i="10"/>
  <c r="Y167" i="10" s="1"/>
  <c r="Y168" i="10" s="1"/>
  <c r="Y160" i="10" s="1"/>
  <c r="Y31" i="11" s="1"/>
  <c r="Q166" i="10"/>
  <c r="Q167" i="10" s="1"/>
  <c r="Q168" i="10" s="1"/>
  <c r="Q160" i="10" s="1"/>
  <c r="Q31" i="11" s="1"/>
  <c r="P175" i="10"/>
  <c r="P176" i="10" s="1"/>
  <c r="P177" i="10" s="1"/>
  <c r="P169" i="10" s="1"/>
  <c r="P33" i="11" s="1"/>
  <c r="AF127" i="10"/>
  <c r="AH129" i="10"/>
  <c r="AF126" i="10"/>
  <c r="AH127" i="10"/>
  <c r="L128" i="10"/>
  <c r="L127" i="10"/>
  <c r="R126" i="10"/>
  <c r="R128" i="10"/>
  <c r="S146" i="10"/>
  <c r="S144" i="10"/>
  <c r="S145" i="10"/>
  <c r="O137" i="10"/>
  <c r="O138" i="10"/>
  <c r="AB136" i="10"/>
  <c r="Z166" i="10"/>
  <c r="Z167" i="10" s="1"/>
  <c r="Z168" i="10" s="1"/>
  <c r="Z160" i="10" s="1"/>
  <c r="Z31" i="11" s="1"/>
  <c r="AD175" i="10"/>
  <c r="AD176" i="10" s="1"/>
  <c r="AD177" i="10" s="1"/>
  <c r="AD169" i="10" s="1"/>
  <c r="AD33" i="11" s="1"/>
  <c r="M175" i="10"/>
  <c r="M176" i="10" s="1"/>
  <c r="M177" i="10" s="1"/>
  <c r="M169" i="10" s="1"/>
  <c r="M33" i="11" s="1"/>
  <c r="V175" i="10"/>
  <c r="V176" i="10" s="1"/>
  <c r="V177" i="10" s="1"/>
  <c r="V169" i="10" s="1"/>
  <c r="V33" i="11" s="1"/>
  <c r="AA166" i="10"/>
  <c r="AA167" i="10" s="1"/>
  <c r="AA168" i="10" s="1"/>
  <c r="AA160" i="10" s="1"/>
  <c r="AA31" i="11" s="1"/>
  <c r="R166" i="10"/>
  <c r="R167" i="10" s="1"/>
  <c r="R168" i="10" s="1"/>
  <c r="R160" i="10" s="1"/>
  <c r="R31" i="11" s="1"/>
  <c r="J166" i="10"/>
  <c r="J167" i="10" s="1"/>
  <c r="J168" i="10" s="1"/>
  <c r="J160" i="10" s="1"/>
  <c r="J31" i="11" s="1"/>
  <c r="AI166" i="10"/>
  <c r="AI167" i="10" s="1"/>
  <c r="AI168" i="10" s="1"/>
  <c r="AI160" i="10" s="1"/>
  <c r="AI31" i="11" s="1"/>
  <c r="AH175" i="10"/>
  <c r="AH176" i="10" s="1"/>
  <c r="AH177" i="10" s="1"/>
  <c r="AH169" i="10" s="1"/>
  <c r="AH33" i="11" s="1"/>
  <c r="Y175" i="10"/>
  <c r="Y176" i="10" s="1"/>
  <c r="Y177" i="10" s="1"/>
  <c r="Y169" i="10" s="1"/>
  <c r="Y33" i="11" s="1"/>
  <c r="W166" i="10"/>
  <c r="W167" i="10" s="1"/>
  <c r="W168" i="10" s="1"/>
  <c r="W160" i="10" s="1"/>
  <c r="W31" i="11" s="1"/>
  <c r="AB166" i="10"/>
  <c r="AB167" i="10" s="1"/>
  <c r="AB168" i="10" s="1"/>
  <c r="AB160" i="10" s="1"/>
  <c r="AB31" i="11" s="1"/>
  <c r="K175" i="10"/>
  <c r="K176" i="10" s="1"/>
  <c r="K177" i="10" s="1"/>
  <c r="K169" i="10" s="1"/>
  <c r="K33" i="11" s="1"/>
  <c r="P166" i="10"/>
  <c r="P167" i="10" s="1"/>
  <c r="P168" i="10" s="1"/>
  <c r="P160" i="10" s="1"/>
  <c r="P31" i="11" s="1"/>
  <c r="AI175" i="10"/>
  <c r="AI176" i="10" s="1"/>
  <c r="AI177" i="10" s="1"/>
  <c r="AI169" i="10" s="1"/>
  <c r="AI33" i="11" s="1"/>
  <c r="U166" i="10"/>
  <c r="U167" i="10" s="1"/>
  <c r="U168" i="10" s="1"/>
  <c r="U160" i="10" s="1"/>
  <c r="U31" i="11" s="1"/>
  <c r="AA175" i="10"/>
  <c r="AA176" i="10" s="1"/>
  <c r="AA177" i="10" s="1"/>
  <c r="AA169" i="10" s="1"/>
  <c r="AA33" i="11" s="1"/>
  <c r="AB175" i="10"/>
  <c r="AB176" i="10" s="1"/>
  <c r="AB177" i="10" s="1"/>
  <c r="AB169" i="10" s="1"/>
  <c r="AB33" i="11" s="1"/>
  <c r="S175" i="10"/>
  <c r="S176" i="10" s="1"/>
  <c r="S177" i="10" s="1"/>
  <c r="S169" i="10" s="1"/>
  <c r="S33" i="11" s="1"/>
  <c r="AE175" i="10"/>
  <c r="AE176" i="10" s="1"/>
  <c r="AE177" i="10" s="1"/>
  <c r="AE169" i="10" s="1"/>
  <c r="AE33" i="11" s="1"/>
  <c r="H166" i="10"/>
  <c r="H167" i="10" s="1"/>
  <c r="H168" i="10" s="1"/>
  <c r="H160" i="10" s="1"/>
  <c r="H31" i="11" s="1"/>
  <c r="M166" i="10"/>
  <c r="M167" i="10" s="1"/>
  <c r="M168" i="10" s="1"/>
  <c r="M160" i="10" s="1"/>
  <c r="M31" i="11" s="1"/>
  <c r="Q175" i="10"/>
  <c r="Q176" i="10" s="1"/>
  <c r="Q177" i="10" s="1"/>
  <c r="Q169" i="10" s="1"/>
  <c r="Q33" i="11" s="1"/>
  <c r="O30" i="10"/>
  <c r="W175" i="10"/>
  <c r="W176" i="10" s="1"/>
  <c r="W177" i="10" s="1"/>
  <c r="W169" i="10" s="1"/>
  <c r="W33" i="11" s="1"/>
  <c r="T175" i="10"/>
  <c r="T176" i="10" s="1"/>
  <c r="T177" i="10" s="1"/>
  <c r="T169" i="10" s="1"/>
  <c r="T33" i="11" s="1"/>
  <c r="I135" i="10"/>
  <c r="I136" i="10"/>
  <c r="I137" i="10"/>
  <c r="I138" i="10"/>
  <c r="X101" i="10"/>
  <c r="X102" i="10"/>
  <c r="X103" i="10"/>
  <c r="X104" i="10"/>
  <c r="P138" i="10"/>
  <c r="P136" i="10"/>
  <c r="P137" i="10"/>
  <c r="P135" i="10"/>
  <c r="P101" i="10"/>
  <c r="P103" i="10"/>
  <c r="P102" i="10"/>
  <c r="P104" i="10"/>
  <c r="AA146" i="10"/>
  <c r="AA144" i="10"/>
  <c r="AA147" i="10"/>
  <c r="AA145" i="10"/>
  <c r="K104" i="10"/>
  <c r="K102" i="10"/>
  <c r="K103" i="10"/>
  <c r="K101" i="10"/>
  <c r="N138" i="10"/>
  <c r="N135" i="10"/>
  <c r="N137" i="10"/>
  <c r="N136" i="10"/>
  <c r="N145" i="10"/>
  <c r="N146" i="10"/>
  <c r="N144" i="10"/>
  <c r="N147" i="10"/>
  <c r="U101" i="10"/>
  <c r="U104" i="10"/>
  <c r="U103" i="10"/>
  <c r="U102" i="10"/>
  <c r="AE166" i="10"/>
  <c r="AE167" i="10" s="1"/>
  <c r="AE168" i="10" s="1"/>
  <c r="AE160" i="10" s="1"/>
  <c r="AE31" i="11" s="1"/>
  <c r="AB102" i="10"/>
  <c r="AB103" i="10"/>
  <c r="AB104" i="10"/>
  <c r="AB101" i="10"/>
  <c r="U137" i="10"/>
  <c r="U136" i="10"/>
  <c r="U135" i="10"/>
  <c r="U138" i="10"/>
  <c r="AB145" i="10"/>
  <c r="AB146" i="10"/>
  <c r="AB144" i="10"/>
  <c r="AB147" i="10"/>
  <c r="W102" i="10"/>
  <c r="W103" i="10"/>
  <c r="W101" i="10"/>
  <c r="W104" i="10"/>
  <c r="X110" i="10"/>
  <c r="X109" i="10"/>
  <c r="X112" i="10"/>
  <c r="X111" i="10"/>
  <c r="G74" i="10"/>
  <c r="AJ75" i="10"/>
  <c r="Z135" i="10"/>
  <c r="Z136" i="10"/>
  <c r="Z137" i="10"/>
  <c r="Z138" i="10"/>
  <c r="V146" i="10"/>
  <c r="V147" i="10"/>
  <c r="V144" i="10"/>
  <c r="V145" i="10"/>
  <c r="Y103" i="10"/>
  <c r="Y101" i="10"/>
  <c r="Y104" i="10"/>
  <c r="Y102" i="10"/>
  <c r="X135" i="10"/>
  <c r="X138" i="10"/>
  <c r="X137" i="10"/>
  <c r="X136" i="10"/>
  <c r="G51" i="10"/>
  <c r="L145" i="10"/>
  <c r="L144" i="10"/>
  <c r="L146" i="10"/>
  <c r="L147" i="10"/>
  <c r="I101" i="10"/>
  <c r="I104" i="10"/>
  <c r="I103" i="10"/>
  <c r="I102" i="10"/>
  <c r="AE110" i="10"/>
  <c r="AE111" i="10"/>
  <c r="AE112" i="10"/>
  <c r="AE109" i="10"/>
  <c r="V138" i="10"/>
  <c r="V135" i="10"/>
  <c r="V136" i="10"/>
  <c r="V137" i="10"/>
  <c r="Q137" i="10"/>
  <c r="Q138" i="10"/>
  <c r="Q135" i="10"/>
  <c r="Q136" i="10"/>
  <c r="Z126" i="10"/>
  <c r="Z127" i="10"/>
  <c r="Z128" i="10"/>
  <c r="Z129" i="10"/>
  <c r="P30" i="10"/>
  <c r="Y30" i="10"/>
  <c r="I30" i="10"/>
  <c r="K30" i="10"/>
  <c r="M137" i="10"/>
  <c r="M135" i="10"/>
  <c r="M136" i="10"/>
  <c r="M138" i="10"/>
  <c r="I146" i="10"/>
  <c r="I144" i="10"/>
  <c r="I147" i="10"/>
  <c r="I145" i="10"/>
  <c r="AA101" i="10"/>
  <c r="AA104" i="10"/>
  <c r="AA102" i="10"/>
  <c r="AA103" i="10"/>
  <c r="AA138" i="10"/>
  <c r="AA136" i="10"/>
  <c r="AA137" i="10"/>
  <c r="AA135" i="10"/>
  <c r="G58" i="10"/>
  <c r="Z104" i="10"/>
  <c r="Z102" i="10"/>
  <c r="Z103" i="10"/>
  <c r="Z101" i="10"/>
  <c r="J103" i="10"/>
  <c r="J102" i="10"/>
  <c r="J104" i="10"/>
  <c r="J101" i="10"/>
  <c r="O110" i="10"/>
  <c r="O112" i="10"/>
  <c r="O111" i="10"/>
  <c r="O109" i="10"/>
  <c r="AE137" i="10"/>
  <c r="AE136" i="10"/>
  <c r="AE138" i="10"/>
  <c r="AE135" i="10"/>
  <c r="M129" i="10"/>
  <c r="M127" i="10"/>
  <c r="M128" i="10"/>
  <c r="M126" i="10"/>
  <c r="Z145" i="10"/>
  <c r="Z147" i="10"/>
  <c r="Z144" i="10"/>
  <c r="Z146" i="10"/>
  <c r="Y138" i="10"/>
  <c r="Y137" i="10"/>
  <c r="Y135" i="10"/>
  <c r="Y136" i="10"/>
  <c r="AC136" i="10"/>
  <c r="AC137" i="10"/>
  <c r="AC135" i="10"/>
  <c r="AC138" i="10"/>
  <c r="AE144" i="10"/>
  <c r="AE145" i="10"/>
  <c r="AE146" i="10"/>
  <c r="AE147" i="10"/>
  <c r="K145" i="10"/>
  <c r="K144" i="10"/>
  <c r="K147" i="10"/>
  <c r="K146" i="10"/>
  <c r="O103" i="10"/>
  <c r="O104" i="10"/>
  <c r="O101" i="10"/>
  <c r="O102" i="10"/>
  <c r="T147" i="10"/>
  <c r="T145" i="10"/>
  <c r="T146" i="10"/>
  <c r="T144" i="10"/>
  <c r="I110" i="10"/>
  <c r="I112" i="10"/>
  <c r="I111" i="10"/>
  <c r="I109" i="10"/>
  <c r="Y127" i="10"/>
  <c r="Y126" i="10"/>
  <c r="Y129" i="10"/>
  <c r="Y128" i="10"/>
  <c r="R136" i="10"/>
  <c r="R138" i="10"/>
  <c r="R137" i="10"/>
  <c r="R135" i="10"/>
  <c r="G100" i="10"/>
  <c r="L136" i="10"/>
  <c r="L135" i="10"/>
  <c r="L138" i="10"/>
  <c r="L137" i="10"/>
  <c r="S102" i="10"/>
  <c r="S101" i="10"/>
  <c r="S103" i="10"/>
  <c r="S104" i="10"/>
  <c r="J138" i="10"/>
  <c r="J137" i="10"/>
  <c r="J136" i="10"/>
  <c r="J135" i="10"/>
  <c r="H144" i="10"/>
  <c r="H146" i="10"/>
  <c r="H145" i="10"/>
  <c r="H147" i="10"/>
  <c r="X30" i="10"/>
  <c r="S137" i="10"/>
  <c r="S135" i="10"/>
  <c r="S136" i="10"/>
  <c r="S138" i="10"/>
  <c r="Y145" i="10"/>
  <c r="Y147" i="10"/>
  <c r="Y146" i="10"/>
  <c r="Y144" i="10"/>
  <c r="X146" i="10"/>
  <c r="X145" i="10"/>
  <c r="X144" i="10"/>
  <c r="X147" i="10"/>
  <c r="G83" i="10"/>
  <c r="V103" i="10"/>
  <c r="V104" i="10"/>
  <c r="V101" i="10"/>
  <c r="V102" i="10"/>
  <c r="G108" i="10"/>
  <c r="K135" i="10"/>
  <c r="K138" i="10"/>
  <c r="K137" i="10"/>
  <c r="K136" i="10"/>
  <c r="T137" i="10"/>
  <c r="T136" i="10"/>
  <c r="T138" i="10"/>
  <c r="T135" i="10"/>
  <c r="I175" i="10"/>
  <c r="I176" i="10" s="1"/>
  <c r="I177" i="10" s="1"/>
  <c r="I169" i="10" s="1"/>
  <c r="I33" i="11" s="1"/>
  <c r="W145" i="10"/>
  <c r="W144" i="10"/>
  <c r="W146" i="10"/>
  <c r="W147" i="10"/>
  <c r="AC101" i="10"/>
  <c r="AC104" i="10"/>
  <c r="AC102" i="10"/>
  <c r="AC103" i="10"/>
  <c r="AF166" i="10"/>
  <c r="AF167" i="10" s="1"/>
  <c r="AF168" i="10" s="1"/>
  <c r="AF160" i="10" s="1"/>
  <c r="AF31" i="11" s="1"/>
  <c r="AD137" i="10"/>
  <c r="AD138" i="10"/>
  <c r="AD136" i="10"/>
  <c r="AD135" i="10"/>
  <c r="W135" i="10"/>
  <c r="W137" i="10"/>
  <c r="W138" i="10"/>
  <c r="W136" i="10"/>
  <c r="P144" i="10"/>
  <c r="P145" i="10"/>
  <c r="P147" i="10"/>
  <c r="P146" i="10"/>
  <c r="R147" i="10"/>
  <c r="R144" i="10"/>
  <c r="R145" i="10"/>
  <c r="R146" i="10"/>
  <c r="G71" i="10"/>
  <c r="AJ72" i="10"/>
  <c r="H102" i="10"/>
  <c r="H103" i="10"/>
  <c r="H104" i="10"/>
  <c r="H101" i="10"/>
  <c r="R175" i="10"/>
  <c r="R176" i="10" s="1"/>
  <c r="R177" i="10" s="1"/>
  <c r="R169" i="10" s="1"/>
  <c r="R33" i="11" s="1"/>
  <c r="AE30" i="10"/>
  <c r="U30" i="10"/>
  <c r="AD116" i="10"/>
  <c r="AD120" i="10" s="1"/>
  <c r="H30" i="10"/>
  <c r="V30" i="10"/>
  <c r="N30" i="10"/>
  <c r="Q30" i="10"/>
  <c r="K116" i="10"/>
  <c r="K119" i="10" s="1"/>
  <c r="Z30" i="10"/>
  <c r="AA30" i="10"/>
  <c r="X116" i="10"/>
  <c r="X120" i="10" s="1"/>
  <c r="O116" i="10"/>
  <c r="O118" i="10" s="1"/>
  <c r="Y116" i="10"/>
  <c r="Y119" i="10" s="1"/>
  <c r="J30" i="10"/>
  <c r="R30" i="10"/>
  <c r="I116" i="10"/>
  <c r="I117" i="10" s="1"/>
  <c r="S30" i="10"/>
  <c r="T30" i="10"/>
  <c r="W30" i="10"/>
  <c r="AC30" i="10"/>
  <c r="G116" i="10"/>
  <c r="G30" i="10"/>
  <c r="AJ39" i="10"/>
  <c r="P117" i="10"/>
  <c r="P119" i="10"/>
  <c r="P120" i="10"/>
  <c r="P118" i="10"/>
  <c r="AI116" i="10"/>
  <c r="V118" i="10"/>
  <c r="V119" i="10"/>
  <c r="V120" i="10"/>
  <c r="V117" i="10"/>
  <c r="AF118" i="10"/>
  <c r="AF119" i="10"/>
  <c r="AF120" i="10"/>
  <c r="AF117" i="10"/>
  <c r="M119" i="10"/>
  <c r="M117" i="10"/>
  <c r="M118" i="10"/>
  <c r="M120" i="10"/>
  <c r="Q119" i="10"/>
  <c r="Q117" i="10"/>
  <c r="Q118" i="10"/>
  <c r="Q120" i="10"/>
  <c r="R120" i="10"/>
  <c r="R119" i="10"/>
  <c r="R117" i="10"/>
  <c r="R118" i="10"/>
  <c r="AB116" i="10"/>
  <c r="AB30" i="10"/>
  <c r="AA120" i="10"/>
  <c r="AA118" i="10"/>
  <c r="AA117" i="10"/>
  <c r="AA119" i="10"/>
  <c r="AE118" i="10"/>
  <c r="AE119" i="10"/>
  <c r="AE117" i="10"/>
  <c r="AE120" i="10"/>
  <c r="L116" i="10"/>
  <c r="L30" i="10"/>
  <c r="H119" i="10"/>
  <c r="H118" i="10"/>
  <c r="H117" i="10"/>
  <c r="H120" i="10"/>
  <c r="AC117" i="10"/>
  <c r="AC119" i="10"/>
  <c r="AC118" i="10"/>
  <c r="AC120" i="10"/>
  <c r="T119" i="10"/>
  <c r="T120" i="10"/>
  <c r="T118" i="10"/>
  <c r="T117" i="10"/>
  <c r="J119" i="10"/>
  <c r="J120" i="10"/>
  <c r="J118" i="10"/>
  <c r="J117" i="10"/>
  <c r="W118" i="10"/>
  <c r="W119" i="10"/>
  <c r="W120" i="10"/>
  <c r="W117" i="10"/>
  <c r="U118" i="10"/>
  <c r="U120" i="10"/>
  <c r="U117" i="10"/>
  <c r="U119" i="10"/>
  <c r="Z119" i="10"/>
  <c r="Z117" i="10"/>
  <c r="Z118" i="10"/>
  <c r="Z120" i="10"/>
  <c r="N118" i="10"/>
  <c r="N117" i="10"/>
  <c r="N119" i="10"/>
  <c r="N120" i="10"/>
  <c r="S120" i="10"/>
  <c r="S119" i="10"/>
  <c r="S118" i="10"/>
  <c r="S117" i="10"/>
  <c r="AH120" i="10"/>
  <c r="AH117" i="10"/>
  <c r="AH118" i="10"/>
  <c r="AH119" i="10"/>
  <c r="AG120" i="10"/>
  <c r="AG117" i="10"/>
  <c r="AG118" i="10"/>
  <c r="AG119" i="10"/>
  <c r="Z65" i="10"/>
  <c r="Z66" i="10"/>
  <c r="M65" i="10"/>
  <c r="M66" i="10"/>
  <c r="S66" i="10"/>
  <c r="S65" i="10"/>
  <c r="J65" i="10"/>
  <c r="J66" i="10"/>
  <c r="AD65" i="10"/>
  <c r="AD66" i="10"/>
  <c r="AE66" i="10"/>
  <c r="AE65" i="10"/>
  <c r="V65" i="10"/>
  <c r="V66" i="10"/>
  <c r="O65" i="10"/>
  <c r="O66" i="10"/>
  <c r="AH66" i="10"/>
  <c r="AH65" i="10"/>
  <c r="G65" i="10"/>
  <c r="G66" i="10"/>
  <c r="H66" i="10"/>
  <c r="H65" i="10"/>
  <c r="L65" i="10"/>
  <c r="L66" i="10"/>
  <c r="T65" i="10"/>
  <c r="T66" i="10"/>
  <c r="Y66" i="10"/>
  <c r="Y65" i="10"/>
  <c r="N65" i="10"/>
  <c r="N66" i="10"/>
  <c r="AF66" i="10"/>
  <c r="AF65" i="10"/>
  <c r="AA65" i="10"/>
  <c r="AA66" i="10"/>
  <c r="P66" i="10"/>
  <c r="P65" i="10"/>
  <c r="X66" i="10"/>
  <c r="X65" i="10"/>
  <c r="R65" i="10"/>
  <c r="R66" i="10"/>
  <c r="AB65" i="10"/>
  <c r="AB66" i="10"/>
  <c r="I66" i="10"/>
  <c r="I65" i="10"/>
  <c r="K65" i="10"/>
  <c r="K66" i="10"/>
  <c r="Q66" i="10"/>
  <c r="Q65" i="10"/>
  <c r="U65" i="10"/>
  <c r="U66" i="10"/>
  <c r="W66" i="10"/>
  <c r="W65" i="10"/>
  <c r="AC65" i="10"/>
  <c r="AC66" i="10"/>
  <c r="AG65" i="10"/>
  <c r="AG66" i="10"/>
  <c r="AI66" i="10"/>
  <c r="AI65" i="10"/>
  <c r="L26" i="10"/>
  <c r="X26" i="10"/>
  <c r="S28" i="10"/>
  <c r="Y26" i="10"/>
  <c r="AJ72" i="3"/>
  <c r="M26" i="10"/>
  <c r="H128" i="10" l="1"/>
  <c r="H129" i="10"/>
  <c r="H126" i="10"/>
  <c r="AF112" i="10"/>
  <c r="AF111" i="10"/>
  <c r="AF109" i="10"/>
  <c r="J130" i="10"/>
  <c r="J131" i="10" s="1"/>
  <c r="J132" i="10" s="1"/>
  <c r="J124" i="10" s="1"/>
  <c r="J23" i="11" s="1"/>
  <c r="AE130" i="10"/>
  <c r="AE131" i="10" s="1"/>
  <c r="AE132" i="10" s="1"/>
  <c r="AE124" i="10" s="1"/>
  <c r="AE23" i="11" s="1"/>
  <c r="AF101" i="10"/>
  <c r="AF30" i="10"/>
  <c r="AF146" i="10"/>
  <c r="AF18" i="10"/>
  <c r="AF83" i="10" s="1"/>
  <c r="AF84" i="10" s="1"/>
  <c r="AF103" i="10"/>
  <c r="AF104" i="10"/>
  <c r="AI130" i="10"/>
  <c r="AI131" i="10" s="1"/>
  <c r="AF136" i="10"/>
  <c r="AF137" i="10"/>
  <c r="AF138" i="10"/>
  <c r="AF147" i="10"/>
  <c r="AF144" i="10"/>
  <c r="AJ43" i="10"/>
  <c r="AJ44" i="10"/>
  <c r="AC130" i="10"/>
  <c r="AC131" i="10" s="1"/>
  <c r="AC132" i="10" s="1"/>
  <c r="AC124" i="10" s="1"/>
  <c r="AC23" i="11" s="1"/>
  <c r="AA130" i="10"/>
  <c r="AA131" i="10" s="1"/>
  <c r="AA132" i="10" s="1"/>
  <c r="AA124" i="10" s="1"/>
  <c r="AA23" i="11" s="1"/>
  <c r="AG130" i="10"/>
  <c r="AG131" i="10" s="1"/>
  <c r="AG132" i="10" s="1"/>
  <c r="AG124" i="10" s="1"/>
  <c r="AG23" i="11" s="1"/>
  <c r="AH62" i="10"/>
  <c r="AH34" i="10"/>
  <c r="AH54" i="10"/>
  <c r="AH57" i="10"/>
  <c r="AH53" i="10"/>
  <c r="AH23" i="10"/>
  <c r="AH60" i="10"/>
  <c r="AH38" i="10"/>
  <c r="AH35" i="10"/>
  <c r="AH32" i="10"/>
  <c r="AH20" i="10"/>
  <c r="AH37" i="10"/>
  <c r="AH55" i="10"/>
  <c r="AH33" i="10"/>
  <c r="AH61" i="10"/>
  <c r="AG59" i="10"/>
  <c r="AG52" i="10"/>
  <c r="AG36" i="10"/>
  <c r="AG26" i="10"/>
  <c r="AG21" i="10"/>
  <c r="AG31" i="10"/>
  <c r="AG22" i="10"/>
  <c r="AG19" i="10"/>
  <c r="AG28" i="10"/>
  <c r="V130" i="10"/>
  <c r="V131" i="10" s="1"/>
  <c r="V132" i="10" s="1"/>
  <c r="V124" i="10" s="1"/>
  <c r="V23" i="11" s="1"/>
  <c r="Q130" i="10"/>
  <c r="Q131" i="10" s="1"/>
  <c r="Q132" i="10" s="1"/>
  <c r="Q124" i="10" s="1"/>
  <c r="Q23" i="11" s="1"/>
  <c r="T130" i="10"/>
  <c r="T131" i="10" s="1"/>
  <c r="T132" i="10" s="1"/>
  <c r="T124" i="10" s="1"/>
  <c r="T23" i="11" s="1"/>
  <c r="I130" i="10"/>
  <c r="I131" i="10" s="1"/>
  <c r="I132" i="10" s="1"/>
  <c r="I124" i="10" s="1"/>
  <c r="I23" i="11" s="1"/>
  <c r="AF130" i="10"/>
  <c r="AF131" i="10" s="1"/>
  <c r="AF132" i="10" s="1"/>
  <c r="AF124" i="10" s="1"/>
  <c r="AF23" i="11" s="1"/>
  <c r="N130" i="10"/>
  <c r="N131" i="10" s="1"/>
  <c r="N132" i="10" s="1"/>
  <c r="N124" i="10" s="1"/>
  <c r="N23" i="11" s="1"/>
  <c r="P130" i="10"/>
  <c r="P131" i="10" s="1"/>
  <c r="P132" i="10" s="1"/>
  <c r="P124" i="10" s="1"/>
  <c r="P23" i="11" s="1"/>
  <c r="AB130" i="10"/>
  <c r="AB131" i="10" s="1"/>
  <c r="AB132" i="10" s="1"/>
  <c r="AB124" i="10" s="1"/>
  <c r="AB23" i="11" s="1"/>
  <c r="O130" i="10"/>
  <c r="O131" i="10" s="1"/>
  <c r="O132" i="10" s="1"/>
  <c r="O124" i="10" s="1"/>
  <c r="O23" i="11" s="1"/>
  <c r="AH130" i="10"/>
  <c r="AH131" i="10" s="1"/>
  <c r="AH132" i="10" s="1"/>
  <c r="AH124" i="10" s="1"/>
  <c r="AH23" i="11" s="1"/>
  <c r="U87" i="10"/>
  <c r="U85" i="10"/>
  <c r="U84" i="10"/>
  <c r="T85" i="10"/>
  <c r="T84" i="10"/>
  <c r="T87" i="10"/>
  <c r="L84" i="10"/>
  <c r="J86" i="10"/>
  <c r="AE84" i="10"/>
  <c r="Y87" i="10"/>
  <c r="Y86" i="10"/>
  <c r="AA87" i="10"/>
  <c r="AA86" i="10"/>
  <c r="AA84" i="10"/>
  <c r="Y84" i="10"/>
  <c r="M84" i="10"/>
  <c r="AE85" i="10"/>
  <c r="AE86" i="10"/>
  <c r="Z86" i="10"/>
  <c r="AC86" i="10"/>
  <c r="L87" i="10"/>
  <c r="Z84" i="10"/>
  <c r="Z87" i="10"/>
  <c r="J87" i="10"/>
  <c r="J84" i="10"/>
  <c r="K85" i="10"/>
  <c r="I85" i="10"/>
  <c r="L85" i="10"/>
  <c r="N85" i="10"/>
  <c r="N86" i="10"/>
  <c r="M87" i="10"/>
  <c r="M85" i="10"/>
  <c r="U113" i="10"/>
  <c r="U114" i="10" s="1"/>
  <c r="U115" i="10" s="1"/>
  <c r="AD84" i="10"/>
  <c r="V84" i="10"/>
  <c r="Q86" i="10"/>
  <c r="S113" i="10"/>
  <c r="S114" i="10" s="1"/>
  <c r="S115" i="10" s="1"/>
  <c r="L105" i="10"/>
  <c r="L106" i="10" s="1"/>
  <c r="L107" i="10" s="1"/>
  <c r="P85" i="10"/>
  <c r="I86" i="10"/>
  <c r="I87" i="10"/>
  <c r="S87" i="10"/>
  <c r="J113" i="10"/>
  <c r="J114" i="10" s="1"/>
  <c r="J115" i="10" s="1"/>
  <c r="AC113" i="10"/>
  <c r="AC114" i="10" s="1"/>
  <c r="AC115" i="10" s="1"/>
  <c r="S86" i="10"/>
  <c r="L113" i="10"/>
  <c r="L114" i="10" s="1"/>
  <c r="L115" i="10" s="1"/>
  <c r="S85" i="10"/>
  <c r="N113" i="10"/>
  <c r="N114" i="10" s="1"/>
  <c r="N115" i="10" s="1"/>
  <c r="AC85" i="10"/>
  <c r="AC84" i="10"/>
  <c r="K113" i="10"/>
  <c r="K114" i="10" s="1"/>
  <c r="K115" i="10" s="1"/>
  <c r="X85" i="10"/>
  <c r="X87" i="10"/>
  <c r="P87" i="10"/>
  <c r="AD86" i="10"/>
  <c r="X86" i="10"/>
  <c r="AD87" i="10"/>
  <c r="V86" i="10"/>
  <c r="Q85" i="10"/>
  <c r="V87" i="10"/>
  <c r="N84" i="10"/>
  <c r="Q84" i="10"/>
  <c r="P86" i="10"/>
  <c r="AA113" i="10"/>
  <c r="AA114" i="10" s="1"/>
  <c r="AA115" i="10" s="1"/>
  <c r="AD113" i="10"/>
  <c r="AD114" i="10" s="1"/>
  <c r="AD115" i="10" s="1"/>
  <c r="J148" i="10"/>
  <c r="J149" i="10" s="1"/>
  <c r="J150" i="10" s="1"/>
  <c r="J142" i="10" s="1"/>
  <c r="J27" i="11" s="1"/>
  <c r="H139" i="10"/>
  <c r="H140" i="10" s="1"/>
  <c r="K86" i="10"/>
  <c r="K84" i="10"/>
  <c r="Z113" i="10"/>
  <c r="Z114" i="10" s="1"/>
  <c r="Z115" i="10" s="1"/>
  <c r="R87" i="10"/>
  <c r="R84" i="10"/>
  <c r="AC148" i="10"/>
  <c r="AC149" i="10" s="1"/>
  <c r="AC150" i="10" s="1"/>
  <c r="AC142" i="10" s="1"/>
  <c r="AC27" i="11" s="1"/>
  <c r="R85" i="10"/>
  <c r="H86" i="10"/>
  <c r="R113" i="10"/>
  <c r="R114" i="10" s="1"/>
  <c r="R115" i="10" s="1"/>
  <c r="U148" i="10"/>
  <c r="U149" i="10" s="1"/>
  <c r="U150" i="10" s="1"/>
  <c r="U142" i="10" s="1"/>
  <c r="U27" i="11" s="1"/>
  <c r="H85" i="10"/>
  <c r="H84" i="10"/>
  <c r="P113" i="10"/>
  <c r="P114" i="10" s="1"/>
  <c r="P115" i="10" s="1"/>
  <c r="W86" i="10"/>
  <c r="W87" i="10"/>
  <c r="O87" i="10"/>
  <c r="R105" i="10"/>
  <c r="R106" i="10" s="1"/>
  <c r="R107" i="10" s="1"/>
  <c r="W84" i="10"/>
  <c r="O84" i="10"/>
  <c r="W113" i="10"/>
  <c r="W114" i="10" s="1"/>
  <c r="W115" i="10" s="1"/>
  <c r="M148" i="10"/>
  <c r="M149" i="10" s="1"/>
  <c r="M150" i="10" s="1"/>
  <c r="M142" i="10" s="1"/>
  <c r="M27" i="11" s="1"/>
  <c r="T113" i="10"/>
  <c r="T114" i="10" s="1"/>
  <c r="T115" i="10" s="1"/>
  <c r="AE105" i="10"/>
  <c r="AE106" i="10" s="1"/>
  <c r="AE107" i="10" s="1"/>
  <c r="O85" i="10"/>
  <c r="V113" i="10"/>
  <c r="V114" i="10" s="1"/>
  <c r="V115" i="10" s="1"/>
  <c r="M113" i="10"/>
  <c r="M114" i="10" s="1"/>
  <c r="M115" i="10" s="1"/>
  <c r="T105" i="10"/>
  <c r="T106" i="10" s="1"/>
  <c r="T107" i="10" s="1"/>
  <c r="Q148" i="10"/>
  <c r="Q149" i="10" s="1"/>
  <c r="Q150" i="10" s="1"/>
  <c r="Q142" i="10" s="1"/>
  <c r="Q27" i="11" s="1"/>
  <c r="AB113" i="10"/>
  <c r="AB114" i="10" s="1"/>
  <c r="AB115" i="10" s="1"/>
  <c r="Q113" i="10"/>
  <c r="Q114" i="10" s="1"/>
  <c r="Q115" i="10" s="1"/>
  <c r="AD130" i="10"/>
  <c r="AD131" i="10" s="1"/>
  <c r="AD132" i="10" s="1"/>
  <c r="AD124" i="10" s="1"/>
  <c r="AD23" i="11" s="1"/>
  <c r="AD105" i="10"/>
  <c r="AD106" i="10" s="1"/>
  <c r="AD107" i="10" s="1"/>
  <c r="Q105" i="10"/>
  <c r="Q106" i="10" s="1"/>
  <c r="Q107" i="10" s="1"/>
  <c r="M105" i="10"/>
  <c r="M106" i="10" s="1"/>
  <c r="M107" i="10" s="1"/>
  <c r="AD148" i="10"/>
  <c r="AD149" i="10" s="1"/>
  <c r="AD150" i="10" s="1"/>
  <c r="AD142" i="10" s="1"/>
  <c r="AD27" i="11" s="1"/>
  <c r="K130" i="10"/>
  <c r="K131" i="10" s="1"/>
  <c r="K132" i="10" s="1"/>
  <c r="K124" i="10" s="1"/>
  <c r="K23" i="11" s="1"/>
  <c r="Y113" i="10"/>
  <c r="Y114" i="10" s="1"/>
  <c r="Y115" i="10" s="1"/>
  <c r="X130" i="10"/>
  <c r="X131" i="10" s="1"/>
  <c r="X132" i="10" s="1"/>
  <c r="X124" i="10" s="1"/>
  <c r="X23" i="11" s="1"/>
  <c r="O148" i="10"/>
  <c r="O149" i="10" s="1"/>
  <c r="O150" i="10" s="1"/>
  <c r="O142" i="10" s="1"/>
  <c r="O27" i="11" s="1"/>
  <c r="W130" i="10"/>
  <c r="W131" i="10" s="1"/>
  <c r="W132" i="10" s="1"/>
  <c r="W124" i="10" s="1"/>
  <c r="W23" i="11" s="1"/>
  <c r="S130" i="10"/>
  <c r="S131" i="10" s="1"/>
  <c r="S132" i="10" s="1"/>
  <c r="S124" i="10" s="1"/>
  <c r="S23" i="11" s="1"/>
  <c r="U130" i="10"/>
  <c r="U131" i="10" s="1"/>
  <c r="U132" i="10" s="1"/>
  <c r="U124" i="10" s="1"/>
  <c r="U23" i="11" s="1"/>
  <c r="N105" i="10"/>
  <c r="N106" i="10" s="1"/>
  <c r="N107" i="10" s="1"/>
  <c r="AB85" i="10"/>
  <c r="AB86" i="10"/>
  <c r="AB84" i="10"/>
  <c r="AB87" i="10"/>
  <c r="O139" i="10"/>
  <c r="O140" i="10" s="1"/>
  <c r="O141" i="10" s="1"/>
  <c r="O133" i="10" s="1"/>
  <c r="O25" i="11" s="1"/>
  <c r="Y105" i="10"/>
  <c r="Y106" i="10" s="1"/>
  <c r="Y107" i="10" s="1"/>
  <c r="L130" i="10"/>
  <c r="L131" i="10" s="1"/>
  <c r="L132" i="10" s="1"/>
  <c r="L124" i="10" s="1"/>
  <c r="L23" i="11" s="1"/>
  <c r="H113" i="10"/>
  <c r="H114" i="10" s="1"/>
  <c r="H115" i="10" s="1"/>
  <c r="AB139" i="10"/>
  <c r="AB140" i="10" s="1"/>
  <c r="AB141" i="10" s="1"/>
  <c r="AB133" i="10" s="1"/>
  <c r="AB25" i="11" s="1"/>
  <c r="U139" i="10"/>
  <c r="U140" i="10" s="1"/>
  <c r="U141" i="10" s="1"/>
  <c r="U133" i="10" s="1"/>
  <c r="U25" i="11" s="1"/>
  <c r="I105" i="10"/>
  <c r="I106" i="10" s="1"/>
  <c r="I107" i="10" s="1"/>
  <c r="W105" i="10"/>
  <c r="W106" i="10" s="1"/>
  <c r="W107" i="10" s="1"/>
  <c r="R130" i="10"/>
  <c r="R131" i="10" s="1"/>
  <c r="R132" i="10" s="1"/>
  <c r="R124" i="10" s="1"/>
  <c r="R23" i="11" s="1"/>
  <c r="T148" i="10"/>
  <c r="T149" i="10" s="1"/>
  <c r="T150" i="10" s="1"/>
  <c r="T142" i="10" s="1"/>
  <c r="T27" i="11" s="1"/>
  <c r="Z105" i="10"/>
  <c r="Z106" i="10" s="1"/>
  <c r="Z107" i="10" s="1"/>
  <c r="L139" i="10"/>
  <c r="L140" i="10" s="1"/>
  <c r="L141" i="10" s="1"/>
  <c r="L133" i="10" s="1"/>
  <c r="L25" i="11" s="1"/>
  <c r="R139" i="10"/>
  <c r="R140" i="10" s="1"/>
  <c r="R141" i="10" s="1"/>
  <c r="R133" i="10" s="1"/>
  <c r="R25" i="11" s="1"/>
  <c r="I139" i="10"/>
  <c r="I140" i="10" s="1"/>
  <c r="I141" i="10" s="1"/>
  <c r="I133" i="10" s="1"/>
  <c r="I25" i="11" s="1"/>
  <c r="AE148" i="10"/>
  <c r="AE149" i="10" s="1"/>
  <c r="AE150" i="10" s="1"/>
  <c r="AE142" i="10" s="1"/>
  <c r="AE27" i="11" s="1"/>
  <c r="Z148" i="10"/>
  <c r="Z149" i="10" s="1"/>
  <c r="Z150" i="10" s="1"/>
  <c r="Z142" i="10" s="1"/>
  <c r="Z27" i="11" s="1"/>
  <c r="S148" i="10"/>
  <c r="S149" i="10" s="1"/>
  <c r="S150" i="10" s="1"/>
  <c r="S142" i="10" s="1"/>
  <c r="S27" i="11" s="1"/>
  <c r="AB148" i="10"/>
  <c r="AB149" i="10" s="1"/>
  <c r="AB150" i="10" s="1"/>
  <c r="AB142" i="10" s="1"/>
  <c r="AB27" i="11" s="1"/>
  <c r="AD117" i="10"/>
  <c r="Y130" i="10"/>
  <c r="Y131" i="10" s="1"/>
  <c r="Y132" i="10" s="1"/>
  <c r="Y124" i="10" s="1"/>
  <c r="Y23" i="11" s="1"/>
  <c r="P139" i="10"/>
  <c r="P140" i="10" s="1"/>
  <c r="P141" i="10" s="1"/>
  <c r="P133" i="10" s="1"/>
  <c r="P25" i="11" s="1"/>
  <c r="P148" i="10"/>
  <c r="P149" i="10" s="1"/>
  <c r="P150" i="10" s="1"/>
  <c r="P142" i="10" s="1"/>
  <c r="P27" i="11" s="1"/>
  <c r="Y148" i="10"/>
  <c r="Y149" i="10" s="1"/>
  <c r="Y150" i="10" s="1"/>
  <c r="Y142" i="10" s="1"/>
  <c r="Y27" i="11" s="1"/>
  <c r="N139" i="10"/>
  <c r="N140" i="10" s="1"/>
  <c r="N141" i="10" s="1"/>
  <c r="N133" i="10" s="1"/>
  <c r="N25" i="11" s="1"/>
  <c r="AA139" i="10"/>
  <c r="AA140" i="10" s="1"/>
  <c r="AA141" i="10" s="1"/>
  <c r="AA133" i="10" s="1"/>
  <c r="AA25" i="11" s="1"/>
  <c r="S139" i="10"/>
  <c r="S140" i="10" s="1"/>
  <c r="S141" i="10" s="1"/>
  <c r="S133" i="10" s="1"/>
  <c r="S25" i="11" s="1"/>
  <c r="K139" i="10"/>
  <c r="K140" i="10" s="1"/>
  <c r="K141" i="10" s="1"/>
  <c r="K133" i="10" s="1"/>
  <c r="K25" i="11" s="1"/>
  <c r="K148" i="10"/>
  <c r="K149" i="10" s="1"/>
  <c r="K150" i="10" s="1"/>
  <c r="K142" i="10" s="1"/>
  <c r="K27" i="11" s="1"/>
  <c r="L148" i="10"/>
  <c r="L149" i="10" s="1"/>
  <c r="L150" i="10" s="1"/>
  <c r="L142" i="10" s="1"/>
  <c r="L27" i="11" s="1"/>
  <c r="Z139" i="10"/>
  <c r="Z140" i="10" s="1"/>
  <c r="Z141" i="10" s="1"/>
  <c r="Z133" i="10" s="1"/>
  <c r="Z25" i="11" s="1"/>
  <c r="N148" i="10"/>
  <c r="N149" i="10" s="1"/>
  <c r="N150" i="10" s="1"/>
  <c r="N142" i="10" s="1"/>
  <c r="N27" i="11" s="1"/>
  <c r="K105" i="10"/>
  <c r="K106" i="10" s="1"/>
  <c r="K107" i="10" s="1"/>
  <c r="P105" i="10"/>
  <c r="P106" i="10" s="1"/>
  <c r="P107" i="10" s="1"/>
  <c r="X105" i="10"/>
  <c r="X106" i="10" s="1"/>
  <c r="X107" i="10" s="1"/>
  <c r="Y139" i="10"/>
  <c r="Y140" i="10" s="1"/>
  <c r="Y141" i="10" s="1"/>
  <c r="Y133" i="10" s="1"/>
  <c r="Y25" i="11" s="1"/>
  <c r="O105" i="10"/>
  <c r="O106" i="10" s="1"/>
  <c r="O107" i="10" s="1"/>
  <c r="AC105" i="10"/>
  <c r="AC106" i="10" s="1"/>
  <c r="AC107" i="10" s="1"/>
  <c r="X148" i="10"/>
  <c r="X149" i="10" s="1"/>
  <c r="X150" i="10" s="1"/>
  <c r="X142" i="10" s="1"/>
  <c r="X27" i="11" s="1"/>
  <c r="J139" i="10"/>
  <c r="J140" i="10" s="1"/>
  <c r="J141" i="10" s="1"/>
  <c r="J133" i="10" s="1"/>
  <c r="J25" i="11" s="1"/>
  <c r="AE139" i="10"/>
  <c r="AE140" i="10" s="1"/>
  <c r="AE141" i="10" s="1"/>
  <c r="AE133" i="10" s="1"/>
  <c r="AE25" i="11" s="1"/>
  <c r="AA148" i="10"/>
  <c r="AA149" i="10" s="1"/>
  <c r="AA150" i="10" s="1"/>
  <c r="AA142" i="10" s="1"/>
  <c r="AA27" i="11" s="1"/>
  <c r="W139" i="10"/>
  <c r="W140" i="10" s="1"/>
  <c r="W141" i="10" s="1"/>
  <c r="W133" i="10" s="1"/>
  <c r="W25" i="11" s="1"/>
  <c r="T139" i="10"/>
  <c r="T140" i="10" s="1"/>
  <c r="T141" i="10" s="1"/>
  <c r="T133" i="10" s="1"/>
  <c r="T25" i="11" s="1"/>
  <c r="Z130" i="10"/>
  <c r="Z131" i="10" s="1"/>
  <c r="Z132" i="10" s="1"/>
  <c r="Z124" i="10" s="1"/>
  <c r="Z23" i="11" s="1"/>
  <c r="I148" i="10"/>
  <c r="I149" i="10" s="1"/>
  <c r="I150" i="10" s="1"/>
  <c r="I142" i="10" s="1"/>
  <c r="I27" i="11" s="1"/>
  <c r="X139" i="10"/>
  <c r="X140" i="10" s="1"/>
  <c r="X141" i="10" s="1"/>
  <c r="X133" i="10" s="1"/>
  <c r="X25" i="11" s="1"/>
  <c r="V139" i="10"/>
  <c r="V140" i="10" s="1"/>
  <c r="V141" i="10" s="1"/>
  <c r="V133" i="10" s="1"/>
  <c r="V25" i="11" s="1"/>
  <c r="V148" i="10"/>
  <c r="V149" i="10" s="1"/>
  <c r="V150" i="10" s="1"/>
  <c r="V142" i="10" s="1"/>
  <c r="V27" i="11" s="1"/>
  <c r="R148" i="10"/>
  <c r="R149" i="10" s="1"/>
  <c r="R150" i="10" s="1"/>
  <c r="R142" i="10" s="1"/>
  <c r="R27" i="11" s="1"/>
  <c r="AD139" i="10"/>
  <c r="AD140" i="10" s="1"/>
  <c r="AD141" i="10" s="1"/>
  <c r="AD133" i="10" s="1"/>
  <c r="AD25" i="11" s="1"/>
  <c r="M139" i="10"/>
  <c r="M140" i="10" s="1"/>
  <c r="M141" i="10" s="1"/>
  <c r="M133" i="10" s="1"/>
  <c r="M25" i="11" s="1"/>
  <c r="Q139" i="10"/>
  <c r="Q140" i="10" s="1"/>
  <c r="Q141" i="10" s="1"/>
  <c r="Q133" i="10" s="1"/>
  <c r="Q25" i="11" s="1"/>
  <c r="AC139" i="10"/>
  <c r="AC140" i="10" s="1"/>
  <c r="AC141" i="10" s="1"/>
  <c r="AC133" i="10" s="1"/>
  <c r="AC25" i="11" s="1"/>
  <c r="J105" i="10"/>
  <c r="J106" i="10" s="1"/>
  <c r="J107" i="10" s="1"/>
  <c r="W148" i="10"/>
  <c r="W149" i="10" s="1"/>
  <c r="W150" i="10" s="1"/>
  <c r="W142" i="10" s="1"/>
  <c r="W27" i="11" s="1"/>
  <c r="K117" i="10"/>
  <c r="K118" i="10"/>
  <c r="K120" i="10"/>
  <c r="V105" i="10"/>
  <c r="V106" i="10" s="1"/>
  <c r="V107" i="10" s="1"/>
  <c r="AA105" i="10"/>
  <c r="AA106" i="10" s="1"/>
  <c r="AA107" i="10" s="1"/>
  <c r="AB105" i="10"/>
  <c r="AB106" i="10" s="1"/>
  <c r="AB107" i="10" s="1"/>
  <c r="O113" i="10"/>
  <c r="O114" i="10" s="1"/>
  <c r="O115" i="10" s="1"/>
  <c r="S105" i="10"/>
  <c r="S106" i="10" s="1"/>
  <c r="S107" i="10" s="1"/>
  <c r="U105" i="10"/>
  <c r="U106" i="10" s="1"/>
  <c r="U107" i="10" s="1"/>
  <c r="I113" i="10"/>
  <c r="I114" i="10" s="1"/>
  <c r="I115" i="10" s="1"/>
  <c r="AE113" i="10"/>
  <c r="AE114" i="10" s="1"/>
  <c r="AE115" i="10" s="1"/>
  <c r="X113" i="10"/>
  <c r="X114" i="10" s="1"/>
  <c r="X115" i="10" s="1"/>
  <c r="G143" i="10"/>
  <c r="AD118" i="10"/>
  <c r="G109" i="10"/>
  <c r="G112" i="10"/>
  <c r="G110" i="10"/>
  <c r="G111" i="10"/>
  <c r="X117" i="10"/>
  <c r="G103" i="10"/>
  <c r="G104" i="10"/>
  <c r="G101" i="10"/>
  <c r="G102" i="10"/>
  <c r="M130" i="10"/>
  <c r="M131" i="10" s="1"/>
  <c r="M132" i="10" s="1"/>
  <c r="M124" i="10" s="1"/>
  <c r="M23" i="11" s="1"/>
  <c r="G161" i="10"/>
  <c r="AJ71" i="10"/>
  <c r="H105" i="10"/>
  <c r="H106" i="10" s="1"/>
  <c r="G134" i="10"/>
  <c r="G85" i="10"/>
  <c r="G86" i="10"/>
  <c r="G84" i="10"/>
  <c r="G87" i="10"/>
  <c r="G170" i="10"/>
  <c r="AJ74" i="10"/>
  <c r="H148" i="10"/>
  <c r="H149" i="10" s="1"/>
  <c r="W64" i="10"/>
  <c r="W63" i="10" s="1"/>
  <c r="W152" i="10" s="1"/>
  <c r="W153" i="10" s="1"/>
  <c r="Y64" i="10"/>
  <c r="Y63" i="10" s="1"/>
  <c r="Y152" i="10" s="1"/>
  <c r="Y156" i="10" s="1"/>
  <c r="Q64" i="10"/>
  <c r="Q63" i="10" s="1"/>
  <c r="Q152" i="10" s="1"/>
  <c r="Q154" i="10" s="1"/>
  <c r="P64" i="10"/>
  <c r="P63" i="10" s="1"/>
  <c r="P152" i="10" s="1"/>
  <c r="P156" i="10" s="1"/>
  <c r="AE64" i="10"/>
  <c r="AE63" i="10" s="1"/>
  <c r="AE152" i="10" s="1"/>
  <c r="AE156" i="10" s="1"/>
  <c r="AH64" i="10"/>
  <c r="AH63" i="10" s="1"/>
  <c r="AH152" i="10" s="1"/>
  <c r="AH154" i="10" s="1"/>
  <c r="X118" i="10"/>
  <c r="X119" i="10"/>
  <c r="AD119" i="10"/>
  <c r="O119" i="10"/>
  <c r="V121" i="10"/>
  <c r="V122" i="10" s="1"/>
  <c r="Y117" i="10"/>
  <c r="O117" i="10"/>
  <c r="I120" i="10"/>
  <c r="Y120" i="10"/>
  <c r="O120" i="10"/>
  <c r="I119" i="10"/>
  <c r="Y118" i="10"/>
  <c r="I118" i="10"/>
  <c r="G126" i="10"/>
  <c r="AJ126" i="10" s="1"/>
  <c r="AJ125" i="10"/>
  <c r="G128" i="10"/>
  <c r="G129" i="10"/>
  <c r="G127" i="10"/>
  <c r="AJ127" i="10" s="1"/>
  <c r="S64" i="10"/>
  <c r="S63" i="10" s="1"/>
  <c r="S152" i="10" s="1"/>
  <c r="S156" i="10" s="1"/>
  <c r="X64" i="10"/>
  <c r="X63" i="10" s="1"/>
  <c r="X152" i="10" s="1"/>
  <c r="X155" i="10" s="1"/>
  <c r="AG64" i="10"/>
  <c r="AG63" i="10" s="1"/>
  <c r="AG152" i="10" s="1"/>
  <c r="AG153" i="10" s="1"/>
  <c r="J64" i="10"/>
  <c r="J63" i="10" s="1"/>
  <c r="J152" i="10" s="1"/>
  <c r="J153" i="10" s="1"/>
  <c r="H64" i="10"/>
  <c r="H63" i="10" s="1"/>
  <c r="H152" i="10" s="1"/>
  <c r="H153" i="10" s="1"/>
  <c r="AD64" i="10"/>
  <c r="AD63" i="10" s="1"/>
  <c r="AD152" i="10" s="1"/>
  <c r="AD153" i="10" s="1"/>
  <c r="AB64" i="10"/>
  <c r="AB63" i="10" s="1"/>
  <c r="AB152" i="10" s="1"/>
  <c r="N64" i="10"/>
  <c r="N63" i="10" s="1"/>
  <c r="N152" i="10" s="1"/>
  <c r="R64" i="10"/>
  <c r="R63" i="10" s="1"/>
  <c r="R152" i="10" s="1"/>
  <c r="O64" i="10"/>
  <c r="O63" i="10" s="1"/>
  <c r="O152" i="10" s="1"/>
  <c r="M64" i="10"/>
  <c r="M63" i="10" s="1"/>
  <c r="M152" i="10" s="1"/>
  <c r="G64" i="10"/>
  <c r="AJ65" i="10"/>
  <c r="U64" i="10"/>
  <c r="U63" i="10" s="1"/>
  <c r="U152" i="10" s="1"/>
  <c r="T64" i="10"/>
  <c r="T63" i="10" s="1"/>
  <c r="T152" i="10" s="1"/>
  <c r="V64" i="10"/>
  <c r="V63" i="10" s="1"/>
  <c r="V152" i="10" s="1"/>
  <c r="Z64" i="10"/>
  <c r="Z63" i="10" s="1"/>
  <c r="Z152" i="10" s="1"/>
  <c r="L64" i="10"/>
  <c r="L63" i="10" s="1"/>
  <c r="L152" i="10" s="1"/>
  <c r="K64" i="10"/>
  <c r="K63" i="10" s="1"/>
  <c r="K152" i="10" s="1"/>
  <c r="AA64" i="10"/>
  <c r="AA63" i="10" s="1"/>
  <c r="AA152" i="10" s="1"/>
  <c r="AC64" i="10"/>
  <c r="AC63" i="10" s="1"/>
  <c r="AC152" i="10" s="1"/>
  <c r="I64" i="10"/>
  <c r="I63" i="10" s="1"/>
  <c r="I152" i="10" s="1"/>
  <c r="AF64" i="10"/>
  <c r="AF63" i="10" s="1"/>
  <c r="AF152" i="10" s="1"/>
  <c r="AJ66" i="10"/>
  <c r="R121" i="10"/>
  <c r="R122" i="10" s="1"/>
  <c r="AH121" i="10"/>
  <c r="AH122" i="10" s="1"/>
  <c r="S121" i="10"/>
  <c r="S122" i="10" s="1"/>
  <c r="H121" i="10"/>
  <c r="H122" i="10" s="1"/>
  <c r="M121" i="10"/>
  <c r="M122" i="10" s="1"/>
  <c r="P121" i="10"/>
  <c r="P122" i="10" s="1"/>
  <c r="Q121" i="10"/>
  <c r="AF121" i="10"/>
  <c r="AF122" i="10" s="1"/>
  <c r="Z121" i="10"/>
  <c r="Z122" i="10" s="1"/>
  <c r="W121" i="10"/>
  <c r="W122" i="10" s="1"/>
  <c r="T121" i="10"/>
  <c r="AE121" i="10"/>
  <c r="AE122" i="10" s="1"/>
  <c r="AG121" i="10"/>
  <c r="N121" i="10"/>
  <c r="N122" i="10" s="1"/>
  <c r="U121" i="10"/>
  <c r="U122" i="10" s="1"/>
  <c r="J121" i="10"/>
  <c r="J122" i="10" s="1"/>
  <c r="AC121" i="10"/>
  <c r="AC122" i="10" s="1"/>
  <c r="AA121" i="10"/>
  <c r="AA122" i="10" s="1"/>
  <c r="AI118" i="10"/>
  <c r="AI119" i="10"/>
  <c r="AI120" i="10"/>
  <c r="AI117" i="10"/>
  <c r="L119" i="10"/>
  <c r="L117" i="10"/>
  <c r="L118" i="10"/>
  <c r="L120" i="10"/>
  <c r="AB117" i="10"/>
  <c r="AB118" i="10"/>
  <c r="AB119" i="10"/>
  <c r="AB120" i="10"/>
  <c r="G120" i="10"/>
  <c r="G118" i="10"/>
  <c r="G117" i="10"/>
  <c r="G119" i="10"/>
  <c r="AJ116" i="10"/>
  <c r="AJ68" i="3"/>
  <c r="AJ67" i="3"/>
  <c r="K28" i="10"/>
  <c r="K26" i="10"/>
  <c r="G28" i="10"/>
  <c r="G29" i="10"/>
  <c r="G26" i="10"/>
  <c r="J29" i="10"/>
  <c r="J28" i="10"/>
  <c r="J26" i="10"/>
  <c r="I28" i="10"/>
  <c r="I29" i="10"/>
  <c r="I26" i="10"/>
  <c r="H28" i="10"/>
  <c r="H26" i="10"/>
  <c r="AJ25" i="3"/>
  <c r="N28" i="10"/>
  <c r="R28" i="10"/>
  <c r="X28" i="10"/>
  <c r="L28" i="10"/>
  <c r="T29" i="10"/>
  <c r="AC26" i="10"/>
  <c r="X29" i="10"/>
  <c r="P28" i="10"/>
  <c r="AC28" i="10"/>
  <c r="R26" i="10"/>
  <c r="AC29" i="10"/>
  <c r="Q29" i="10"/>
  <c r="S26" i="10"/>
  <c r="AD28" i="10"/>
  <c r="O26" i="10"/>
  <c r="Q26" i="10"/>
  <c r="AB29" i="10"/>
  <c r="Z28" i="10"/>
  <c r="AB28" i="10"/>
  <c r="T26" i="10"/>
  <c r="T28" i="10"/>
  <c r="N26" i="10"/>
  <c r="AF28" i="10"/>
  <c r="Y28" i="10"/>
  <c r="AF26" i="10"/>
  <c r="Y29" i="10"/>
  <c r="AB26" i="10"/>
  <c r="AD26" i="10"/>
  <c r="M29" i="10"/>
  <c r="Z26" i="10"/>
  <c r="M28" i="10"/>
  <c r="AD29" i="10"/>
  <c r="O28" i="10"/>
  <c r="Q28" i="10"/>
  <c r="P26" i="10"/>
  <c r="P29" i="10"/>
  <c r="AE28" i="10"/>
  <c r="AE26" i="10"/>
  <c r="W26" i="10"/>
  <c r="W28" i="10"/>
  <c r="AA28" i="10"/>
  <c r="AA26" i="10"/>
  <c r="V26" i="10"/>
  <c r="V28" i="10"/>
  <c r="U28" i="10"/>
  <c r="U26" i="10"/>
  <c r="AJ128" i="10" l="1"/>
  <c r="AJ129" i="10"/>
  <c r="H130" i="10"/>
  <c r="H131" i="10" s="1"/>
  <c r="H132" i="10" s="1"/>
  <c r="H124" i="10" s="1"/>
  <c r="H23" i="11" s="1"/>
  <c r="AF113" i="10"/>
  <c r="AF114" i="10" s="1"/>
  <c r="AF115" i="10" s="1"/>
  <c r="AF87" i="10"/>
  <c r="AF105" i="10"/>
  <c r="AF106" i="10" s="1"/>
  <c r="AF107" i="10" s="1"/>
  <c r="AI132" i="10"/>
  <c r="AI124" i="10" s="1"/>
  <c r="AI23" i="11" s="1"/>
  <c r="AF85" i="10"/>
  <c r="AF86" i="10"/>
  <c r="AF148" i="10"/>
  <c r="AF149" i="10" s="1"/>
  <c r="AF150" i="10" s="1"/>
  <c r="AF142" i="10" s="1"/>
  <c r="AF27" i="11" s="1"/>
  <c r="AF139" i="10"/>
  <c r="AF140" i="10" s="1"/>
  <c r="AF141" i="10" s="1"/>
  <c r="AF133" i="10" s="1"/>
  <c r="AF25" i="11" s="1"/>
  <c r="AH59" i="10"/>
  <c r="AH58" i="10" s="1"/>
  <c r="AH143" i="10" s="1"/>
  <c r="AH144" i="10" s="1"/>
  <c r="AI68" i="10"/>
  <c r="AJ70" i="3"/>
  <c r="AH52" i="10"/>
  <c r="AH51" i="10" s="1"/>
  <c r="AH134" i="10" s="1"/>
  <c r="AH36" i="10"/>
  <c r="AH108" i="10" s="1"/>
  <c r="AH29" i="10"/>
  <c r="AH22" i="10"/>
  <c r="AI69" i="10"/>
  <c r="AJ69" i="10" s="1"/>
  <c r="AJ71" i="3"/>
  <c r="AH31" i="10"/>
  <c r="AH19" i="10"/>
  <c r="AH28" i="10"/>
  <c r="AH26" i="10"/>
  <c r="AH21" i="10"/>
  <c r="AG18" i="10"/>
  <c r="AG108" i="10"/>
  <c r="AG51" i="10"/>
  <c r="AG100" i="10"/>
  <c r="AG30" i="10"/>
  <c r="AG58" i="10"/>
  <c r="U88" i="10"/>
  <c r="U89" i="10" s="1"/>
  <c r="U90" i="10" s="1"/>
  <c r="T88" i="10"/>
  <c r="T89" i="10" s="1"/>
  <c r="T90" i="10" s="1"/>
  <c r="AE88" i="10"/>
  <c r="AE89" i="10" s="1"/>
  <c r="AE90" i="10" s="1"/>
  <c r="AA88" i="10"/>
  <c r="AA89" i="10" s="1"/>
  <c r="AA90" i="10" s="1"/>
  <c r="Y88" i="10"/>
  <c r="Y89" i="10" s="1"/>
  <c r="Y90" i="10" s="1"/>
  <c r="J88" i="10"/>
  <c r="J89" i="10" s="1"/>
  <c r="J90" i="10" s="1"/>
  <c r="L88" i="10"/>
  <c r="L89" i="10" s="1"/>
  <c r="L90" i="10" s="1"/>
  <c r="M88" i="10"/>
  <c r="M89" i="10" s="1"/>
  <c r="M90" i="10" s="1"/>
  <c r="Z88" i="10"/>
  <c r="Z89" i="10" s="1"/>
  <c r="Z90" i="10" s="1"/>
  <c r="N88" i="10"/>
  <c r="N89" i="10" s="1"/>
  <c r="N90" i="10" s="1"/>
  <c r="V88" i="10"/>
  <c r="V89" i="10" s="1"/>
  <c r="V90" i="10" s="1"/>
  <c r="K88" i="10"/>
  <c r="K89" i="10" s="1"/>
  <c r="K90" i="10" s="1"/>
  <c r="I88" i="10"/>
  <c r="I89" i="10" s="1"/>
  <c r="I90" i="10" s="1"/>
  <c r="AC88" i="10"/>
  <c r="AC89" i="10" s="1"/>
  <c r="AC90" i="10" s="1"/>
  <c r="Q88" i="10"/>
  <c r="Q89" i="10" s="1"/>
  <c r="Q90" i="10" s="1"/>
  <c r="S88" i="10"/>
  <c r="S89" i="10" s="1"/>
  <c r="S90" i="10" s="1"/>
  <c r="R88" i="10"/>
  <c r="R89" i="10" s="1"/>
  <c r="R90" i="10" s="1"/>
  <c r="X88" i="10"/>
  <c r="X89" i="10" s="1"/>
  <c r="X90" i="10" s="1"/>
  <c r="AD88" i="10"/>
  <c r="AD89" i="10" s="1"/>
  <c r="AD90" i="10" s="1"/>
  <c r="P88" i="10"/>
  <c r="P89" i="10" s="1"/>
  <c r="P90" i="10" s="1"/>
  <c r="H88" i="10"/>
  <c r="H89" i="10" s="1"/>
  <c r="H90" i="10" s="1"/>
  <c r="W88" i="10"/>
  <c r="W89" i="10" s="1"/>
  <c r="W90" i="10" s="1"/>
  <c r="O88" i="10"/>
  <c r="O89" i="10" s="1"/>
  <c r="O90" i="10" s="1"/>
  <c r="AD121" i="10"/>
  <c r="AD122" i="10" s="1"/>
  <c r="AB88" i="10"/>
  <c r="AB89" i="10" s="1"/>
  <c r="AB90" i="10" s="1"/>
  <c r="H150" i="10"/>
  <c r="H142" i="10" s="1"/>
  <c r="H27" i="11" s="1"/>
  <c r="K121" i="10"/>
  <c r="K122" i="10" s="1"/>
  <c r="G105" i="10"/>
  <c r="G106" i="10" s="1"/>
  <c r="G113" i="10"/>
  <c r="G114" i="10" s="1"/>
  <c r="X121" i="10"/>
  <c r="X122" i="10" s="1"/>
  <c r="H107" i="10"/>
  <c r="G88" i="10"/>
  <c r="G89" i="10" s="1"/>
  <c r="G90" i="10" s="1"/>
  <c r="G147" i="10"/>
  <c r="G144" i="10"/>
  <c r="G145" i="10"/>
  <c r="G146" i="10"/>
  <c r="Y121" i="10"/>
  <c r="Y122" i="10" s="1"/>
  <c r="G137" i="10"/>
  <c r="G135" i="10"/>
  <c r="G138" i="10"/>
  <c r="G136" i="10"/>
  <c r="G173" i="10"/>
  <c r="AJ173" i="10" s="1"/>
  <c r="G171" i="10"/>
  <c r="AJ171" i="10" s="1"/>
  <c r="G174" i="10"/>
  <c r="AJ174" i="10" s="1"/>
  <c r="G172" i="10"/>
  <c r="AJ172" i="10" s="1"/>
  <c r="AJ170" i="10"/>
  <c r="G163" i="10"/>
  <c r="AJ163" i="10" s="1"/>
  <c r="G164" i="10"/>
  <c r="AJ164" i="10" s="1"/>
  <c r="G162" i="10"/>
  <c r="AJ162" i="10" s="1"/>
  <c r="G165" i="10"/>
  <c r="AJ165" i="10" s="1"/>
  <c r="AJ161" i="10"/>
  <c r="Y155" i="10"/>
  <c r="Y153" i="10"/>
  <c r="W154" i="10"/>
  <c r="W156" i="10"/>
  <c r="W155" i="10"/>
  <c r="AE154" i="10"/>
  <c r="Y154" i="10"/>
  <c r="P154" i="10"/>
  <c r="P153" i="10"/>
  <c r="P155" i="10"/>
  <c r="AE155" i="10"/>
  <c r="AE153" i="10"/>
  <c r="Q155" i="10"/>
  <c r="Q153" i="10"/>
  <c r="Q156" i="10"/>
  <c r="AH156" i="10"/>
  <c r="AH153" i="10"/>
  <c r="AH155" i="10"/>
  <c r="I121" i="10"/>
  <c r="I122" i="10" s="1"/>
  <c r="O121" i="10"/>
  <c r="O122" i="10" s="1"/>
  <c r="G130" i="10"/>
  <c r="G131" i="10" s="1"/>
  <c r="S155" i="10"/>
  <c r="S153" i="10"/>
  <c r="S154" i="10"/>
  <c r="X156" i="10"/>
  <c r="X153" i="10"/>
  <c r="X154" i="10"/>
  <c r="J154" i="10"/>
  <c r="J155" i="10"/>
  <c r="J156" i="10"/>
  <c r="H155" i="10"/>
  <c r="AD156" i="10"/>
  <c r="AD154" i="10"/>
  <c r="H156" i="10"/>
  <c r="AD155" i="10"/>
  <c r="H154" i="10"/>
  <c r="AG154" i="10"/>
  <c r="AG156" i="10"/>
  <c r="AG155" i="10"/>
  <c r="Z155" i="10"/>
  <c r="Z154" i="10"/>
  <c r="Z153" i="10"/>
  <c r="Z156" i="10"/>
  <c r="L155" i="10"/>
  <c r="L153" i="10"/>
  <c r="L154" i="10"/>
  <c r="L156" i="10"/>
  <c r="V154" i="10"/>
  <c r="V153" i="10"/>
  <c r="V156" i="10"/>
  <c r="V155" i="10"/>
  <c r="AF156" i="10"/>
  <c r="AF154" i="10"/>
  <c r="AF155" i="10"/>
  <c r="AF153" i="10"/>
  <c r="T155" i="10"/>
  <c r="T154" i="10"/>
  <c r="T153" i="10"/>
  <c r="T156" i="10"/>
  <c r="U154" i="10"/>
  <c r="U153" i="10"/>
  <c r="U156" i="10"/>
  <c r="U155" i="10"/>
  <c r="K155" i="10"/>
  <c r="K156" i="10"/>
  <c r="K153" i="10"/>
  <c r="K154" i="10"/>
  <c r="M155" i="10"/>
  <c r="M156" i="10"/>
  <c r="M154" i="10"/>
  <c r="M153" i="10"/>
  <c r="G63" i="10"/>
  <c r="O154" i="10"/>
  <c r="O155" i="10"/>
  <c r="O153" i="10"/>
  <c r="O156" i="10"/>
  <c r="I156" i="10"/>
  <c r="I154" i="10"/>
  <c r="I153" i="10"/>
  <c r="I155" i="10"/>
  <c r="R153" i="10"/>
  <c r="R154" i="10"/>
  <c r="R155" i="10"/>
  <c r="R156" i="10"/>
  <c r="AA153" i="10"/>
  <c r="AA156" i="10"/>
  <c r="AA154" i="10"/>
  <c r="AA155" i="10"/>
  <c r="N155" i="10"/>
  <c r="N156" i="10"/>
  <c r="N154" i="10"/>
  <c r="N153" i="10"/>
  <c r="AB154" i="10"/>
  <c r="AB153" i="10"/>
  <c r="AB155" i="10"/>
  <c r="AB156" i="10"/>
  <c r="AC155" i="10"/>
  <c r="AC154" i="10"/>
  <c r="AC156" i="10"/>
  <c r="AC153" i="10"/>
  <c r="H141" i="10"/>
  <c r="AG122" i="10"/>
  <c r="AG123" i="10" s="1"/>
  <c r="G121" i="10"/>
  <c r="G122" i="10" s="1"/>
  <c r="Q122" i="10"/>
  <c r="T122" i="10"/>
  <c r="T123" i="10" s="1"/>
  <c r="AB121" i="10"/>
  <c r="AB122" i="10" s="1"/>
  <c r="L121" i="10"/>
  <c r="AI121" i="10"/>
  <c r="AI122" i="10" s="1"/>
  <c r="AJ120" i="10"/>
  <c r="U123" i="10"/>
  <c r="R123" i="10"/>
  <c r="S123" i="10"/>
  <c r="V123" i="10"/>
  <c r="AH123" i="10"/>
  <c r="N123" i="10"/>
  <c r="P123" i="10"/>
  <c r="AF123" i="10"/>
  <c r="AJ119" i="10"/>
  <c r="AC123" i="10"/>
  <c r="W123" i="10"/>
  <c r="AJ117" i="10"/>
  <c r="AJ118" i="10"/>
  <c r="J123" i="10"/>
  <c r="M123" i="10"/>
  <c r="AE123" i="10"/>
  <c r="H123" i="10"/>
  <c r="Z123" i="10"/>
  <c r="AA123" i="10"/>
  <c r="J25" i="10"/>
  <c r="X25" i="10"/>
  <c r="R29" i="10"/>
  <c r="R25" i="10" s="1"/>
  <c r="T25" i="10"/>
  <c r="Q25" i="10"/>
  <c r="L29" i="10"/>
  <c r="L25" i="10" s="1"/>
  <c r="H29" i="10"/>
  <c r="AG29" i="10"/>
  <c r="AG25" i="10" s="1"/>
  <c r="AB25" i="10"/>
  <c r="AD25" i="10"/>
  <c r="AC25" i="10"/>
  <c r="Y25" i="10"/>
  <c r="S29" i="10"/>
  <c r="S25" i="10" s="1"/>
  <c r="N29" i="10"/>
  <c r="N25" i="10" s="1"/>
  <c r="O29" i="10"/>
  <c r="O25" i="10" s="1"/>
  <c r="AF29" i="10"/>
  <c r="AF25" i="10" s="1"/>
  <c r="Z29" i="10"/>
  <c r="Z25" i="10" s="1"/>
  <c r="I25" i="10"/>
  <c r="G25" i="10"/>
  <c r="M25" i="10"/>
  <c r="P25" i="10"/>
  <c r="AA29" i="10"/>
  <c r="AE29" i="10"/>
  <c r="U29" i="10"/>
  <c r="W29" i="10"/>
  <c r="K29" i="10"/>
  <c r="V29" i="10"/>
  <c r="AD123" i="10" l="1"/>
  <c r="AD99" i="10" s="1"/>
  <c r="AD21" i="11" s="1"/>
  <c r="AF88" i="10"/>
  <c r="AF89" i="10" s="1"/>
  <c r="AF90" i="10" s="1"/>
  <c r="AH147" i="10"/>
  <c r="AH146" i="10"/>
  <c r="AH145" i="10"/>
  <c r="AH25" i="10"/>
  <c r="AH91" i="10" s="1"/>
  <c r="AH109" i="10"/>
  <c r="AH111" i="10"/>
  <c r="AH112" i="10"/>
  <c r="AH110" i="10"/>
  <c r="AH135" i="10"/>
  <c r="AH136" i="10"/>
  <c r="AH138" i="10"/>
  <c r="AH137" i="10"/>
  <c r="AJ68" i="10"/>
  <c r="AI64" i="10"/>
  <c r="AH18" i="10"/>
  <c r="AH83" i="10" s="1"/>
  <c r="AH100" i="10"/>
  <c r="AH30" i="10"/>
  <c r="AG101" i="10"/>
  <c r="AG102" i="10"/>
  <c r="AG104" i="10"/>
  <c r="AG103" i="10"/>
  <c r="AG134" i="10"/>
  <c r="AG143" i="10"/>
  <c r="AG111" i="10"/>
  <c r="AG112" i="10"/>
  <c r="AG109" i="10"/>
  <c r="AG110" i="10"/>
  <c r="AG83" i="10"/>
  <c r="X123" i="10"/>
  <c r="X99" i="10" s="1"/>
  <c r="X21" i="11" s="1"/>
  <c r="G115" i="10"/>
  <c r="K123" i="10"/>
  <c r="K99" i="10" s="1"/>
  <c r="K21" i="11" s="1"/>
  <c r="G107" i="10"/>
  <c r="G166" i="10"/>
  <c r="G175" i="10"/>
  <c r="Y123" i="10"/>
  <c r="Y99" i="10" s="1"/>
  <c r="Y21" i="11" s="1"/>
  <c r="G139" i="10"/>
  <c r="G148" i="10"/>
  <c r="Y157" i="10"/>
  <c r="Y158" i="10" s="1"/>
  <c r="Y159" i="10" s="1"/>
  <c r="Y151" i="10" s="1"/>
  <c r="Y29" i="11" s="1"/>
  <c r="W157" i="10"/>
  <c r="W158" i="10" s="1"/>
  <c r="W159" i="10" s="1"/>
  <c r="W151" i="10" s="1"/>
  <c r="W29" i="11" s="1"/>
  <c r="P157" i="10"/>
  <c r="P158" i="10" s="1"/>
  <c r="P159" i="10" s="1"/>
  <c r="P151" i="10" s="1"/>
  <c r="P29" i="11" s="1"/>
  <c r="Q157" i="10"/>
  <c r="Q158" i="10" s="1"/>
  <c r="Q159" i="10" s="1"/>
  <c r="Q151" i="10" s="1"/>
  <c r="Q29" i="11" s="1"/>
  <c r="AH157" i="10"/>
  <c r="AH158" i="10" s="1"/>
  <c r="AH159" i="10" s="1"/>
  <c r="AH151" i="10" s="1"/>
  <c r="AH29" i="11" s="1"/>
  <c r="AE157" i="10"/>
  <c r="AE158" i="10" s="1"/>
  <c r="AE159" i="10" s="1"/>
  <c r="AE151" i="10" s="1"/>
  <c r="AE29" i="11" s="1"/>
  <c r="O123" i="10"/>
  <c r="O99" i="10" s="1"/>
  <c r="O21" i="11" s="1"/>
  <c r="AJ130" i="10"/>
  <c r="AJ131" i="10"/>
  <c r="G132" i="10"/>
  <c r="AJ132" i="10" s="1"/>
  <c r="AJ124" i="10" s="1"/>
  <c r="D22" i="11" s="1"/>
  <c r="AJ121" i="10"/>
  <c r="S157" i="10"/>
  <c r="S158" i="10" s="1"/>
  <c r="S159" i="10" s="1"/>
  <c r="S151" i="10" s="1"/>
  <c r="S29" i="11" s="1"/>
  <c r="X157" i="10"/>
  <c r="X158" i="10" s="1"/>
  <c r="X159" i="10" s="1"/>
  <c r="X151" i="10" s="1"/>
  <c r="X29" i="11" s="1"/>
  <c r="J157" i="10"/>
  <c r="J158" i="10" s="1"/>
  <c r="J159" i="10" s="1"/>
  <c r="J151" i="10" s="1"/>
  <c r="J29" i="11" s="1"/>
  <c r="H157" i="10"/>
  <c r="H158" i="10" s="1"/>
  <c r="H187" i="10" s="1"/>
  <c r="AG157" i="10"/>
  <c r="AG158" i="10" s="1"/>
  <c r="Z157" i="10"/>
  <c r="Z158" i="10" s="1"/>
  <c r="Z187" i="10" s="1"/>
  <c r="AD157" i="10"/>
  <c r="AD158" i="10" s="1"/>
  <c r="R157" i="10"/>
  <c r="R158" i="10" s="1"/>
  <c r="R187" i="10" s="1"/>
  <c r="AF157" i="10"/>
  <c r="AF158" i="10" s="1"/>
  <c r="AF159" i="10" s="1"/>
  <c r="AF151" i="10" s="1"/>
  <c r="AF29" i="11" s="1"/>
  <c r="L157" i="10"/>
  <c r="L158" i="10" s="1"/>
  <c r="L159" i="10" s="1"/>
  <c r="L151" i="10" s="1"/>
  <c r="L29" i="11" s="1"/>
  <c r="AC157" i="10"/>
  <c r="AC158" i="10" s="1"/>
  <c r="AC187" i="10" s="1"/>
  <c r="I157" i="10"/>
  <c r="I158" i="10" s="1"/>
  <c r="I159" i="10" s="1"/>
  <c r="I151" i="10" s="1"/>
  <c r="I29" i="11" s="1"/>
  <c r="K157" i="10"/>
  <c r="K158" i="10" s="1"/>
  <c r="K159" i="10" s="1"/>
  <c r="K151" i="10" s="1"/>
  <c r="K29" i="11" s="1"/>
  <c r="AA157" i="10"/>
  <c r="AA158" i="10" s="1"/>
  <c r="AA187" i="10" s="1"/>
  <c r="O157" i="10"/>
  <c r="O158" i="10" s="1"/>
  <c r="O187" i="10" s="1"/>
  <c r="AB157" i="10"/>
  <c r="AB158" i="10" s="1"/>
  <c r="AB159" i="10" s="1"/>
  <c r="AB151" i="10" s="1"/>
  <c r="AB29" i="11" s="1"/>
  <c r="AE25" i="10"/>
  <c r="AE91" i="10" s="1"/>
  <c r="U157" i="10"/>
  <c r="U158" i="10" s="1"/>
  <c r="U187" i="10" s="1"/>
  <c r="V25" i="10"/>
  <c r="V17" i="10" s="1"/>
  <c r="V78" i="10" s="1"/>
  <c r="AA25" i="10"/>
  <c r="AA17" i="10" s="1"/>
  <c r="AA78" i="10" s="1"/>
  <c r="T157" i="10"/>
  <c r="T158" i="10" s="1"/>
  <c r="T159" i="10" s="1"/>
  <c r="T151" i="10" s="1"/>
  <c r="T29" i="11" s="1"/>
  <c r="N157" i="10"/>
  <c r="N158" i="10" s="1"/>
  <c r="N187" i="10" s="1"/>
  <c r="M157" i="10"/>
  <c r="M158" i="10" s="1"/>
  <c r="M187" i="10" s="1"/>
  <c r="U25" i="10"/>
  <c r="U91" i="10" s="1"/>
  <c r="G152" i="10"/>
  <c r="K25" i="10"/>
  <c r="K91" i="10" s="1"/>
  <c r="V157" i="10"/>
  <c r="V158" i="10" s="1"/>
  <c r="W25" i="10"/>
  <c r="W91" i="10" s="1"/>
  <c r="O91" i="10"/>
  <c r="O17" i="10"/>
  <c r="O78" i="10" s="1"/>
  <c r="P91" i="10"/>
  <c r="P17" i="10"/>
  <c r="P78" i="10" s="1"/>
  <c r="S91" i="10"/>
  <c r="S17" i="10"/>
  <c r="S78" i="10" s="1"/>
  <c r="M91" i="10"/>
  <c r="M17" i="10"/>
  <c r="M78" i="10" s="1"/>
  <c r="R91" i="10"/>
  <c r="R17" i="10"/>
  <c r="R78" i="10" s="1"/>
  <c r="T91" i="10"/>
  <c r="T17" i="10"/>
  <c r="T78" i="10" s="1"/>
  <c r="X91" i="10"/>
  <c r="X17" i="10"/>
  <c r="X78" i="10" s="1"/>
  <c r="AD91" i="10"/>
  <c r="AD17" i="10"/>
  <c r="AD78" i="10" s="1"/>
  <c r="I91" i="10"/>
  <c r="I17" i="10"/>
  <c r="I78" i="10" s="1"/>
  <c r="G91" i="10"/>
  <c r="G17" i="10"/>
  <c r="AG91" i="10"/>
  <c r="AG17" i="10"/>
  <c r="AG78" i="10" s="1"/>
  <c r="Z91" i="10"/>
  <c r="Z17" i="10"/>
  <c r="Z78" i="10" s="1"/>
  <c r="L91" i="10"/>
  <c r="L17" i="10"/>
  <c r="L78" i="10" s="1"/>
  <c r="J91" i="10"/>
  <c r="J17" i="10"/>
  <c r="J78" i="10" s="1"/>
  <c r="AF91" i="10"/>
  <c r="AF17" i="10"/>
  <c r="AF78" i="10" s="1"/>
  <c r="Q91" i="10"/>
  <c r="Q17" i="10"/>
  <c r="Q78" i="10" s="1"/>
  <c r="H25" i="10"/>
  <c r="N91" i="10"/>
  <c r="N17" i="10"/>
  <c r="N78" i="10" s="1"/>
  <c r="H133" i="10"/>
  <c r="H25" i="11" s="1"/>
  <c r="AB91" i="10"/>
  <c r="AB17" i="10"/>
  <c r="AB78" i="10" s="1"/>
  <c r="Y91" i="10"/>
  <c r="Y17" i="10"/>
  <c r="Y78" i="10" s="1"/>
  <c r="AC91" i="10"/>
  <c r="AC17" i="10"/>
  <c r="AC78" i="10" s="1"/>
  <c r="Q123" i="10"/>
  <c r="L122" i="10"/>
  <c r="L123" i="10" s="1"/>
  <c r="AE99" i="10"/>
  <c r="AE21" i="11" s="1"/>
  <c r="W99" i="10"/>
  <c r="W21" i="11" s="1"/>
  <c r="T99" i="10"/>
  <c r="T21" i="11" s="1"/>
  <c r="N99" i="10"/>
  <c r="N21" i="11" s="1"/>
  <c r="M99" i="10"/>
  <c r="M21" i="11" s="1"/>
  <c r="S99" i="10"/>
  <c r="S21" i="11" s="1"/>
  <c r="J99" i="10"/>
  <c r="J21" i="11" s="1"/>
  <c r="AC99" i="10"/>
  <c r="AC21" i="11" s="1"/>
  <c r="I123" i="10"/>
  <c r="R99" i="10"/>
  <c r="R21" i="11" s="1"/>
  <c r="AA99" i="10"/>
  <c r="AA21" i="11" s="1"/>
  <c r="P99" i="10"/>
  <c r="P21" i="11" s="1"/>
  <c r="V99" i="10"/>
  <c r="V21" i="11" s="1"/>
  <c r="U99" i="10"/>
  <c r="U21" i="11" s="1"/>
  <c r="Z99" i="10"/>
  <c r="Z21" i="11" s="1"/>
  <c r="H99" i="10"/>
  <c r="H21" i="11" s="1"/>
  <c r="AF99" i="10"/>
  <c r="AF21" i="11" s="1"/>
  <c r="AB123" i="10"/>
  <c r="AI123" i="10"/>
  <c r="G123" i="10"/>
  <c r="AH17" i="10" l="1"/>
  <c r="AH78" i="10" s="1"/>
  <c r="AH113" i="10"/>
  <c r="AH114" i="10" s="1"/>
  <c r="AH115" i="10" s="1"/>
  <c r="AH148" i="10"/>
  <c r="AH149" i="10" s="1"/>
  <c r="AH150" i="10" s="1"/>
  <c r="AH142" i="10" s="1"/>
  <c r="AH27" i="11" s="1"/>
  <c r="AH139" i="10"/>
  <c r="AH140" i="10" s="1"/>
  <c r="AH141" i="10" s="1"/>
  <c r="AH133" i="10" s="1"/>
  <c r="AH25" i="11" s="1"/>
  <c r="AG105" i="10"/>
  <c r="AG106" i="10" s="1"/>
  <c r="AG107" i="10" s="1"/>
  <c r="AG113" i="10"/>
  <c r="AG114" i="10" s="1"/>
  <c r="AG115" i="10" s="1"/>
  <c r="AI63" i="10"/>
  <c r="AJ64" i="10"/>
  <c r="AH101" i="10"/>
  <c r="AH103" i="10"/>
  <c r="AH104" i="10"/>
  <c r="AH102" i="10"/>
  <c r="AH84" i="10"/>
  <c r="AH85" i="10"/>
  <c r="AH86" i="10"/>
  <c r="AH87" i="10"/>
  <c r="AG138" i="10"/>
  <c r="AG135" i="10"/>
  <c r="AG136" i="10"/>
  <c r="AG137" i="10"/>
  <c r="AG85" i="10"/>
  <c r="AG84" i="10"/>
  <c r="AG86" i="10"/>
  <c r="AG87" i="10"/>
  <c r="AG147" i="10"/>
  <c r="AG145" i="10"/>
  <c r="AG146" i="10"/>
  <c r="AG144" i="10"/>
  <c r="AE187" i="10"/>
  <c r="G124" i="10"/>
  <c r="G23" i="11" s="1"/>
  <c r="AJ23" i="11" s="1"/>
  <c r="G140" i="10"/>
  <c r="G176" i="10"/>
  <c r="AJ175" i="10"/>
  <c r="G149" i="10"/>
  <c r="G167" i="10"/>
  <c r="AJ166" i="10"/>
  <c r="Y187" i="10"/>
  <c r="W187" i="10"/>
  <c r="P187" i="10"/>
  <c r="Q187" i="10"/>
  <c r="F22" i="11"/>
  <c r="L22" i="11"/>
  <c r="Y22" i="11"/>
  <c r="P22" i="11"/>
  <c r="X22" i="11"/>
  <c r="R22" i="11"/>
  <c r="Z22" i="11"/>
  <c r="S22" i="11"/>
  <c r="K22" i="11"/>
  <c r="M22" i="11"/>
  <c r="AB22" i="11"/>
  <c r="AD22" i="11"/>
  <c r="N22" i="11"/>
  <c r="AE22" i="11"/>
  <c r="J22" i="11"/>
  <c r="AH22" i="11"/>
  <c r="U22" i="11"/>
  <c r="I22" i="11"/>
  <c r="AA22" i="11"/>
  <c r="AG22" i="11"/>
  <c r="O22" i="11"/>
  <c r="AC22" i="11"/>
  <c r="AF22" i="11"/>
  <c r="W22" i="11"/>
  <c r="H22" i="11"/>
  <c r="Q22" i="11"/>
  <c r="V22" i="11"/>
  <c r="AI22" i="11"/>
  <c r="T22" i="11"/>
  <c r="S187" i="10"/>
  <c r="J187" i="10"/>
  <c r="X187" i="10"/>
  <c r="AG159" i="10"/>
  <c r="AG151" i="10" s="1"/>
  <c r="AG29" i="11" s="1"/>
  <c r="AB187" i="10"/>
  <c r="Z159" i="10"/>
  <c r="Z151" i="10" s="1"/>
  <c r="Z29" i="11" s="1"/>
  <c r="I187" i="10"/>
  <c r="U159" i="10"/>
  <c r="U151" i="10" s="1"/>
  <c r="U29" i="11" s="1"/>
  <c r="AC159" i="10"/>
  <c r="AC151" i="10" s="1"/>
  <c r="AC29" i="11" s="1"/>
  <c r="H159" i="10"/>
  <c r="H151" i="10" s="1"/>
  <c r="H29" i="11" s="1"/>
  <c r="AD159" i="10"/>
  <c r="AD151" i="10" s="1"/>
  <c r="AD29" i="11" s="1"/>
  <c r="AD187" i="10"/>
  <c r="AF187" i="10"/>
  <c r="R159" i="10"/>
  <c r="R151" i="10" s="1"/>
  <c r="R29" i="11" s="1"/>
  <c r="U17" i="10"/>
  <c r="U78" i="10" s="1"/>
  <c r="O159" i="10"/>
  <c r="O151" i="10" s="1"/>
  <c r="O29" i="11" s="1"/>
  <c r="AA159" i="10"/>
  <c r="AA151" i="10" s="1"/>
  <c r="AA29" i="11" s="1"/>
  <c r="M159" i="10"/>
  <c r="M151" i="10" s="1"/>
  <c r="M29" i="11" s="1"/>
  <c r="V91" i="10"/>
  <c r="V95" i="10" s="1"/>
  <c r="V184" i="10" s="1"/>
  <c r="K187" i="10"/>
  <c r="L187" i="10"/>
  <c r="AE17" i="10"/>
  <c r="AE78" i="10" s="1"/>
  <c r="K17" i="10"/>
  <c r="K78" i="10" s="1"/>
  <c r="T187" i="10"/>
  <c r="AA91" i="10"/>
  <c r="AA92" i="10" s="1"/>
  <c r="AA181" i="10" s="1"/>
  <c r="N159" i="10"/>
  <c r="N151" i="10" s="1"/>
  <c r="N29" i="11" s="1"/>
  <c r="G156" i="10"/>
  <c r="G153" i="10"/>
  <c r="G155" i="10"/>
  <c r="G154" i="10"/>
  <c r="V159" i="10"/>
  <c r="V151" i="10" s="1"/>
  <c r="V29" i="11" s="1"/>
  <c r="V187" i="10"/>
  <c r="W17" i="10"/>
  <c r="W78" i="10" s="1"/>
  <c r="AD93" i="10"/>
  <c r="AD182" i="10" s="1"/>
  <c r="AD92" i="10"/>
  <c r="AD181" i="10" s="1"/>
  <c r="AD95" i="10"/>
  <c r="AD184" i="10" s="1"/>
  <c r="AD94" i="10"/>
  <c r="AD183" i="10" s="1"/>
  <c r="AD180" i="10"/>
  <c r="R93" i="10"/>
  <c r="R182" i="10" s="1"/>
  <c r="R92" i="10"/>
  <c r="R181" i="10" s="1"/>
  <c r="R95" i="10"/>
  <c r="R184" i="10" s="1"/>
  <c r="R94" i="10"/>
  <c r="R183" i="10" s="1"/>
  <c r="R180" i="10"/>
  <c r="Y95" i="10"/>
  <c r="Y184" i="10" s="1"/>
  <c r="Y93" i="10"/>
  <c r="Y182" i="10" s="1"/>
  <c r="Y94" i="10"/>
  <c r="Y183" i="10" s="1"/>
  <c r="Y92" i="10"/>
  <c r="Y181" i="10" s="1"/>
  <c r="Y180" i="10"/>
  <c r="AF94" i="10"/>
  <c r="AF183" i="10" s="1"/>
  <c r="AF93" i="10"/>
  <c r="AF182" i="10" s="1"/>
  <c r="AF92" i="10"/>
  <c r="AF181" i="10" s="1"/>
  <c r="AF95" i="10"/>
  <c r="AF184" i="10" s="1"/>
  <c r="AF180" i="10"/>
  <c r="AG94" i="10"/>
  <c r="AG93" i="10"/>
  <c r="AG92" i="10"/>
  <c r="AG95" i="10"/>
  <c r="AG180" i="10"/>
  <c r="G78" i="10"/>
  <c r="AH93" i="10"/>
  <c r="AH92" i="10"/>
  <c r="AH94" i="10"/>
  <c r="AH95" i="10"/>
  <c r="AH180" i="10"/>
  <c r="M92" i="10"/>
  <c r="M181" i="10" s="1"/>
  <c r="M95" i="10"/>
  <c r="M184" i="10" s="1"/>
  <c r="M94" i="10"/>
  <c r="M183" i="10" s="1"/>
  <c r="M93" i="10"/>
  <c r="M182" i="10" s="1"/>
  <c r="M180" i="10"/>
  <c r="AB94" i="10"/>
  <c r="AB183" i="10" s="1"/>
  <c r="AB95" i="10"/>
  <c r="AB184" i="10" s="1"/>
  <c r="AB92" i="10"/>
  <c r="AB181" i="10" s="1"/>
  <c r="AB93" i="10"/>
  <c r="AB182" i="10" s="1"/>
  <c r="AB180" i="10"/>
  <c r="K95" i="10"/>
  <c r="K184" i="10" s="1"/>
  <c r="K94" i="10"/>
  <c r="K183" i="10" s="1"/>
  <c r="K92" i="10"/>
  <c r="K181" i="10" s="1"/>
  <c r="K93" i="10"/>
  <c r="K182" i="10" s="1"/>
  <c r="K180" i="10"/>
  <c r="Q93" i="10"/>
  <c r="Q182" i="10" s="1"/>
  <c r="Q94" i="10"/>
  <c r="Q183" i="10" s="1"/>
  <c r="Q92" i="10"/>
  <c r="Q181" i="10" s="1"/>
  <c r="Q95" i="10"/>
  <c r="Q184" i="10" s="1"/>
  <c r="Q180" i="10"/>
  <c r="G93" i="10"/>
  <c r="G94" i="10"/>
  <c r="G92" i="10"/>
  <c r="G95" i="10"/>
  <c r="G180" i="10"/>
  <c r="U92" i="10"/>
  <c r="U181" i="10" s="1"/>
  <c r="U94" i="10"/>
  <c r="U183" i="10" s="1"/>
  <c r="U95" i="10"/>
  <c r="U184" i="10" s="1"/>
  <c r="U93" i="10"/>
  <c r="U182" i="10" s="1"/>
  <c r="U180" i="10"/>
  <c r="S93" i="10"/>
  <c r="S182" i="10" s="1"/>
  <c r="S95" i="10"/>
  <c r="S184" i="10" s="1"/>
  <c r="S94" i="10"/>
  <c r="S183" i="10" s="1"/>
  <c r="S92" i="10"/>
  <c r="S181" i="10" s="1"/>
  <c r="S180" i="10"/>
  <c r="AC92" i="10"/>
  <c r="AC181" i="10" s="1"/>
  <c r="AC95" i="10"/>
  <c r="AC184" i="10" s="1"/>
  <c r="AC93" i="10"/>
  <c r="AC182" i="10" s="1"/>
  <c r="AC94" i="10"/>
  <c r="AC183" i="10" s="1"/>
  <c r="AC180" i="10"/>
  <c r="AE94" i="10"/>
  <c r="AE183" i="10" s="1"/>
  <c r="AE93" i="10"/>
  <c r="AE182" i="10" s="1"/>
  <c r="AE95" i="10"/>
  <c r="AE184" i="10" s="1"/>
  <c r="AE92" i="10"/>
  <c r="AE181" i="10" s="1"/>
  <c r="AE180" i="10"/>
  <c r="X92" i="10"/>
  <c r="X181" i="10" s="1"/>
  <c r="X95" i="10"/>
  <c r="X184" i="10" s="1"/>
  <c r="X94" i="10"/>
  <c r="X183" i="10" s="1"/>
  <c r="X93" i="10"/>
  <c r="X182" i="10" s="1"/>
  <c r="X180" i="10"/>
  <c r="P92" i="10"/>
  <c r="P181" i="10" s="1"/>
  <c r="P94" i="10"/>
  <c r="P183" i="10" s="1"/>
  <c r="P93" i="10"/>
  <c r="P182" i="10" s="1"/>
  <c r="P95" i="10"/>
  <c r="P184" i="10" s="1"/>
  <c r="P180" i="10"/>
  <c r="Z93" i="10"/>
  <c r="Z182" i="10" s="1"/>
  <c r="Z92" i="10"/>
  <c r="Z181" i="10" s="1"/>
  <c r="Z95" i="10"/>
  <c r="Z184" i="10" s="1"/>
  <c r="Z94" i="10"/>
  <c r="Z183" i="10" s="1"/>
  <c r="Z180" i="10"/>
  <c r="J92" i="10"/>
  <c r="J181" i="10" s="1"/>
  <c r="J95" i="10"/>
  <c r="J184" i="10" s="1"/>
  <c r="J93" i="10"/>
  <c r="J182" i="10" s="1"/>
  <c r="J94" i="10"/>
  <c r="J183" i="10" s="1"/>
  <c r="J180" i="10"/>
  <c r="N93" i="10"/>
  <c r="N182" i="10" s="1"/>
  <c r="N92" i="10"/>
  <c r="N181" i="10" s="1"/>
  <c r="N94" i="10"/>
  <c r="N183" i="10" s="1"/>
  <c r="N95" i="10"/>
  <c r="N184" i="10" s="1"/>
  <c r="N180" i="10"/>
  <c r="T94" i="10"/>
  <c r="T183" i="10" s="1"/>
  <c r="T93" i="10"/>
  <c r="T182" i="10" s="1"/>
  <c r="T95" i="10"/>
  <c r="T184" i="10" s="1"/>
  <c r="T92" i="10"/>
  <c r="T181" i="10" s="1"/>
  <c r="T180" i="10"/>
  <c r="W93" i="10"/>
  <c r="W182" i="10" s="1"/>
  <c r="W94" i="10"/>
  <c r="W183" i="10" s="1"/>
  <c r="W95" i="10"/>
  <c r="W184" i="10" s="1"/>
  <c r="W92" i="10"/>
  <c r="W181" i="10" s="1"/>
  <c r="W180" i="10"/>
  <c r="H91" i="10"/>
  <c r="H17" i="10"/>
  <c r="H78" i="10" s="1"/>
  <c r="L95" i="10"/>
  <c r="L184" i="10" s="1"/>
  <c r="L93" i="10"/>
  <c r="L182" i="10" s="1"/>
  <c r="L92" i="10"/>
  <c r="L181" i="10" s="1"/>
  <c r="L94" i="10"/>
  <c r="L183" i="10" s="1"/>
  <c r="L180" i="10"/>
  <c r="I94" i="10"/>
  <c r="I183" i="10" s="1"/>
  <c r="I92" i="10"/>
  <c r="I181" i="10" s="1"/>
  <c r="I95" i="10"/>
  <c r="I184" i="10" s="1"/>
  <c r="I93" i="10"/>
  <c r="I182" i="10" s="1"/>
  <c r="I180" i="10"/>
  <c r="O94" i="10"/>
  <c r="O183" i="10" s="1"/>
  <c r="O93" i="10"/>
  <c r="O182" i="10" s="1"/>
  <c r="O92" i="10"/>
  <c r="O181" i="10" s="1"/>
  <c r="O95" i="10"/>
  <c r="O184" i="10" s="1"/>
  <c r="O180" i="10"/>
  <c r="Q99" i="10"/>
  <c r="Q21" i="11" s="1"/>
  <c r="AJ122" i="10"/>
  <c r="L99" i="10"/>
  <c r="L21" i="11" s="1"/>
  <c r="AJ123" i="10"/>
  <c r="G99" i="10"/>
  <c r="G21" i="11" s="1"/>
  <c r="AB99" i="10"/>
  <c r="AB21" i="11" s="1"/>
  <c r="I99" i="10"/>
  <c r="I21" i="11" s="1"/>
  <c r="AG183" i="10" l="1"/>
  <c r="AG99" i="10"/>
  <c r="AG21" i="11" s="1"/>
  <c r="AG182" i="10"/>
  <c r="AH105" i="10"/>
  <c r="AH106" i="10" s="1"/>
  <c r="AH107" i="10" s="1"/>
  <c r="AH99" i="10" s="1"/>
  <c r="AH21" i="11" s="1"/>
  <c r="AH184" i="10"/>
  <c r="AH183" i="10"/>
  <c r="V180" i="10"/>
  <c r="AH182" i="10"/>
  <c r="AG184" i="10"/>
  <c r="AG181" i="10"/>
  <c r="AG148" i="10"/>
  <c r="AG149" i="10" s="1"/>
  <c r="AG150" i="10" s="1"/>
  <c r="AG142" i="10" s="1"/>
  <c r="AG27" i="11" s="1"/>
  <c r="AH181" i="10"/>
  <c r="AH88" i="10"/>
  <c r="AH89" i="10" s="1"/>
  <c r="AH90" i="10" s="1"/>
  <c r="AG88" i="10"/>
  <c r="AG89" i="10" s="1"/>
  <c r="AI152" i="10"/>
  <c r="AJ63" i="10"/>
  <c r="AI23" i="10"/>
  <c r="AJ23" i="10" s="1"/>
  <c r="AJ24" i="3"/>
  <c r="AI33" i="10"/>
  <c r="AJ33" i="10" s="1"/>
  <c r="AJ34" i="3"/>
  <c r="AI35" i="10"/>
  <c r="AJ35" i="10" s="1"/>
  <c r="AJ36" i="3"/>
  <c r="AI60" i="10"/>
  <c r="AJ61" i="3"/>
  <c r="AI61" i="10"/>
  <c r="AJ61" i="10" s="1"/>
  <c r="AJ62" i="3"/>
  <c r="AI38" i="10"/>
  <c r="AJ38" i="10" s="1"/>
  <c r="AJ39" i="3"/>
  <c r="AI34" i="10"/>
  <c r="AJ34" i="10" s="1"/>
  <c r="AJ35" i="3"/>
  <c r="AI20" i="10"/>
  <c r="AJ20" i="10" s="1"/>
  <c r="AJ21" i="3"/>
  <c r="AI62" i="10"/>
  <c r="AJ62" i="10" s="1"/>
  <c r="AJ63" i="3"/>
  <c r="AI57" i="10"/>
  <c r="AJ57" i="10" s="1"/>
  <c r="AJ58" i="3"/>
  <c r="AI53" i="10"/>
  <c r="AJ54" i="3"/>
  <c r="AI54" i="10"/>
  <c r="AJ54" i="10" s="1"/>
  <c r="AJ55" i="3"/>
  <c r="AI22" i="10"/>
  <c r="AJ22" i="10" s="1"/>
  <c r="AJ23" i="3"/>
  <c r="AI32" i="10"/>
  <c r="AJ33" i="3"/>
  <c r="AI55" i="10"/>
  <c r="AJ55" i="10" s="1"/>
  <c r="AJ56" i="3"/>
  <c r="AG139" i="10"/>
  <c r="AI21" i="10"/>
  <c r="AJ22" i="3"/>
  <c r="AI19" i="10"/>
  <c r="AJ19" i="10" s="1"/>
  <c r="AJ20" i="3"/>
  <c r="AI37" i="10"/>
  <c r="AJ38" i="3"/>
  <c r="G22" i="11"/>
  <c r="AJ22" i="11" s="1"/>
  <c r="G168" i="10"/>
  <c r="AJ167" i="10"/>
  <c r="G177" i="10"/>
  <c r="AJ176" i="10"/>
  <c r="G150" i="10"/>
  <c r="G141" i="10"/>
  <c r="V94" i="10"/>
  <c r="V183" i="10" s="1"/>
  <c r="V92" i="10"/>
  <c r="V181" i="10" s="1"/>
  <c r="V93" i="10"/>
  <c r="V182" i="10" s="1"/>
  <c r="AA180" i="10"/>
  <c r="AA95" i="10"/>
  <c r="AA184" i="10" s="1"/>
  <c r="AA94" i="10"/>
  <c r="AA183" i="10" s="1"/>
  <c r="AA93" i="10"/>
  <c r="AA182" i="10" s="1"/>
  <c r="G157" i="10"/>
  <c r="G158" i="10" s="1"/>
  <c r="G159" i="10" s="1"/>
  <c r="G96" i="10"/>
  <c r="G97" i="10" s="1"/>
  <c r="AD96" i="10"/>
  <c r="AD97" i="10" s="1"/>
  <c r="AD186" i="10" s="1"/>
  <c r="AF96" i="10"/>
  <c r="AF97" i="10" s="1"/>
  <c r="AF186" i="10" s="1"/>
  <c r="R96" i="10"/>
  <c r="R97" i="10" s="1"/>
  <c r="R186" i="10" s="1"/>
  <c r="L96" i="10"/>
  <c r="L97" i="10" s="1"/>
  <c r="L186" i="10" s="1"/>
  <c r="T96" i="10"/>
  <c r="N96" i="10"/>
  <c r="Z96" i="10"/>
  <c r="X96" i="10"/>
  <c r="AC96" i="10"/>
  <c r="S96" i="10"/>
  <c r="K96" i="10"/>
  <c r="M96" i="10"/>
  <c r="G184" i="10"/>
  <c r="I96" i="10"/>
  <c r="H94" i="10"/>
  <c r="H183" i="10" s="1"/>
  <c r="H95" i="10"/>
  <c r="H184" i="10" s="1"/>
  <c r="H92" i="10"/>
  <c r="H181" i="10" s="1"/>
  <c r="H93" i="10"/>
  <c r="H182" i="10" s="1"/>
  <c r="H180" i="10"/>
  <c r="G181" i="10"/>
  <c r="AG96" i="10"/>
  <c r="Y96" i="10"/>
  <c r="O96" i="10"/>
  <c r="G183" i="10"/>
  <c r="W96" i="10"/>
  <c r="J96" i="10"/>
  <c r="P96" i="10"/>
  <c r="AE96" i="10"/>
  <c r="G182" i="10"/>
  <c r="U96" i="10"/>
  <c r="Q96" i="10"/>
  <c r="AB96" i="10"/>
  <c r="AH96" i="10"/>
  <c r="AH187" i="10" l="1"/>
  <c r="AG90" i="10"/>
  <c r="AI154" i="10"/>
  <c r="AJ154" i="10" s="1"/>
  <c r="AI153" i="10"/>
  <c r="AJ153" i="10" s="1"/>
  <c r="AI155" i="10"/>
  <c r="AJ155" i="10" s="1"/>
  <c r="AI156" i="10"/>
  <c r="AJ156" i="10" s="1"/>
  <c r="AJ152" i="10"/>
  <c r="AI18" i="10"/>
  <c r="AJ21" i="10"/>
  <c r="AI26" i="10"/>
  <c r="AJ27" i="3"/>
  <c r="AG140" i="10"/>
  <c r="AI52" i="10"/>
  <c r="AJ53" i="10"/>
  <c r="AI36" i="10"/>
  <c r="AJ37" i="10"/>
  <c r="AI31" i="10"/>
  <c r="AJ32" i="10"/>
  <c r="AI59" i="10"/>
  <c r="AJ60" i="10"/>
  <c r="AI28" i="10"/>
  <c r="AJ28" i="10" s="1"/>
  <c r="AJ29" i="3"/>
  <c r="AI29" i="10"/>
  <c r="AJ29" i="10" s="1"/>
  <c r="AJ30" i="3"/>
  <c r="G133" i="10"/>
  <c r="G25" i="11" s="1"/>
  <c r="G169" i="10"/>
  <c r="G33" i="11" s="1"/>
  <c r="AJ177" i="10"/>
  <c r="AJ169" i="10" s="1"/>
  <c r="D32" i="11" s="1"/>
  <c r="G142" i="10"/>
  <c r="G27" i="11" s="1"/>
  <c r="G160" i="10"/>
  <c r="G31" i="11" s="1"/>
  <c r="AJ168" i="10"/>
  <c r="AJ160" i="10" s="1"/>
  <c r="D30" i="11" s="1"/>
  <c r="V96" i="10"/>
  <c r="V97" i="10" s="1"/>
  <c r="V186" i="10" s="1"/>
  <c r="AF185" i="10"/>
  <c r="AA96" i="10"/>
  <c r="AA97" i="10" s="1"/>
  <c r="AA186" i="10" s="1"/>
  <c r="R185" i="10"/>
  <c r="G185" i="10"/>
  <c r="L185" i="10"/>
  <c r="AD185" i="10"/>
  <c r="G98" i="10"/>
  <c r="G82" i="10" s="1"/>
  <c r="G19" i="11" s="1"/>
  <c r="AF98" i="10"/>
  <c r="AF82" i="10" s="1"/>
  <c r="AF19" i="11" s="1"/>
  <c r="G151" i="10"/>
  <c r="G29" i="11" s="1"/>
  <c r="G187" i="10"/>
  <c r="O97" i="10"/>
  <c r="O186" i="10" s="1"/>
  <c r="O185" i="10"/>
  <c r="Y97" i="10"/>
  <c r="Y186" i="10" s="1"/>
  <c r="Y185" i="10"/>
  <c r="L98" i="10"/>
  <c r="AE97" i="10"/>
  <c r="AE186" i="10" s="1"/>
  <c r="AE185" i="10"/>
  <c r="AH97" i="10"/>
  <c r="AH186" i="10" s="1"/>
  <c r="AH185" i="10"/>
  <c r="Z97" i="10"/>
  <c r="Z186" i="10" s="1"/>
  <c r="Z185" i="10"/>
  <c r="AB97" i="10"/>
  <c r="AB186" i="10" s="1"/>
  <c r="AB185" i="10"/>
  <c r="Q97" i="10"/>
  <c r="Q186" i="10" s="1"/>
  <c r="Q185" i="10"/>
  <c r="N97" i="10"/>
  <c r="N186" i="10" s="1"/>
  <c r="N185" i="10"/>
  <c r="X97" i="10"/>
  <c r="X186" i="10" s="1"/>
  <c r="X185" i="10"/>
  <c r="J97" i="10"/>
  <c r="J186" i="10" s="1"/>
  <c r="J185" i="10"/>
  <c r="W97" i="10"/>
  <c r="W186" i="10" s="1"/>
  <c r="W185" i="10"/>
  <c r="H96" i="10"/>
  <c r="R98" i="10"/>
  <c r="T97" i="10"/>
  <c r="T186" i="10" s="1"/>
  <c r="T185" i="10"/>
  <c r="AC97" i="10"/>
  <c r="AC186" i="10" s="1"/>
  <c r="AC185" i="10"/>
  <c r="U97" i="10"/>
  <c r="U186" i="10" s="1"/>
  <c r="U185" i="10"/>
  <c r="P97" i="10"/>
  <c r="P186" i="10" s="1"/>
  <c r="P185" i="10"/>
  <c r="M97" i="10"/>
  <c r="M186" i="10" s="1"/>
  <c r="M185" i="10"/>
  <c r="K97" i="10"/>
  <c r="K186" i="10" s="1"/>
  <c r="K185" i="10"/>
  <c r="AD98" i="10"/>
  <c r="I97" i="10"/>
  <c r="I186" i="10" s="1"/>
  <c r="I185" i="10"/>
  <c r="AG97" i="10"/>
  <c r="AG186" i="10" s="1"/>
  <c r="AG185" i="10"/>
  <c r="S97" i="10"/>
  <c r="S186" i="10" s="1"/>
  <c r="S185" i="10"/>
  <c r="G186" i="10"/>
  <c r="AI157" i="10" l="1"/>
  <c r="AI158" i="10" s="1"/>
  <c r="AI159" i="10" s="1"/>
  <c r="AI151" i="10" s="1"/>
  <c r="AI29" i="11" s="1"/>
  <c r="AI100" i="10"/>
  <c r="AI30" i="10"/>
  <c r="AJ30" i="10" s="1"/>
  <c r="AJ31" i="10"/>
  <c r="AI108" i="10"/>
  <c r="AJ36" i="10"/>
  <c r="AI51" i="10"/>
  <c r="AJ52" i="10"/>
  <c r="AG141" i="10"/>
  <c r="AG187" i="10"/>
  <c r="AJ26" i="10"/>
  <c r="AI25" i="10"/>
  <c r="AI58" i="10"/>
  <c r="AJ59" i="10"/>
  <c r="AI83" i="10"/>
  <c r="AJ18" i="10"/>
  <c r="AJ83" i="10" s="1"/>
  <c r="G30" i="11"/>
  <c r="AJ31" i="11"/>
  <c r="G32" i="11"/>
  <c r="AJ33" i="11"/>
  <c r="AF30" i="11"/>
  <c r="F30" i="11"/>
  <c r="P30" i="11"/>
  <c r="N30" i="11"/>
  <c r="Y30" i="11"/>
  <c r="AG30" i="11"/>
  <c r="Q30" i="11"/>
  <c r="AD30" i="11"/>
  <c r="R30" i="11"/>
  <c r="O30" i="11"/>
  <c r="H30" i="11"/>
  <c r="M30" i="11"/>
  <c r="U30" i="11"/>
  <c r="AB30" i="11"/>
  <c r="AC30" i="11"/>
  <c r="I30" i="11"/>
  <c r="T30" i="11"/>
  <c r="AH30" i="11"/>
  <c r="AA30" i="11"/>
  <c r="AI30" i="11"/>
  <c r="X30" i="11"/>
  <c r="S30" i="11"/>
  <c r="Z30" i="11"/>
  <c r="W30" i="11"/>
  <c r="K30" i="11"/>
  <c r="J30" i="11"/>
  <c r="V30" i="11"/>
  <c r="L30" i="11"/>
  <c r="AE30" i="11"/>
  <c r="F32" i="11"/>
  <c r="T32" i="11"/>
  <c r="U32" i="11"/>
  <c r="N32" i="11"/>
  <c r="AI32" i="11"/>
  <c r="M32" i="11"/>
  <c r="V32" i="11"/>
  <c r="AA32" i="11"/>
  <c r="Y32" i="11"/>
  <c r="P32" i="11"/>
  <c r="AH32" i="11"/>
  <c r="AE32" i="11"/>
  <c r="L32" i="11"/>
  <c r="Q32" i="11"/>
  <c r="S32" i="11"/>
  <c r="AB32" i="11"/>
  <c r="Z32" i="11"/>
  <c r="J32" i="11"/>
  <c r="AF32" i="11"/>
  <c r="X32" i="11"/>
  <c r="AD32" i="11"/>
  <c r="W32" i="11"/>
  <c r="K32" i="11"/>
  <c r="O32" i="11"/>
  <c r="H32" i="11"/>
  <c r="AC32" i="11"/>
  <c r="I32" i="11"/>
  <c r="R32" i="11"/>
  <c r="AG32" i="11"/>
  <c r="V185" i="10"/>
  <c r="AA185" i="10"/>
  <c r="G188" i="10"/>
  <c r="AF188" i="10"/>
  <c r="AG98" i="10"/>
  <c r="Y98" i="10"/>
  <c r="Y82" i="10" s="1"/>
  <c r="Y19" i="11" s="1"/>
  <c r="J98" i="10"/>
  <c r="J82" i="10" s="1"/>
  <c r="J19" i="11" s="1"/>
  <c r="AC98" i="10"/>
  <c r="AC82" i="10" s="1"/>
  <c r="AC19" i="11" s="1"/>
  <c r="AB98" i="10"/>
  <c r="AB188" i="10" s="1"/>
  <c r="O98" i="10"/>
  <c r="O82" i="10" s="1"/>
  <c r="O19" i="11" s="1"/>
  <c r="V98" i="10"/>
  <c r="V82" i="10" s="1"/>
  <c r="V19" i="11" s="1"/>
  <c r="Q98" i="10"/>
  <c r="Q188" i="10" s="1"/>
  <c r="S98" i="10"/>
  <c r="S82" i="10" s="1"/>
  <c r="S19" i="11" s="1"/>
  <c r="AE98" i="10"/>
  <c r="AE82" i="10" s="1"/>
  <c r="AE19" i="11" s="1"/>
  <c r="I98" i="10"/>
  <c r="U98" i="10"/>
  <c r="M98" i="10"/>
  <c r="L82" i="10"/>
  <c r="L19" i="11" s="1"/>
  <c r="L188" i="10"/>
  <c r="AF35" i="11"/>
  <c r="AF37" i="11" s="1"/>
  <c r="G35" i="11"/>
  <c r="G37" i="11" s="1"/>
  <c r="P98" i="10"/>
  <c r="T98" i="10"/>
  <c r="K98" i="10"/>
  <c r="R82" i="10"/>
  <c r="R19" i="11" s="1"/>
  <c r="R188" i="10"/>
  <c r="X98" i="10"/>
  <c r="Z98" i="10"/>
  <c r="H97" i="10"/>
  <c r="H98" i="10" s="1"/>
  <c r="H185" i="10"/>
  <c r="AD82" i="10"/>
  <c r="AD19" i="11" s="1"/>
  <c r="AD188" i="10"/>
  <c r="AA98" i="10"/>
  <c r="W98" i="10"/>
  <c r="N98" i="10"/>
  <c r="AH98" i="10"/>
  <c r="AJ157" i="10" l="1"/>
  <c r="AJ158" i="10"/>
  <c r="AJ159" i="10"/>
  <c r="AJ151" i="10" s="1"/>
  <c r="D28" i="11" s="1"/>
  <c r="T28" i="11" s="1"/>
  <c r="AJ29" i="11"/>
  <c r="AG188" i="10"/>
  <c r="AG133" i="10"/>
  <c r="AG25" i="11" s="1"/>
  <c r="AI134" i="10"/>
  <c r="AJ51" i="10"/>
  <c r="AJ84" i="10"/>
  <c r="AJ87" i="10"/>
  <c r="AJ86" i="10"/>
  <c r="AJ85" i="10"/>
  <c r="AI110" i="10"/>
  <c r="AJ110" i="10" s="1"/>
  <c r="AI109" i="10"/>
  <c r="AJ109" i="10" s="1"/>
  <c r="AI111" i="10"/>
  <c r="AJ111" i="10" s="1"/>
  <c r="AI112" i="10"/>
  <c r="AJ112" i="10" s="1"/>
  <c r="AJ108" i="10"/>
  <c r="AI87" i="10"/>
  <c r="AI84" i="10"/>
  <c r="AI85" i="10"/>
  <c r="AI86" i="10"/>
  <c r="AI143" i="10"/>
  <c r="AJ58" i="10"/>
  <c r="AI103" i="10"/>
  <c r="AJ103" i="10" s="1"/>
  <c r="AI101" i="10"/>
  <c r="AJ101" i="10" s="1"/>
  <c r="AI104" i="10"/>
  <c r="AJ104" i="10" s="1"/>
  <c r="AI102" i="10"/>
  <c r="AJ102" i="10" s="1"/>
  <c r="AJ100" i="10"/>
  <c r="AI17" i="10"/>
  <c r="AI91" i="10"/>
  <c r="AJ25" i="10"/>
  <c r="AJ32" i="11"/>
  <c r="AJ30" i="11"/>
  <c r="AC188" i="10"/>
  <c r="AG82" i="10"/>
  <c r="AG19" i="11" s="1"/>
  <c r="AB82" i="10"/>
  <c r="AB19" i="11" s="1"/>
  <c r="O188" i="10"/>
  <c r="Y188" i="10"/>
  <c r="Q82" i="10"/>
  <c r="Q19" i="11" s="1"/>
  <c r="J188" i="10"/>
  <c r="V188" i="10"/>
  <c r="S188" i="10"/>
  <c r="AE188" i="10"/>
  <c r="O35" i="11"/>
  <c r="O37" i="11" s="1"/>
  <c r="P82" i="10"/>
  <c r="P19" i="11" s="1"/>
  <c r="P188" i="10"/>
  <c r="J35" i="11"/>
  <c r="J37" i="11" s="1"/>
  <c r="AD35" i="11"/>
  <c r="AD37" i="11" s="1"/>
  <c r="AE35" i="11"/>
  <c r="AE37" i="11" s="1"/>
  <c r="L35" i="11"/>
  <c r="L37" i="11" s="1"/>
  <c r="H82" i="10"/>
  <c r="H19" i="11" s="1"/>
  <c r="H188" i="10"/>
  <c r="Z82" i="10"/>
  <c r="Z19" i="11" s="1"/>
  <c r="Z188" i="10"/>
  <c r="AH82" i="10"/>
  <c r="AH19" i="11" s="1"/>
  <c r="AH188" i="10"/>
  <c r="H186" i="10"/>
  <c r="X82" i="10"/>
  <c r="X19" i="11" s="1"/>
  <c r="X188" i="10"/>
  <c r="S35" i="11"/>
  <c r="S37" i="11" s="1"/>
  <c r="AC35" i="11"/>
  <c r="AC37" i="11" s="1"/>
  <c r="M82" i="10"/>
  <c r="M19" i="11" s="1"/>
  <c r="M188" i="10"/>
  <c r="N82" i="10"/>
  <c r="N19" i="11" s="1"/>
  <c r="N188" i="10"/>
  <c r="W82" i="10"/>
  <c r="W19" i="11" s="1"/>
  <c r="W188" i="10"/>
  <c r="V35" i="11"/>
  <c r="V37" i="11" s="1"/>
  <c r="R35" i="11"/>
  <c r="R37" i="11" s="1"/>
  <c r="U82" i="10"/>
  <c r="U19" i="11" s="1"/>
  <c r="U188" i="10"/>
  <c r="Y35" i="11"/>
  <c r="Y37" i="11" s="1"/>
  <c r="T82" i="10"/>
  <c r="T19" i="11" s="1"/>
  <c r="T188" i="10"/>
  <c r="AA82" i="10"/>
  <c r="AA19" i="11" s="1"/>
  <c r="AA188" i="10"/>
  <c r="K82" i="10"/>
  <c r="K19" i="11" s="1"/>
  <c r="K188" i="10"/>
  <c r="I82" i="10"/>
  <c r="I19" i="11" s="1"/>
  <c r="I188" i="10"/>
  <c r="AC28" i="11" l="1"/>
  <c r="X28" i="11"/>
  <c r="M28" i="11"/>
  <c r="S28" i="11"/>
  <c r="U28" i="11"/>
  <c r="G28" i="11"/>
  <c r="AG28" i="11"/>
  <c r="N28" i="11"/>
  <c r="I28" i="11"/>
  <c r="AH28" i="11"/>
  <c r="J28" i="11"/>
  <c r="L28" i="11"/>
  <c r="K28" i="11"/>
  <c r="V28" i="11"/>
  <c r="Q28" i="11"/>
  <c r="F28" i="11"/>
  <c r="Y28" i="11"/>
  <c r="AD28" i="11"/>
  <c r="R28" i="11"/>
  <c r="P28" i="11"/>
  <c r="AB28" i="11"/>
  <c r="H28" i="11"/>
  <c r="O28" i="11"/>
  <c r="W28" i="11"/>
  <c r="AI28" i="11"/>
  <c r="AE28" i="11"/>
  <c r="AF28" i="11"/>
  <c r="AA28" i="11"/>
  <c r="Z28" i="11"/>
  <c r="AI180" i="10"/>
  <c r="AJ180" i="10" s="1"/>
  <c r="AJ88" i="10"/>
  <c r="AJ89" i="10" s="1"/>
  <c r="AJ90" i="10" s="1"/>
  <c r="AI88" i="10"/>
  <c r="AI89" i="10" s="1"/>
  <c r="AI105" i="10"/>
  <c r="AI106" i="10" s="1"/>
  <c r="AI147" i="10"/>
  <c r="AJ147" i="10" s="1"/>
  <c r="AI146" i="10"/>
  <c r="AJ146" i="10" s="1"/>
  <c r="AI144" i="10"/>
  <c r="AJ144" i="10" s="1"/>
  <c r="AI145" i="10"/>
  <c r="AJ145" i="10" s="1"/>
  <c r="AJ143" i="10"/>
  <c r="AI95" i="10"/>
  <c r="AI93" i="10"/>
  <c r="AI92" i="10"/>
  <c r="AJ91" i="10"/>
  <c r="AI94" i="10"/>
  <c r="AI78" i="10"/>
  <c r="AJ78" i="10" s="1"/>
  <c r="AJ17" i="10"/>
  <c r="AI137" i="10"/>
  <c r="AJ137" i="10" s="1"/>
  <c r="AI138" i="10"/>
  <c r="AJ138" i="10" s="1"/>
  <c r="AI135" i="10"/>
  <c r="AJ135" i="10" s="1"/>
  <c r="AI136" i="10"/>
  <c r="AJ136" i="10" s="1"/>
  <c r="AJ134" i="10"/>
  <c r="AI113" i="10"/>
  <c r="AG35" i="11"/>
  <c r="AG37" i="11" s="1"/>
  <c r="AB35" i="11"/>
  <c r="AB37" i="11" s="1"/>
  <c r="Q35" i="11"/>
  <c r="Q37" i="11" s="1"/>
  <c r="Z35" i="11"/>
  <c r="Z37" i="11" s="1"/>
  <c r="AA35" i="11"/>
  <c r="AA37" i="11" s="1"/>
  <c r="T35" i="11"/>
  <c r="T37" i="11" s="1"/>
  <c r="H35" i="11"/>
  <c r="H37" i="11" s="1"/>
  <c r="X35" i="11"/>
  <c r="X37" i="11" s="1"/>
  <c r="W35" i="11"/>
  <c r="W37" i="11" s="1"/>
  <c r="K35" i="11"/>
  <c r="K37" i="11" s="1"/>
  <c r="N35" i="11"/>
  <c r="N37" i="11" s="1"/>
  <c r="P35" i="11"/>
  <c r="P37" i="11" s="1"/>
  <c r="AH35" i="11"/>
  <c r="AH37" i="11" s="1"/>
  <c r="I35" i="11"/>
  <c r="I37" i="11" s="1"/>
  <c r="U35" i="11"/>
  <c r="U37" i="11" s="1"/>
  <c r="M35" i="11"/>
  <c r="M37" i="11" s="1"/>
  <c r="AJ28" i="11" l="1"/>
  <c r="AI139" i="10"/>
  <c r="AI140" i="10" s="1"/>
  <c r="AI148" i="10"/>
  <c r="AI149" i="10" s="1"/>
  <c r="AJ105" i="10"/>
  <c r="AI181" i="10"/>
  <c r="AJ181" i="10" s="1"/>
  <c r="AJ92" i="10"/>
  <c r="AI182" i="10"/>
  <c r="AJ182" i="10" s="1"/>
  <c r="AJ93" i="10"/>
  <c r="AI184" i="10"/>
  <c r="AJ184" i="10" s="1"/>
  <c r="AJ95" i="10"/>
  <c r="AI90" i="10"/>
  <c r="AI107" i="10"/>
  <c r="AJ106" i="10"/>
  <c r="AI114" i="10"/>
  <c r="AJ113" i="10"/>
  <c r="AI96" i="10"/>
  <c r="AI183" i="10"/>
  <c r="AJ183" i="10" s="1"/>
  <c r="AJ94" i="10"/>
  <c r="AJ148" i="10" l="1"/>
  <c r="AI187" i="10"/>
  <c r="AJ187" i="10" s="1"/>
  <c r="AJ139" i="10"/>
  <c r="AJ107" i="10"/>
  <c r="AI97" i="10"/>
  <c r="AI98" i="10" s="1"/>
  <c r="AJ96" i="10"/>
  <c r="AI185" i="10"/>
  <c r="AJ185" i="10" s="1"/>
  <c r="AI115" i="10"/>
  <c r="AJ115" i="10" s="1"/>
  <c r="AJ114" i="10"/>
  <c r="AI150" i="10"/>
  <c r="AJ149" i="10"/>
  <c r="AI141" i="10"/>
  <c r="AJ140" i="10"/>
  <c r="AI188" i="10" l="1"/>
  <c r="AJ188" i="10" s="1"/>
  <c r="AI133" i="10"/>
  <c r="AI25" i="11" s="1"/>
  <c r="AJ141" i="10"/>
  <c r="AJ133" i="10" s="1"/>
  <c r="D24" i="11" s="1"/>
  <c r="AJ99" i="10"/>
  <c r="D20" i="11" s="1"/>
  <c r="AI142" i="10"/>
  <c r="AI27" i="11" s="1"/>
  <c r="AJ150" i="10"/>
  <c r="AJ142" i="10" s="1"/>
  <c r="D26" i="11" s="1"/>
  <c r="AI82" i="10"/>
  <c r="AI19" i="11" s="1"/>
  <c r="AJ98" i="10"/>
  <c r="AJ82" i="10" s="1"/>
  <c r="D18" i="11" s="1"/>
  <c r="AI186" i="10"/>
  <c r="AJ186" i="10" s="1"/>
  <c r="AJ97" i="10"/>
  <c r="AI99" i="10"/>
  <c r="AI21" i="11" s="1"/>
  <c r="S26" i="11" l="1"/>
  <c r="L26" i="11"/>
  <c r="AH26" i="11"/>
  <c r="Z26" i="11"/>
  <c r="H26" i="11"/>
  <c r="AB26" i="11"/>
  <c r="T26" i="11"/>
  <c r="F26" i="11"/>
  <c r="W26" i="11"/>
  <c r="AC26" i="11"/>
  <c r="AA26" i="11"/>
  <c r="N26" i="11"/>
  <c r="AD26" i="11"/>
  <c r="K26" i="11"/>
  <c r="X26" i="11"/>
  <c r="AF26" i="11"/>
  <c r="M26" i="11"/>
  <c r="J26" i="11"/>
  <c r="G26" i="11"/>
  <c r="U26" i="11"/>
  <c r="Y26" i="11"/>
  <c r="V26" i="11"/>
  <c r="O26" i="11"/>
  <c r="AE26" i="11"/>
  <c r="R26" i="11"/>
  <c r="P26" i="11"/>
  <c r="AG26" i="11"/>
  <c r="Q26" i="11"/>
  <c r="I26" i="11"/>
  <c r="AJ21" i="11"/>
  <c r="AI20" i="11"/>
  <c r="AD18" i="11"/>
  <c r="F18" i="11"/>
  <c r="W18" i="11"/>
  <c r="U18" i="11"/>
  <c r="D34" i="11"/>
  <c r="D42" i="11" s="1"/>
  <c r="K18" i="11"/>
  <c r="Z18" i="11"/>
  <c r="M18" i="11"/>
  <c r="N18" i="11"/>
  <c r="P18" i="11"/>
  <c r="G18" i="11"/>
  <c r="AF18" i="11"/>
  <c r="AA18" i="11"/>
  <c r="AH18" i="11"/>
  <c r="Y18" i="11"/>
  <c r="J18" i="11"/>
  <c r="S18" i="11"/>
  <c r="AB18" i="11"/>
  <c r="T18" i="11"/>
  <c r="L18" i="11"/>
  <c r="AC18" i="11"/>
  <c r="V18" i="11"/>
  <c r="R18" i="11"/>
  <c r="H18" i="11"/>
  <c r="AG18" i="11"/>
  <c r="O18" i="11"/>
  <c r="AE18" i="11"/>
  <c r="X18" i="11"/>
  <c r="I18" i="11"/>
  <c r="Q18" i="11"/>
  <c r="AF24" i="11"/>
  <c r="AA24" i="11"/>
  <c r="AH24" i="11"/>
  <c r="U24" i="11"/>
  <c r="X24" i="11"/>
  <c r="M24" i="11"/>
  <c r="O24" i="11"/>
  <c r="Z24" i="11"/>
  <c r="F24" i="11"/>
  <c r="AC24" i="11"/>
  <c r="L24" i="11"/>
  <c r="J24" i="11"/>
  <c r="R24" i="11"/>
  <c r="V24" i="11"/>
  <c r="K24" i="11"/>
  <c r="I24" i="11"/>
  <c r="G24" i="11"/>
  <c r="AD24" i="11"/>
  <c r="Q24" i="11"/>
  <c r="N24" i="11"/>
  <c r="P24" i="11"/>
  <c r="AE24" i="11"/>
  <c r="S24" i="11"/>
  <c r="Y24" i="11"/>
  <c r="T24" i="11"/>
  <c r="AB24" i="11"/>
  <c r="H24" i="11"/>
  <c r="W24" i="11"/>
  <c r="AG24" i="11"/>
  <c r="AI35" i="11"/>
  <c r="AI37" i="11" s="1"/>
  <c r="AJ19" i="11"/>
  <c r="AI18" i="11"/>
  <c r="AJ27" i="11"/>
  <c r="AI26" i="11"/>
  <c r="Z20" i="11"/>
  <c r="M20" i="11"/>
  <c r="Y20" i="11"/>
  <c r="AD20" i="11"/>
  <c r="G20" i="11"/>
  <c r="W20" i="11"/>
  <c r="P20" i="11"/>
  <c r="I20" i="11"/>
  <c r="S20" i="11"/>
  <c r="R20" i="11"/>
  <c r="H20" i="11"/>
  <c r="AA20" i="11"/>
  <c r="AB20" i="11"/>
  <c r="AG20" i="11"/>
  <c r="AE20" i="11"/>
  <c r="T20" i="11"/>
  <c r="AC20" i="11"/>
  <c r="Q20" i="11"/>
  <c r="L20" i="11"/>
  <c r="AF20" i="11"/>
  <c r="N20" i="11"/>
  <c r="U20" i="11"/>
  <c r="AH20" i="11"/>
  <c r="V20" i="11"/>
  <c r="O20" i="11"/>
  <c r="K20" i="11"/>
  <c r="F20" i="11"/>
  <c r="J20" i="11"/>
  <c r="X20" i="11"/>
  <c r="AI24" i="11"/>
  <c r="AJ25" i="11"/>
  <c r="F39" i="11" l="1"/>
  <c r="F38" i="11"/>
  <c r="S34" i="11"/>
  <c r="Y34" i="11"/>
  <c r="X34" i="11"/>
  <c r="Z34" i="11"/>
  <c r="V34" i="11"/>
  <c r="K34" i="11"/>
  <c r="M34" i="11"/>
  <c r="R34" i="11"/>
  <c r="H34" i="11"/>
  <c r="AC34" i="11"/>
  <c r="F34" i="11"/>
  <c r="AA34" i="11"/>
  <c r="J34" i="11"/>
  <c r="W34" i="11"/>
  <c r="U34" i="11"/>
  <c r="AH34" i="11"/>
  <c r="AF34" i="11"/>
  <c r="AG34" i="11"/>
  <c r="G34" i="11"/>
  <c r="T34" i="11"/>
  <c r="I34" i="11"/>
  <c r="Q34" i="11"/>
  <c r="AE34" i="11"/>
  <c r="L34" i="11"/>
  <c r="N34" i="11"/>
  <c r="O34" i="11"/>
  <c r="AB34" i="11"/>
  <c r="AD34" i="11"/>
  <c r="P34" i="11"/>
  <c r="AJ18" i="11"/>
  <c r="AJ26" i="11"/>
  <c r="AJ24" i="11"/>
  <c r="AJ35" i="11"/>
  <c r="AM35" i="11" s="1"/>
  <c r="AI34" i="11"/>
  <c r="AJ20" i="11"/>
  <c r="AJ34" i="11" l="1"/>
</calcChain>
</file>

<file path=xl/sharedStrings.xml><?xml version="1.0" encoding="utf-8"?>
<sst xmlns="http://schemas.openxmlformats.org/spreadsheetml/2006/main" count="8213" uniqueCount="1024">
  <si>
    <t>Concessão Rodoviária - Adequação de capacidade, reabilitação, operação, manutenção e conservação das rodovias estaduais MS-040, MS-338, MS-395 e MS-395, e trechos das rodovias federais BR-262, BR-267</t>
  </si>
  <si>
    <r>
      <rPr>
        <sz val="12"/>
        <rFont val="Calibri"/>
        <family val="2"/>
        <scheme val="minor"/>
      </rPr>
      <t>Local:</t>
    </r>
    <r>
      <rPr>
        <b/>
        <sz val="12"/>
        <rFont val="Calibri"/>
        <family val="2"/>
        <scheme val="minor"/>
      </rPr>
      <t xml:space="preserve"> Estado do Mato Grosso do Sul - MS-040</t>
    </r>
  </si>
  <si>
    <r>
      <rPr>
        <sz val="12"/>
        <rFont val="Calibri"/>
        <family val="2"/>
        <scheme val="minor"/>
      </rPr>
      <t>Cliente:</t>
    </r>
    <r>
      <rPr>
        <b/>
        <sz val="12"/>
        <rFont val="Calibri"/>
        <family val="2"/>
        <scheme val="minor"/>
      </rPr>
      <t xml:space="preserve"> Governo do Estado do Mato Grosso do Sul</t>
    </r>
  </si>
  <si>
    <t>MC Conserva de Rotina - Controle de Revisão</t>
  </si>
  <si>
    <r>
      <t xml:space="preserve">Autorizado conforme: </t>
    </r>
    <r>
      <rPr>
        <b/>
        <sz val="12"/>
        <color theme="1"/>
        <rFont val="Calibri"/>
        <family val="2"/>
        <scheme val="minor"/>
      </rPr>
      <t>Edital de Chamamento Público - PMI Nº 01/2023</t>
    </r>
  </si>
  <si>
    <t>REVISÃO</t>
  </si>
  <si>
    <t>DATA</t>
  </si>
  <si>
    <t>HISTÓRICO</t>
  </si>
  <si>
    <t>Emissão inicial com dados de benchmarking</t>
  </si>
  <si>
    <t>Revisão de preços unitários</t>
  </si>
  <si>
    <t>MC Conserva de Rotina - Cálculo do BDI</t>
  </si>
  <si>
    <t>ITENS RELATIVOS À ADMINISTRAÇÃO DA OBRA</t>
  </si>
  <si>
    <t>% SOBRE PV</t>
  </si>
  <si>
    <t>% SOBRE CD</t>
  </si>
  <si>
    <t>ADMINISTRAÇÃO CENTRAL</t>
  </si>
  <si>
    <t>DE CD</t>
  </si>
  <si>
    <t>DESPESAS FINANCEIRAS</t>
  </si>
  <si>
    <t>CF DO (PV-LUCRO OPERACIONAL)</t>
  </si>
  <si>
    <t>SEGUROS E GARANTIAS CONTRATUAIS</t>
  </si>
  <si>
    <t>0,26% DO PV</t>
  </si>
  <si>
    <t>RISCOS</t>
  </si>
  <si>
    <t>3,41% DO PV</t>
  </si>
  <si>
    <t>SUBTOTAL</t>
  </si>
  <si>
    <t>LUCRO</t>
  </si>
  <si>
    <t>DO CD</t>
  </si>
  <si>
    <t>BDI SEM IMPOSTOS</t>
  </si>
  <si>
    <t>TAXAS E IMPOSTOS</t>
  </si>
  <si>
    <t>PIS</t>
  </si>
  <si>
    <t>DO PV</t>
  </si>
  <si>
    <t>COFINS</t>
  </si>
  <si>
    <t>ISSQN</t>
  </si>
  <si>
    <t xml:space="preserve">BDI COM IMPOSTOS </t>
  </si>
  <si>
    <t>CUSTOS DIRETOS - CD</t>
  </si>
  <si>
    <t>BDI COM IMPOSTOS (%)</t>
  </si>
  <si>
    <t>BDI Material Asfáltico</t>
  </si>
  <si>
    <t>MC Conserva de Rotina - Cronograma</t>
  </si>
  <si>
    <t>ITEM</t>
  </si>
  <si>
    <t>SERVIÇOS</t>
  </si>
  <si>
    <t>VALOR</t>
  </si>
  <si>
    <t>%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</si>
  <si>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</si>
  <si>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</si>
  <si>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</si>
  <si>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</si>
  <si>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</si>
  <si>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</si>
  <si>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</si>
  <si>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</si>
  <si>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</si>
  <si>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</si>
  <si>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</si>
  <si>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</si>
  <si>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</si>
  <si>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</si>
  <si>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</si>
  <si>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</si>
  <si>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</si>
  <si>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</si>
  <si>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</si>
  <si>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</si>
  <si>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</si>
  <si>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</si>
  <si>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</si>
  <si>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</si>
  <si>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</si>
  <si>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</si>
  <si>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</si>
  <si>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</si>
  <si>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</si>
  <si>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</si>
  <si>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TOTAIS PARCIAIS</t>
  </si>
  <si>
    <t>(R$)</t>
  </si>
  <si>
    <t>1.</t>
  </si>
  <si>
    <t>CONSERVAÇÃO RODOVIÁRIA DE ROTINA</t>
  </si>
  <si>
    <t>1.1</t>
  </si>
  <si>
    <t>Valor</t>
  </si>
  <si>
    <t>1.2</t>
  </si>
  <si>
    <t>1.3</t>
  </si>
  <si>
    <t>1.4</t>
  </si>
  <si>
    <t>1.5</t>
  </si>
  <si>
    <t>1.6</t>
  </si>
  <si>
    <t>1.7</t>
  </si>
  <si>
    <t>1.8</t>
  </si>
  <si>
    <t>Total - Conservação Rodoviária de Rotina</t>
  </si>
  <si>
    <t>R$/km Eq. Rodovia</t>
  </si>
  <si>
    <t>R$/km</t>
  </si>
  <si>
    <t>R$/ano</t>
  </si>
  <si>
    <t>MC Conserva de Rotina</t>
  </si>
  <si>
    <t>PADRÃO DE CONSERVAÇÃO</t>
  </si>
  <si>
    <t>UNIDADE</t>
  </si>
  <si>
    <t>CUSTO UNITÁRIO</t>
  </si>
  <si>
    <t>Código SICRO</t>
  </si>
  <si>
    <t>Serviço</t>
  </si>
  <si>
    <t>PAVIMENTO</t>
  </si>
  <si>
    <t>Reparos no Pavimento</t>
  </si>
  <si>
    <t>4915757-040</t>
  </si>
  <si>
    <t>Tapa buraco com pintura de ligação - demolição com serra corta piso</t>
  </si>
  <si>
    <t>m³</t>
  </si>
  <si>
    <t>4915661-040</t>
  </si>
  <si>
    <t>Fresagem descontínua de revestimento asfáltico - espessura de 3 cm</t>
  </si>
  <si>
    <t>Pintura de ligação</t>
  </si>
  <si>
    <t>m²</t>
  </si>
  <si>
    <t>4011466-040</t>
  </si>
  <si>
    <t>Concreto asfáltico com asfalto polímero - faixa C - areia e brita comerciais (Capa de Rolamento)</t>
  </si>
  <si>
    <t>t</t>
  </si>
  <si>
    <t>4915694-040</t>
  </si>
  <si>
    <t>Limpeza, serragem e enchimento de fissuras niveladas com abertura entre 0,4 mm e 1,0 mm e profundidade de 25 mm em pavimento de concreto com selante elástico a frio</t>
  </si>
  <si>
    <t>l</t>
  </si>
  <si>
    <t>Limpeza em superfície de concreto com jateamento d'água sob pressão</t>
  </si>
  <si>
    <t>Produtos derivados de petróleo</t>
  </si>
  <si>
    <t>M1946-TB</t>
  </si>
  <si>
    <t>Emulsão Asfáltica RR-1C</t>
  </si>
  <si>
    <t>M1946-PL</t>
  </si>
  <si>
    <t>M1943</t>
  </si>
  <si>
    <t>Cimento asfáltico de petróleo - CAP 50/70</t>
  </si>
  <si>
    <t>M1955</t>
  </si>
  <si>
    <t>Cimento asfáltico de petróleo com polímero - CAP 55/75-E</t>
  </si>
  <si>
    <t>ELEMENTOS DE PROTEÇÃO E SEGURANÇA</t>
  </si>
  <si>
    <t>Sinalização Horizontal</t>
  </si>
  <si>
    <t>5214011-040</t>
  </si>
  <si>
    <t>Manutenção/recomposição de sinalização - pintura de faixa com tinta acrílica emulsionada em água - espessura de 0,3 mm</t>
  </si>
  <si>
    <t>5213360-040</t>
  </si>
  <si>
    <t>Tacha refletiva em plástico injetado - bidirecional tipo I - com um pino - fornecimento e colocação</t>
  </si>
  <si>
    <t>und</t>
  </si>
  <si>
    <t>5213477-040</t>
  </si>
  <si>
    <t>Placa delineador em aço - 0,30 x 0,90 m - película retrorrefletiva tipo I + IV - fornecimento e implantação</t>
  </si>
  <si>
    <t>4915718-040</t>
  </si>
  <si>
    <t>Limpeza balizadores (0,30 X 0,90)</t>
  </si>
  <si>
    <t>Sinalização Vertical</t>
  </si>
  <si>
    <t>5213572-040</t>
  </si>
  <si>
    <t>Placa em aço - película III + III - fornecimento e implantação</t>
  </si>
  <si>
    <t>Limpeza de placa de sinalização</t>
  </si>
  <si>
    <t>Dispositivos de Proteção e Segurança</t>
  </si>
  <si>
    <t>PFC-004-040</t>
  </si>
  <si>
    <t>Substituição de defensas metálicas</t>
  </si>
  <si>
    <t>m</t>
  </si>
  <si>
    <t>PFC-003-040</t>
  </si>
  <si>
    <t>Reparo de barreira New Jersey</t>
  </si>
  <si>
    <t>3713823-040</t>
  </si>
  <si>
    <t>Reconstrução de barreira New Jersey</t>
  </si>
  <si>
    <t>OBRAS DE ARTES ESPECIAIS</t>
  </si>
  <si>
    <t>Intervenções em OAE's</t>
  </si>
  <si>
    <t>3816118-040</t>
  </si>
  <si>
    <t>Reparo de guarda corpo/roda de concreto</t>
  </si>
  <si>
    <t>4915723-040</t>
  </si>
  <si>
    <t>Caiação manual com fixador de cal</t>
  </si>
  <si>
    <t>3815602-040</t>
  </si>
  <si>
    <t>Substituição de junta de dilatação e lábios poliméricos - fornecimento e instalação</t>
  </si>
  <si>
    <t xml:space="preserve">Limpeza em junta de dilatação                                                                                                                                                                           </t>
  </si>
  <si>
    <t xml:space="preserve">Limpeza e desobstrução de dispositivos de drenagem em OAE                                                                                                                                               </t>
  </si>
  <si>
    <t>un</t>
  </si>
  <si>
    <t>Limpeza de ponte</t>
  </si>
  <si>
    <t>DRENAGEM E OAC</t>
  </si>
  <si>
    <t>Reparo e Limpeza de dispositivos</t>
  </si>
  <si>
    <t>Limpeza de sarjeta e meio-fio</t>
  </si>
  <si>
    <t>Limpeza de vala de drenagem</t>
  </si>
  <si>
    <t>Limpeza de bueiro</t>
  </si>
  <si>
    <t xml:space="preserve">Reparo de drenagem superficial em concreto </t>
  </si>
  <si>
    <t>TERRAPLENOS E ESTRUTURAS DE CONTENÇÃO</t>
  </si>
  <si>
    <t>Terrapleno e Estruturas de Contenção</t>
  </si>
  <si>
    <t>4915733-040</t>
  </si>
  <si>
    <t>Recomposição manual de taludes</t>
  </si>
  <si>
    <t>4915734-040</t>
  </si>
  <si>
    <t>Recomposição mecânica de taludes</t>
  </si>
  <si>
    <t>4915774-040</t>
  </si>
  <si>
    <t>Recomposição mecância de erosões</t>
  </si>
  <si>
    <t>FAIXA DE DOMÍNIO</t>
  </si>
  <si>
    <t>Conservação na Faixa de Domínio</t>
  </si>
  <si>
    <t>Roçada manual</t>
  </si>
  <si>
    <t>ha</t>
  </si>
  <si>
    <t xml:space="preserve">Roçada mecanizada </t>
  </si>
  <si>
    <t>Capina manual</t>
  </si>
  <si>
    <t>4413905-040</t>
  </si>
  <si>
    <t>Hidrossemeadura</t>
  </si>
  <si>
    <t>4915698-040</t>
  </si>
  <si>
    <t>Limpeza de pistas e remoção dos entulhos</t>
  </si>
  <si>
    <t>4915725-040</t>
  </si>
  <si>
    <t>Recomposição total de cerca com mourão de concreto seção quadrada - areia e brita comerciais</t>
  </si>
  <si>
    <t>EDIFICAÇÕES E INSTALAÇÕES OPERACIONAIS</t>
  </si>
  <si>
    <t>Conservação de Edificações</t>
  </si>
  <si>
    <t>PFC-001</t>
  </si>
  <si>
    <t>Pintura e conservação geral de instalações operacionais</t>
  </si>
  <si>
    <t>equipe</t>
  </si>
  <si>
    <t>ILUMINAÇÃO</t>
  </si>
  <si>
    <t>Iluminação e Instalações Elétricas</t>
  </si>
  <si>
    <t>PFC-002</t>
  </si>
  <si>
    <t>Conservação de Sistema de Iluminação</t>
  </si>
  <si>
    <t>*** TOTAL DE CONSERVAÇÃO RODOVIÁRIA DE ROTINA ***</t>
  </si>
  <si>
    <t>*** RESUMO PARA A COMPOSIÇÃO DO OPEX ***</t>
  </si>
  <si>
    <t>Custo Local</t>
  </si>
  <si>
    <t>Adm Local</t>
  </si>
  <si>
    <t>Mob/Desmob</t>
  </si>
  <si>
    <t>Canteiro</t>
  </si>
  <si>
    <t>Sinalização</t>
  </si>
  <si>
    <t>Custo Total</t>
  </si>
  <si>
    <t>BDI</t>
  </si>
  <si>
    <t>Total Venda</t>
  </si>
  <si>
    <t>BDI Prod Asf</t>
  </si>
  <si>
    <t>2.</t>
  </si>
  <si>
    <t>2.1</t>
  </si>
  <si>
    <t>2.2</t>
  </si>
  <si>
    <t>2.3</t>
  </si>
  <si>
    <t>3.</t>
  </si>
  <si>
    <t>3.1</t>
  </si>
  <si>
    <t>4.</t>
  </si>
  <si>
    <t>4.1</t>
  </si>
  <si>
    <t>5.</t>
  </si>
  <si>
    <t>6.</t>
  </si>
  <si>
    <t>6.1</t>
  </si>
  <si>
    <t>7.</t>
  </si>
  <si>
    <t>7.1</t>
  </si>
  <si>
    <t>8.</t>
  </si>
  <si>
    <t>8.1</t>
  </si>
  <si>
    <t>*** TOTALIZAÇÃO ***</t>
  </si>
  <si>
    <t>MC Conserva de Rotina - Quantidades</t>
  </si>
  <si>
    <t>Extensão (km):</t>
  </si>
  <si>
    <t>PADRÃO 1</t>
  </si>
  <si>
    <t>QUANTIDADES</t>
  </si>
  <si>
    <t>TOTAIS</t>
  </si>
  <si>
    <t>ROTINA</t>
  </si>
  <si>
    <t>OAE's</t>
  </si>
  <si>
    <t>m/m²</t>
  </si>
  <si>
    <t>un/m</t>
  </si>
  <si>
    <t>Faixa de Domínio</t>
  </si>
  <si>
    <t>Roçada na faixa de domínio</t>
  </si>
  <si>
    <t>MC Conserva de Rotina - Preços Unitários</t>
  </si>
  <si>
    <t>PREÇO UNITÁRIO (R$)</t>
  </si>
  <si>
    <t xml:space="preserve">COMPOSIÇÃO DE PREÇO UNITÁRIO                    </t>
  </si>
  <si>
    <t>Código</t>
  </si>
  <si>
    <t>Especificação</t>
  </si>
  <si>
    <t>Unidade</t>
  </si>
  <si>
    <t xml:space="preserve">              </t>
  </si>
  <si>
    <t xml:space="preserve">Tapa buraco com pintura de ligação - demolição com serra corta piso                                                                                                                                     </t>
  </si>
  <si>
    <t xml:space="preserve">               </t>
  </si>
  <si>
    <t xml:space="preserve">m³    </t>
  </si>
  <si>
    <t xml:space="preserve">            Utilização</t>
  </si>
  <si>
    <t xml:space="preserve">     Custo Operacional</t>
  </si>
  <si>
    <t xml:space="preserve">    Custo</t>
  </si>
  <si>
    <t>A-EQUIPAMENTO</t>
  </si>
  <si>
    <t>Quantidade</t>
  </si>
  <si>
    <t>Produtivo</t>
  </si>
  <si>
    <t>Improdutivo</t>
  </si>
  <si>
    <t xml:space="preserve">  Horário</t>
  </si>
  <si>
    <t xml:space="preserve">03E9155       </t>
  </si>
  <si>
    <t>Caldeira de asfalto rebocável com capacidade de 600 l - 5.20 kW</t>
  </si>
  <si>
    <t xml:space="preserve">03E9556       </t>
  </si>
  <si>
    <t>Compactador manual de placa vibratória - 3.00 kW</t>
  </si>
  <si>
    <t xml:space="preserve">03E9591       </t>
  </si>
  <si>
    <t>Serra para corte de concreto e asfalto - 10 kW</t>
  </si>
  <si>
    <t>CUSTO HORARIO DE EQUIPAMENTO</t>
  </si>
  <si>
    <t>B-MÃO DE OBRA SUPLEMENTAR</t>
  </si>
  <si>
    <t>Salario Base</t>
  </si>
  <si>
    <t xml:space="preserve"> Custo Horar.</t>
  </si>
  <si>
    <t xml:space="preserve">01P9824       </t>
  </si>
  <si>
    <t>Servente</t>
  </si>
  <si>
    <t>CUSTO HORARIO DA MÃO DE OBRA</t>
  </si>
  <si>
    <t>ADIC.MO.FERRAMENTAS MANUAIS %</t>
  </si>
  <si>
    <t>CUSTO HORARIO TOTAL DA MÃO DE OBRA</t>
  </si>
  <si>
    <t>CUSTO HORARIO DE EXECUÇÃO</t>
  </si>
  <si>
    <t>PRODUÇÃO DA EQUIPE</t>
  </si>
  <si>
    <t>CUSTO UNITÁRIO DA EXECUÇÃO</t>
  </si>
  <si>
    <t>C-MATERIAIS</t>
  </si>
  <si>
    <t xml:space="preserve">  Custo</t>
  </si>
  <si>
    <t>Consumo</t>
  </si>
  <si>
    <t xml:space="preserve">  Custo Unit.</t>
  </si>
  <si>
    <t xml:space="preserve">02M1385       </t>
  </si>
  <si>
    <t>Disco de corte diamantado para concreto e asfalto - D = 350 mm</t>
  </si>
  <si>
    <t xml:space="preserve">un    </t>
  </si>
  <si>
    <t xml:space="preserve">02M1946       </t>
  </si>
  <si>
    <t>Emulsão asfáltica - RR-1C</t>
  </si>
  <si>
    <t xml:space="preserve">t     </t>
  </si>
  <si>
    <t xml:space="preserve">05M3507433    </t>
  </si>
  <si>
    <t>Revestimento asfáltico - Caminhão basculante 6 m³ -    5915433</t>
  </si>
  <si>
    <t>Custo do FIC - Fator de Incidencia de Chuvas</t>
  </si>
  <si>
    <t xml:space="preserve">%Exec </t>
  </si>
  <si>
    <t>CUSTO TOTAL DE MATERIAIS</t>
  </si>
  <si>
    <t>D-OUTRAS ATIVIDADES</t>
  </si>
  <si>
    <t xml:space="preserve">4011463-040   </t>
  </si>
  <si>
    <t>Concreto asfáltico - faixa C - areia e brita comerciais</t>
  </si>
  <si>
    <t>CUSTO TOTAL DAS ATIVIDADES</t>
  </si>
  <si>
    <t>E-TRANSPORTE</t>
  </si>
  <si>
    <t>UNID</t>
  </si>
  <si>
    <t>DMT(T)</t>
  </si>
  <si>
    <t>DMT(P)</t>
  </si>
  <si>
    <t>DMT(Total)</t>
  </si>
  <si>
    <t xml:space="preserve">   Custo</t>
  </si>
  <si>
    <t xml:space="preserve">   Custo Unit.</t>
  </si>
  <si>
    <t xml:space="preserve">04M3507       </t>
  </si>
  <si>
    <t>Revestimento asfáltico - Caminhão basculante 6 m³ - 5914314 - 5914329 - 5914344</t>
  </si>
  <si>
    <t xml:space="preserve">tkm   </t>
  </si>
  <si>
    <t>CUSTO TOTAL DE TRANSPORTE</t>
  </si>
  <si>
    <t>CUSTO DIRETO TOTAL:</t>
  </si>
  <si>
    <t>LUCRO E DESPESAS INDIRETAS %:</t>
  </si>
  <si>
    <t>PREÇO UNITÁRIO TOTAL DO SERVIÇO:</t>
  </si>
  <si>
    <t xml:space="preserve">Edital:                </t>
  </si>
  <si>
    <t xml:space="preserve">Lote:                                         </t>
  </si>
  <si>
    <t>Data: 31/10/2023</t>
  </si>
  <si>
    <t>Rodovia: Conserva de Rotina MS-040</t>
  </si>
  <si>
    <t xml:space="preserve">Trecho: </t>
  </si>
  <si>
    <t xml:space="preserve">Nome da Empresa: </t>
  </si>
  <si>
    <t xml:space="preserve">Sub-Trecho: </t>
  </si>
  <si>
    <t xml:space="preserve">Responsavel: </t>
  </si>
  <si>
    <t xml:space="preserve">Concreto asfáltico - faixa C - areia e brita comerciais                                                                                                                                                 </t>
  </si>
  <si>
    <t xml:space="preserve">03E9545       </t>
  </si>
  <si>
    <t>Vibroacabadora de asfalto sobre esteiras - 82 kW</t>
  </si>
  <si>
    <t xml:space="preserve">03E9681       </t>
  </si>
  <si>
    <t>Rolo compactador liso tandem vibratório autopropelido de 10.4 t - 82 kW</t>
  </si>
  <si>
    <t xml:space="preserve">03E9762       </t>
  </si>
  <si>
    <t>Rolo compactador de pneus autopropelido de 27 t - 85 kW</t>
  </si>
  <si>
    <t>Usinagem de concreto asfáltico - faixa C - areia e brita comerciais - Caminhão basculante 10 m³ -    5914649</t>
  </si>
  <si>
    <t xml:space="preserve">6416078-040   </t>
  </si>
  <si>
    <t>Usinagem de concreto asfáltico - faixa C - areia e brita comerciais</t>
  </si>
  <si>
    <t>Usinagem de concreto asfáltico - faixa C - areia e brita comerciais - Caminhão basculante 10 m³ - 5914359 - 5914374 - 5914389</t>
  </si>
  <si>
    <t xml:space="preserve">Usinagem de concreto asfáltico - faixa C - areia e brita comerciais                                                                                                                                     </t>
  </si>
  <si>
    <t xml:space="preserve">03E9021       </t>
  </si>
  <si>
    <t>Grupo gerador - 456 kVA</t>
  </si>
  <si>
    <t xml:space="preserve">03E9558       </t>
  </si>
  <si>
    <t>Tanque de estocagem de asfalto com capacidade de 30000 l</t>
  </si>
  <si>
    <t xml:space="preserve">03E9559       </t>
  </si>
  <si>
    <t>Aquecedor de fluido térmico - 12 kW</t>
  </si>
  <si>
    <t xml:space="preserve">03E9584       </t>
  </si>
  <si>
    <t>Carregadeira de pneus com capacidade de 1.72 m³ - 113 kW</t>
  </si>
  <si>
    <t xml:space="preserve">03E9689       </t>
  </si>
  <si>
    <t>Usina de asfalto a quente gravimétrica com capacidade de 100/140 t/h - 260 kW</t>
  </si>
  <si>
    <t xml:space="preserve">02M0005B      </t>
  </si>
  <si>
    <t>Brita 0 - MS-040</t>
  </si>
  <si>
    <t xml:space="preserve">02M0028B      </t>
  </si>
  <si>
    <t>Areia média - MS-040</t>
  </si>
  <si>
    <t xml:space="preserve">02M0191B      </t>
  </si>
  <si>
    <t>Brita 1 - MS-040</t>
  </si>
  <si>
    <t xml:space="preserve">02M0344       </t>
  </si>
  <si>
    <t>Cal hidratada - a granel</t>
  </si>
  <si>
    <t xml:space="preserve">kg    </t>
  </si>
  <si>
    <t xml:space="preserve">02M1103B      </t>
  </si>
  <si>
    <t>Pedrisco - MS-040</t>
  </si>
  <si>
    <t xml:space="preserve">02M1941       </t>
  </si>
  <si>
    <t>Óleo tipo A1</t>
  </si>
  <si>
    <t xml:space="preserve">l     </t>
  </si>
  <si>
    <t xml:space="preserve">02M1943       </t>
  </si>
  <si>
    <t xml:space="preserve">05M0005647    </t>
  </si>
  <si>
    <t>Brita 0 - Caminhão basculante 10 m³ -    5914647</t>
  </si>
  <si>
    <t xml:space="preserve">05M0028647    </t>
  </si>
  <si>
    <t>Areia média - Caminhão basculante 10 m³ -    5914647</t>
  </si>
  <si>
    <t xml:space="preserve">05M0191647    </t>
  </si>
  <si>
    <t>Brita 1 - Caminhão basculante 10 m³ -    5914647</t>
  </si>
  <si>
    <t xml:space="preserve">05M0344363    </t>
  </si>
  <si>
    <t>Cal hidratada - a granel - Caminhão silo 30 m³ -    5914363</t>
  </si>
  <si>
    <t xml:space="preserve">05M1103647    </t>
  </si>
  <si>
    <t>Pedrisco - Caminhão basculante 10 m³ -    5914647</t>
  </si>
  <si>
    <t xml:space="preserve">04M0005       </t>
  </si>
  <si>
    <t>Brita 0 - Caminhão basculante 10 m³ - 5914359 - 5914374 - 5914389</t>
  </si>
  <si>
    <t xml:space="preserve">04M0028       </t>
  </si>
  <si>
    <t>Areia média - Caminhão basculante 10 m³ - 5914359 - 5914374 - 5914389</t>
  </si>
  <si>
    <t xml:space="preserve">04M0191       </t>
  </si>
  <si>
    <t>Brita 1 - Caminhão basculante 10 m³ - 5914359 - 5914374 - 5914389</t>
  </si>
  <si>
    <t xml:space="preserve">04M0344       </t>
  </si>
  <si>
    <t>Cal hidratada - a granel - Caminhão silo 30 m³ - 5914364 - 5914365 - 5914366</t>
  </si>
  <si>
    <t xml:space="preserve">04M1103       </t>
  </si>
  <si>
    <t>Pedrisco - Caminhão basculante 10 m³ - 5914359 - 5914374 - 5914389</t>
  </si>
  <si>
    <t xml:space="preserve">Fresagem descontínua de revestimento asfáltico - espessura de 3 cm                                                                                                                                      </t>
  </si>
  <si>
    <t xml:space="preserve">03E9156       </t>
  </si>
  <si>
    <t>Soprador de ar costal - 2.6 kW</t>
  </si>
  <si>
    <t xml:space="preserve">03E9571       </t>
  </si>
  <si>
    <t>Caminhão tanque com capacidade de 10000 l - 188 kW</t>
  </si>
  <si>
    <t xml:space="preserve">03E9678       </t>
  </si>
  <si>
    <t>Fresadora a frio - 455 kW</t>
  </si>
  <si>
    <t xml:space="preserve">03E9697       </t>
  </si>
  <si>
    <t>Minicarregadeira de pneus com vassoura de 1.68 m - 45.50 kW</t>
  </si>
  <si>
    <t xml:space="preserve">02M1974       </t>
  </si>
  <si>
    <t>Dente de corte para fresadora de 455 kW</t>
  </si>
  <si>
    <t xml:space="preserve">02M2148       </t>
  </si>
  <si>
    <t>Porta-dente de corte para fresadora e recicladora a frio</t>
  </si>
  <si>
    <t xml:space="preserve">05M3507309    </t>
  </si>
  <si>
    <t>Revestimento asfáltico - Caminhão basculante 10 m³ -    5914309</t>
  </si>
  <si>
    <t xml:space="preserve">Pintura de ligação                                                                                                                                                                                      </t>
  </si>
  <si>
    <t xml:space="preserve">m²    </t>
  </si>
  <si>
    <t xml:space="preserve">03E9509       </t>
  </si>
  <si>
    <t>Caminhão tanque distribuidor de asfalto com capacidade de 6000 l - 7 kW/136 kW</t>
  </si>
  <si>
    <t xml:space="preserve">Concreto asfáltico com asfalto polímero - faixa C - areia e brita comerciais (Capa de Rolamento)                                                                                                        </t>
  </si>
  <si>
    <t>Usinagem de concreto asfáltico com asfalto polímero - faixa C - areia e brita comerciais - Caminhão basculante 10 m³ -    5914649</t>
  </si>
  <si>
    <t xml:space="preserve">6416248-040   </t>
  </si>
  <si>
    <t>Usinagem de concreto asfáltico com asfalto polímero - faixa C - areia e brita comerciais</t>
  </si>
  <si>
    <t>Usinagem de concreto asfáltico com asfalto polímero - faixa C - areia e brita comerciais - Caminhão basculante 10 m³ - 5914359 - 5914374 - 5914389</t>
  </si>
  <si>
    <t xml:space="preserve">Usinagem de concreto asfáltico com asfalto polímero - faixa C - areia e brita comerciais                                                                                                                </t>
  </si>
  <si>
    <t xml:space="preserve">02M1955       </t>
  </si>
  <si>
    <t xml:space="preserve">Limpeza, serragem e enchimento de fissuras niveladas com abertura entre 0,4 mm e 1,0 mm e profundidade de 25 mm em pavimento de concreto com selante elástico a frio                                    </t>
  </si>
  <si>
    <t xml:space="preserve">m     </t>
  </si>
  <si>
    <t xml:space="preserve">03E9767       </t>
  </si>
  <si>
    <t>Compressor de ar portátil de 9.44 l/s (20 PCM) a gasolina - 5.22 kW</t>
  </si>
  <si>
    <t xml:space="preserve">02M1130       </t>
  </si>
  <si>
    <t>Selante elástico à base de poliuretano</t>
  </si>
  <si>
    <t xml:space="preserve">02M1131       </t>
  </si>
  <si>
    <t>Cordão de polietileno expandido de baixa densidade - D = 15.0 mm</t>
  </si>
  <si>
    <t xml:space="preserve">05M1130474    </t>
  </si>
  <si>
    <t>Selante elástico à base de poliuretano - Caminhão carroceria 5 t -    5915474</t>
  </si>
  <si>
    <t xml:space="preserve">04M1130       </t>
  </si>
  <si>
    <t>Selante elástico à base de poliuretano - Caminhão carroceria 5 t - 5915322 - 5915323 - 5915324</t>
  </si>
  <si>
    <t xml:space="preserve">Limpeza em superfície de concreto com jateamento d'água sob pressão                                                                                                                                     </t>
  </si>
  <si>
    <t xml:space="preserve">03E9028       </t>
  </si>
  <si>
    <t>Bomba de alta pressão para hidrojateamento com capacidade de 18 MPa - 5.20 kW</t>
  </si>
  <si>
    <t xml:space="preserve">03E9605       </t>
  </si>
  <si>
    <t>Caminhão tanque com capacidade de 6000 l - 136 kW</t>
  </si>
  <si>
    <t xml:space="preserve">Manutenção/recomposição de sinalização - pintura de faixa com tinta acrílica emulsionada em água - espessura de 0,3 mm                                                                                  </t>
  </si>
  <si>
    <t xml:space="preserve">03E9644       </t>
  </si>
  <si>
    <t>Caminhão demarcador de faixas com sistema de pintura a frio - 28 kW/115 kW</t>
  </si>
  <si>
    <t xml:space="preserve">02M2036       </t>
  </si>
  <si>
    <t>Tinta à base de resina acrílica emulsionada em água para demarcação viária</t>
  </si>
  <si>
    <t xml:space="preserve">02M2037       </t>
  </si>
  <si>
    <t>Microesferas refletivas de vidro tipo I-B</t>
  </si>
  <si>
    <t xml:space="preserve">02M2038       </t>
  </si>
  <si>
    <t>Microesferas refletivas de vidro tipo II-A</t>
  </si>
  <si>
    <t xml:space="preserve">05M2036655    </t>
  </si>
  <si>
    <t>Tinta à base de resina acrílica emulsionada em água para demarcação viária - Caminhão carroceria 15 t -    5914655</t>
  </si>
  <si>
    <t xml:space="preserve">05M2037655    </t>
  </si>
  <si>
    <t>Microesferas refletivas de vidro tipo I-B - Caminhão carroceria 15 t -    5914655</t>
  </si>
  <si>
    <t xml:space="preserve">05M2038655    </t>
  </si>
  <si>
    <t>Microesferas refletivas de vidro tipo II-A - Caminhão carroceria 15 t -    5914655</t>
  </si>
  <si>
    <t xml:space="preserve">04M2036       </t>
  </si>
  <si>
    <t>Tinta à base de resina acrílica emulsionada em água para demarcação viária - Caminhão carroceria 15 t - 5914449 - 5914464 - 5914479</t>
  </si>
  <si>
    <t xml:space="preserve">04M2037       </t>
  </si>
  <si>
    <t>Microesferas refletivas de vidro tipo I-B - Caminhão carroceria 15 t - 5914449 - 5914464 - 5914479</t>
  </si>
  <si>
    <t xml:space="preserve">04M2038       </t>
  </si>
  <si>
    <t>Microesferas refletivas de vidro tipo II-A - Caminhão carroceria 15 t - 5914449 - 5914464 - 5914479</t>
  </si>
  <si>
    <t xml:space="preserve">Tacha refletiva em plástico injetado - bidirecional tipo I - com um pino - fornecimento e colocação                                                                                                     </t>
  </si>
  <si>
    <t xml:space="preserve">und   </t>
  </si>
  <si>
    <t xml:space="preserve">03E9675       </t>
  </si>
  <si>
    <t>Martelete perfurador/rompedor elétrico - 1.50 kW</t>
  </si>
  <si>
    <t xml:space="preserve">03E9687       </t>
  </si>
  <si>
    <t>Caminhão carroceria com capacidade de 5 t - 115 kW</t>
  </si>
  <si>
    <t xml:space="preserve">03E9764       </t>
  </si>
  <si>
    <t>Grupo gerador - 7.2 kVA</t>
  </si>
  <si>
    <t xml:space="preserve">01P9830       </t>
  </si>
  <si>
    <t>Montador</t>
  </si>
  <si>
    <t xml:space="preserve">02M1528       </t>
  </si>
  <si>
    <t>Broca de widia - D = 13 mm e C = 150 mm</t>
  </si>
  <si>
    <t xml:space="preserve">02M2041       </t>
  </si>
  <si>
    <t>Adesivo à base de resina poliéster</t>
  </si>
  <si>
    <t xml:space="preserve">02M3821       </t>
  </si>
  <si>
    <t>Tacha refletiva em plástico injetado bidirecional com um pino - tipo I</t>
  </si>
  <si>
    <t xml:space="preserve">05M2041655    </t>
  </si>
  <si>
    <t>Adesivo à base de resina poliéster - Caminhão carroceria 15 t -    5914655</t>
  </si>
  <si>
    <t xml:space="preserve">05M3821655    </t>
  </si>
  <si>
    <t>Tacha refletiva em plástico injetado bidirecional com um pino - tipo I - Caminhão carroceria 15 t -    5914655</t>
  </si>
  <si>
    <t xml:space="preserve">04M2041       </t>
  </si>
  <si>
    <t>Adesivo à base de resina poliéster - Caminhão carroceria 15 t - 5914449 - 5914464 - 5914479</t>
  </si>
  <si>
    <t xml:space="preserve">04M3821       </t>
  </si>
  <si>
    <t>Tacha refletiva em plástico injetado bidirecional com um pino - tipo I - Caminhão carroceria 15 t - 5914449 - 5914464 - 5914479</t>
  </si>
  <si>
    <t xml:space="preserve">Placa delineador em aço - 0,30 x 0,90 m - película retrorrefletiva tipo I + IV - fornecimento e implantação                                                                                             </t>
  </si>
  <si>
    <t xml:space="preserve">5213421-040   </t>
  </si>
  <si>
    <t>Placa em aço nº 16 galvanizado com película retrorrefletiva tipo I + IV - confecção</t>
  </si>
  <si>
    <t xml:space="preserve">Placa em aço nº 16 galvanizado com película retrorrefletiva tipo I + IV - confecção                                                                                                                     </t>
  </si>
  <si>
    <t xml:space="preserve">03E9507       </t>
  </si>
  <si>
    <t>Plotadora de recorte com computador e programa computacional</t>
  </si>
  <si>
    <t xml:space="preserve">03E9568       </t>
  </si>
  <si>
    <t>Furadeira de impacto de 12.5 mm - 0.80 kW</t>
  </si>
  <si>
    <t xml:space="preserve">03E9622       </t>
  </si>
  <si>
    <t>Máquina de bancada universal para corte de chapa - 1.50 kW</t>
  </si>
  <si>
    <t xml:space="preserve">03E9623       </t>
  </si>
  <si>
    <t>Máquina de bancada guilhotina - 4.00 kW</t>
  </si>
  <si>
    <t xml:space="preserve">03E9753       </t>
  </si>
  <si>
    <t>Grupo gerador - 23 kVA</t>
  </si>
  <si>
    <t xml:space="preserve">01P9801       </t>
  </si>
  <si>
    <t>Ajudante</t>
  </si>
  <si>
    <t xml:space="preserve">01P9823       </t>
  </si>
  <si>
    <t>Serralheiro</t>
  </si>
  <si>
    <t xml:space="preserve">02M1367       </t>
  </si>
  <si>
    <t>Chapa fina em aço galvanizado</t>
  </si>
  <si>
    <t xml:space="preserve">02M3235       </t>
  </si>
  <si>
    <t>Película retrorrefletiva tipo I</t>
  </si>
  <si>
    <t xml:space="preserve">02M3238       </t>
  </si>
  <si>
    <t>Película não retrorrefletiva tipo IV</t>
  </si>
  <si>
    <t xml:space="preserve">05M1367333    </t>
  </si>
  <si>
    <t>Chapa fina em aço galvanizado - Caminhão carroceria 15 t -    5914333</t>
  </si>
  <si>
    <t xml:space="preserve">05M3235655    </t>
  </si>
  <si>
    <t>Película retrorrefletiva tipo I - Caminhão carroceria 15 t -    5914655</t>
  </si>
  <si>
    <t xml:space="preserve">05M3238655    </t>
  </si>
  <si>
    <t>Película não retrorrefletiva tipo IV - Caminhão carroceria 15 t -    5914655</t>
  </si>
  <si>
    <t xml:space="preserve">5212552-040   </t>
  </si>
  <si>
    <t>Pintura eletrostática a pó com tinta poliéster em chapa de aço</t>
  </si>
  <si>
    <t xml:space="preserve">04M1367       </t>
  </si>
  <si>
    <t>Chapa fina em aço galvanizado - Caminhão carroceria 15 t - 5914449 - 5914464 - 5914479</t>
  </si>
  <si>
    <t xml:space="preserve">04M3235       </t>
  </si>
  <si>
    <t>Película retrorrefletiva tipo I - Caminhão carroceria 15 t - 5914449 - 5914464 - 5914479</t>
  </si>
  <si>
    <t xml:space="preserve">04M3238       </t>
  </si>
  <si>
    <t>Película não retrorrefletiva tipo IV - Caminhão carroceria 15 t - 5914449 - 5914464 - 5914479</t>
  </si>
  <si>
    <t xml:space="preserve">Pintura eletrostática a pó com tinta poliéster em chapa de aço                                                                                                                                          </t>
  </si>
  <si>
    <t xml:space="preserve">03E9076       </t>
  </si>
  <si>
    <t>Equipamento para pintura eletrostática com cabine dupla de 7.00 kW e estufa de 80000 kCal</t>
  </si>
  <si>
    <t xml:space="preserve">01P9822       </t>
  </si>
  <si>
    <t>Pintor</t>
  </si>
  <si>
    <t xml:space="preserve">02M3153       </t>
  </si>
  <si>
    <t>Tinta em pó à base de resina poliéster</t>
  </si>
  <si>
    <t xml:space="preserve">05M3153655    </t>
  </si>
  <si>
    <t>Tinta em pó à base de resina poliéster - Caminhão carroceria 15 t -    5914655</t>
  </si>
  <si>
    <t xml:space="preserve">04M3153       </t>
  </si>
  <si>
    <t>Tinta em pó à base de resina poliéster - Caminhão carroceria 15 t - 5914449 - 5914464 - 5914479</t>
  </si>
  <si>
    <t xml:space="preserve">Limpeza balizadores (0,30 X 0,90)                                                                                                                                                                       </t>
  </si>
  <si>
    <t xml:space="preserve">02M0008       </t>
  </si>
  <si>
    <t>Detergente líquido neutro</t>
  </si>
  <si>
    <t xml:space="preserve">Placa em aço - película III + III - fornecimento e implantação                                                                                                                                          </t>
  </si>
  <si>
    <t xml:space="preserve">5213418-040   </t>
  </si>
  <si>
    <t>Placa em aço nº 16 galvanizado com película retrorrefletiva tipo III + III - confecção</t>
  </si>
  <si>
    <t xml:space="preserve">Placa em aço nº 16 galvanizado com película retrorrefletiva tipo III + III - confecção                                                                                                                  </t>
  </si>
  <si>
    <t xml:space="preserve">02M3237       </t>
  </si>
  <si>
    <t>Película retrorrefletiva tipo III</t>
  </si>
  <si>
    <t xml:space="preserve">05M3237655    </t>
  </si>
  <si>
    <t>Película retrorrefletiva tipo III - Caminhão carroceria 15 t -    5914655</t>
  </si>
  <si>
    <t xml:space="preserve">04M3237       </t>
  </si>
  <si>
    <t>Película retrorrefletiva tipo III - Caminhão carroceria 15 t - 5914449 - 5914464 - 5914479</t>
  </si>
  <si>
    <t xml:space="preserve">Substituição de defensas metálicas                                                                                                                                                                      </t>
  </si>
  <si>
    <t xml:space="preserve">03E9082       </t>
  </si>
  <si>
    <t>Bate-estaca hidráulico para defensas montado em caminhão guindauto com capacidade de 20 tm e carroceria de 4 t - 136 kW</t>
  </si>
  <si>
    <t xml:space="preserve">02M1966       </t>
  </si>
  <si>
    <t>Defensa metálica maleável simples</t>
  </si>
  <si>
    <t xml:space="preserve">05M1966373    </t>
  </si>
  <si>
    <t>Defensa metálica maleável simples - Guindauto 20 tm -    5915373</t>
  </si>
  <si>
    <t xml:space="preserve">04M1966       </t>
  </si>
  <si>
    <t>Defensa metálica maleável simples - Guindauto 20 tm - 5914584 - 5914599 - 5914614</t>
  </si>
  <si>
    <t>Data: 09/05/2024</t>
  </si>
  <si>
    <t xml:space="preserve">Reparo de barreira New Jersey                                                                                                                                                                           </t>
  </si>
  <si>
    <t xml:space="preserve">1107892-040   </t>
  </si>
  <si>
    <t>Concreto fck = 20 MPa - confecção em betoneira e lançamento manual - areia e brita comerciais</t>
  </si>
  <si>
    <t xml:space="preserve">Concreto fck = 20 MPa - confecção em betoneira e lançamento manual - areia e brita comerciais                                                                                                           </t>
  </si>
  <si>
    <t xml:space="preserve">03E9010       </t>
  </si>
  <si>
    <t>Balança plataforma digital à bateria. com mesa de 75 x 75 cm e capacidade de 500 kg</t>
  </si>
  <si>
    <t xml:space="preserve">03E9064       </t>
  </si>
  <si>
    <t>Transportador manual gerica com capacidade de 180 l</t>
  </si>
  <si>
    <t xml:space="preserve">03E9071       </t>
  </si>
  <si>
    <t>Transportador manual carrinho de mão com capacidade de 80 l</t>
  </si>
  <si>
    <t xml:space="preserve">03E9519       </t>
  </si>
  <si>
    <t>Betoneira com motor a gasolina com capacidade de 600 l - 10 kW</t>
  </si>
  <si>
    <t xml:space="preserve">01P9821       </t>
  </si>
  <si>
    <t>Pedreiro</t>
  </si>
  <si>
    <t xml:space="preserve">02M0030       </t>
  </si>
  <si>
    <t>Aditivo plastificante e retardador de pega para concreto e argamassa</t>
  </si>
  <si>
    <t xml:space="preserve">02M0082A      </t>
  </si>
  <si>
    <t>Areia média lavada - BR-262, MS-338, MS-395, e BR-267</t>
  </si>
  <si>
    <t xml:space="preserve">02M0082B      </t>
  </si>
  <si>
    <t>Areia média lavada - MS-040</t>
  </si>
  <si>
    <t xml:space="preserve">02M0191A      </t>
  </si>
  <si>
    <t>Brita 1 - BR-262, MS-338, MS-395, e BR-276</t>
  </si>
  <si>
    <t xml:space="preserve">02M0192A      </t>
  </si>
  <si>
    <t>Brita 2 - BR-262, MS-338, MS-395, e BR-276</t>
  </si>
  <si>
    <t xml:space="preserve">02M0192B      </t>
  </si>
  <si>
    <t>Brita 2 - MS-040</t>
  </si>
  <si>
    <t xml:space="preserve">02M0424       </t>
  </si>
  <si>
    <t>Cimento Portland CP II - 32 - saco</t>
  </si>
  <si>
    <t xml:space="preserve">05M0030655    </t>
  </si>
  <si>
    <t>Aditivo plastificante e retardador de pega para concreto e argamassa - Caminhão carroceria 15 t -    5914655</t>
  </si>
  <si>
    <t xml:space="preserve">05M0082647    </t>
  </si>
  <si>
    <t>Areia média lavada - Caminhão basculante 10 m³ -    5914647</t>
  </si>
  <si>
    <t xml:space="preserve">05M0192647    </t>
  </si>
  <si>
    <t>Brita 2 - Caminhão basculante 10 m³ -    5914647</t>
  </si>
  <si>
    <t xml:space="preserve">05M0424655    </t>
  </si>
  <si>
    <t>Cimento Portland CP II - 32 - saco - Caminhão carroceria 15 t -    5914655</t>
  </si>
  <si>
    <t xml:space="preserve">04M0030       </t>
  </si>
  <si>
    <t>Aditivo plastificante e retardador de pega para concreto e argamassa - Caminhão carroceria 15 t - 5914449 - 5914464 - 5914479</t>
  </si>
  <si>
    <t xml:space="preserve">04M0082       </t>
  </si>
  <si>
    <t>Areia média lavada - Caminhão basculante 10 m³ - 5914359 - 5914374 - 5914389</t>
  </si>
  <si>
    <t xml:space="preserve">04M0192       </t>
  </si>
  <si>
    <t>Brita 2 - Caminhão basculante 10 m³ - 5914359 - 5914374 - 5914389</t>
  </si>
  <si>
    <t xml:space="preserve">04M0424       </t>
  </si>
  <si>
    <t>Cimento Portland CP II - 32 - saco - Caminhão carroceria 15 t - 5914449 - 5914464 - 5914479</t>
  </si>
  <si>
    <t xml:space="preserve">Reconstrução de barreira New Jersey                                                                                                                                                                     </t>
  </si>
  <si>
    <t xml:space="preserve">03E9052       </t>
  </si>
  <si>
    <t>Empilhadeira a diesel com capacidade de 10 t - 82 kW</t>
  </si>
  <si>
    <t xml:space="preserve">03E9144       </t>
  </si>
  <si>
    <t>Pórtico metálico rolante com talha com capacidade de 5 t - 10 kW</t>
  </si>
  <si>
    <t xml:space="preserve">03E9763       </t>
  </si>
  <si>
    <t>Grupo gerador - 40 kVA</t>
  </si>
  <si>
    <t xml:space="preserve">0407819-040   </t>
  </si>
  <si>
    <t>Armação em aço CA-50 - fornecimento. preparo e colocação</t>
  </si>
  <si>
    <t xml:space="preserve">1107896-040   </t>
  </si>
  <si>
    <t>Concreto fck = 25 MPa - confecção em betoneira e lançamento manual - areia e brita comerciais</t>
  </si>
  <si>
    <t xml:space="preserve">3107967-040   </t>
  </si>
  <si>
    <t>Fôrma metálica em chapa 1/8" reforçada com nervuras de 40 mm x 1/8" dispostas em grelhas de 40 x 60 cm - utilização de 100 vezes - confecção. instalação e retirada</t>
  </si>
  <si>
    <t xml:space="preserve">Armação em aço CA-50 - fornecimento. preparo e colocação                                                                                                                                                </t>
  </si>
  <si>
    <t xml:space="preserve">01P9805       </t>
  </si>
  <si>
    <t>Armador</t>
  </si>
  <si>
    <t xml:space="preserve">02M0004       </t>
  </si>
  <si>
    <t>Aço CA 50</t>
  </si>
  <si>
    <t xml:space="preserve">02M0075       </t>
  </si>
  <si>
    <t>Arame liso recozido em aço-carbono - D = 1.24 mm (18 BWG)</t>
  </si>
  <si>
    <t xml:space="preserve">05M0004655    </t>
  </si>
  <si>
    <t>Aço CA 50 - Caminhão carroceria 15 t -    5914655</t>
  </si>
  <si>
    <t xml:space="preserve">05M0075655    </t>
  </si>
  <si>
    <t>Arame liso recozido em aço-carbono - D = 1.24 mm (18 BWG) - Caminhão carroceria 15 t -    5914655</t>
  </si>
  <si>
    <t xml:space="preserve">04M0004       </t>
  </si>
  <si>
    <t>Aço CA 50 - Caminhão carroceria 15 t - 5914449 - 5914464 - 5914479</t>
  </si>
  <si>
    <t xml:space="preserve">04M0075       </t>
  </si>
  <si>
    <t>Arame liso recozido em aço-carbono - D = 1.24 mm (18 BWG) - Caminhão carroceria 15 t - 5914449 - 5914464 - 5914479</t>
  </si>
  <si>
    <t xml:space="preserve">Concreto fck = 25 MPa - confecção em betoneira e lançamento manual - areia e brita comerciais                                                                                                           </t>
  </si>
  <si>
    <t xml:space="preserve">Fôrma metálica em chapa 1/8" reforçada com nervuras de 40 mm x 1/8" dispostas em grelhas de 40 x 60 cm - utilização de 100 vezes - confecção. instalação e retirada                                     </t>
  </si>
  <si>
    <t xml:space="preserve">02M1376       </t>
  </si>
  <si>
    <t>Chapa fina em aço ASTM A36</t>
  </si>
  <si>
    <t xml:space="preserve">02M3947       </t>
  </si>
  <si>
    <t>Tubo em aço - E = 3.00 mm e seção de 40 x 40 mm</t>
  </si>
  <si>
    <t xml:space="preserve">02M3949       </t>
  </si>
  <si>
    <t>Desmoldante para fôrmas metálicas</t>
  </si>
  <si>
    <t xml:space="preserve">05M1376333    </t>
  </si>
  <si>
    <t>Chapa fina em aço ASTM A36 - Caminhão carroceria 15 t -    5914333</t>
  </si>
  <si>
    <t xml:space="preserve">05M3947333    </t>
  </si>
  <si>
    <t>Tubo em aço - E = 3.00 mm e seção de 40 x 40 mm - Caminhão carroceria 15 t -    5914333</t>
  </si>
  <si>
    <t xml:space="preserve">05M3949655    </t>
  </si>
  <si>
    <t>Desmoldante para fôrmas metálicas - Caminhão carroceria 15 t -    5914655</t>
  </si>
  <si>
    <t xml:space="preserve">1400973-040   </t>
  </si>
  <si>
    <t>Corte de chapas de aço com espessura de 3 mm com maçarico oxiacetileno</t>
  </si>
  <si>
    <t xml:space="preserve">1419543-040   </t>
  </si>
  <si>
    <t>Corte de perfil metálico com máquina policorte com espessura de até 1/8"</t>
  </si>
  <si>
    <t xml:space="preserve">2408057-040   </t>
  </si>
  <si>
    <t>Solda elétrica de perfis metálicos e chapas de aço com eletrodo E60XX</t>
  </si>
  <si>
    <t xml:space="preserve">04M1376       </t>
  </si>
  <si>
    <t>Chapa fina em aço ASTM A36 - Caminhão carroceria 15 t - 5914449 - 5914464 - 5914479</t>
  </si>
  <si>
    <t xml:space="preserve">04M3947       </t>
  </si>
  <si>
    <t>Tubo em aço - E = 3.00 mm e seção de 40 x 40 mm - Caminhão carroceria 15 t - 5914449 - 5914464 - 5914479</t>
  </si>
  <si>
    <t xml:space="preserve">04M3949       </t>
  </si>
  <si>
    <t>Desmoldante para fôrmas metálicas - Caminhão carroceria 15 t - 5914449 - 5914464 - 5914479</t>
  </si>
  <si>
    <t xml:space="preserve">Corte de chapas de aço com espessura de 3 mm com maçarico oxiacetileno                                                                                                                                  </t>
  </si>
  <si>
    <t xml:space="preserve">03E9662       </t>
  </si>
  <si>
    <t>Equipamento para solda e corte com oxiacetileno</t>
  </si>
  <si>
    <t xml:space="preserve">01P9825       </t>
  </si>
  <si>
    <t>Soldador</t>
  </si>
  <si>
    <t xml:space="preserve">02M1795       </t>
  </si>
  <si>
    <t>Gás oxigênio</t>
  </si>
  <si>
    <t xml:space="preserve">02M1796       </t>
  </si>
  <si>
    <t>Gás acetileno</t>
  </si>
  <si>
    <t xml:space="preserve">Corte de perfil metálico com máquina policorte com espessura de até 1/8"                                                                                                                                </t>
  </si>
  <si>
    <t xml:space="preserve">03E9717       </t>
  </si>
  <si>
    <t>Máquina policorte - 2.20 kW</t>
  </si>
  <si>
    <t xml:space="preserve">02M0076       </t>
  </si>
  <si>
    <t>Disco de corte abrasivo para policorte - D = 300 mm</t>
  </si>
  <si>
    <t xml:space="preserve">Solda elétrica de perfis metálicos e chapas de aço com eletrodo E60XX                                                                                                                                   </t>
  </si>
  <si>
    <t xml:space="preserve">03E9547       </t>
  </si>
  <si>
    <t>Máquina de solda elétrica transformadora 250 A - 9.20 kW</t>
  </si>
  <si>
    <t xml:space="preserve">02M1397       </t>
  </si>
  <si>
    <t>Eletrodo revestido E60XX</t>
  </si>
  <si>
    <t xml:space="preserve">05M1397655    </t>
  </si>
  <si>
    <t>Eletrodo revestido E60XX - Caminhão carroceria 15 t -    5914655</t>
  </si>
  <si>
    <t xml:space="preserve">04M1397       </t>
  </si>
  <si>
    <t>Eletrodo revestido E60XX - Caminhão carroceria 15 t - 5914449 - 5914464 - 5914479</t>
  </si>
  <si>
    <t xml:space="preserve">Reparo de guarda corpo/roda de concreto                                                                                                                                                                 </t>
  </si>
  <si>
    <t xml:space="preserve">03E9011       </t>
  </si>
  <si>
    <t>Carro manual modelo plataforma de 200 x 80 cm com capacidade de 800 kg</t>
  </si>
  <si>
    <t xml:space="preserve">03E9668       </t>
  </si>
  <si>
    <t>Mesa vibratória - 2.20 kW</t>
  </si>
  <si>
    <t xml:space="preserve">03E9719       </t>
  </si>
  <si>
    <t>Talha manual com capacidade de 3 t</t>
  </si>
  <si>
    <t xml:space="preserve">05M3949474    </t>
  </si>
  <si>
    <t>Desmoldante para fôrmas metálicas - Caminhão carroceria 5 t -    5915474</t>
  </si>
  <si>
    <t xml:space="preserve">3117749-040   </t>
  </si>
  <si>
    <t>Fôrma metálica para guarda-corpo de concreto - utilização de 50 vezes - confecção</t>
  </si>
  <si>
    <t xml:space="preserve">Fôrma metálica para guarda-corpo de concreto - utilização de 50 vezes - confecção                                                                                                                       </t>
  </si>
  <si>
    <t xml:space="preserve">05M1367474    </t>
  </si>
  <si>
    <t>Chapa fina em aço galvanizado - Caminhão carroceria 5 t -    5915474</t>
  </si>
  <si>
    <t xml:space="preserve">Caiação manual com fixador de cal                                                                                                                                                                       </t>
  </si>
  <si>
    <t xml:space="preserve">02M0345       </t>
  </si>
  <si>
    <t>Cal hidratada - saco</t>
  </si>
  <si>
    <t xml:space="preserve">02M0729       </t>
  </si>
  <si>
    <t>Fixador de cal para pintura</t>
  </si>
  <si>
    <t xml:space="preserve">05M0345474    </t>
  </si>
  <si>
    <t>Cal hidratada - saco - Caminhão carroceria 5 t -    5915474</t>
  </si>
  <si>
    <t xml:space="preserve">04M0345       </t>
  </si>
  <si>
    <t>Cal hidratada - saco - Caminhão carroceria 15 t - 5914449 - 5914464 - 5914479</t>
  </si>
  <si>
    <t xml:space="preserve">Substituição de junta de dilatação e lábios poliméricos - fornecimento e instalação                                                                                                                     </t>
  </si>
  <si>
    <t xml:space="preserve">0307084-040   </t>
  </si>
  <si>
    <t>Lábios poliméricos em junta de pavimento de concreto - L = 20 mm e H = 30 mm - confecção e assentamento</t>
  </si>
  <si>
    <t xml:space="preserve">0307733-040   </t>
  </si>
  <si>
    <t>Junta de dilatação em elastômero e perfil VV - L = 20 mm e H = 40 mm - fornecimento e instalação</t>
  </si>
  <si>
    <t xml:space="preserve">Lábios poliméricos em junta de pavimento de concreto - L = 20 mm e H = 30 mm - confecção e assentamento                                                                                                 </t>
  </si>
  <si>
    <t xml:space="preserve">02M1379       </t>
  </si>
  <si>
    <t>Argamassa polimérica monocomponente para reparos estruturais</t>
  </si>
  <si>
    <t xml:space="preserve">02M1391       </t>
  </si>
  <si>
    <t>Ponteiro para martelete - D = 22 mm e C = 1.00 m</t>
  </si>
  <si>
    <t xml:space="preserve">05M1379655    </t>
  </si>
  <si>
    <t>Argamassa polimérica monocomponente para reparos estruturais - Caminhão carroceria 15 t -    5914655</t>
  </si>
  <si>
    <t xml:space="preserve">04M1379       </t>
  </si>
  <si>
    <t>Argamassa polimérica monocomponente para reparos estruturais - Caminhão carroceria 15 t - 5914449 - 5914464 - 5914479</t>
  </si>
  <si>
    <t xml:space="preserve">Junta de dilatação em elastômero e perfil VV - L = 20 mm e H = 40 mm - fornecimento e instalação                                                                                                        </t>
  </si>
  <si>
    <t xml:space="preserve">02M1132       </t>
  </si>
  <si>
    <t>Junta de dilatação em elastômero e perfil VV - L = 20 mm e H = 40 mm</t>
  </si>
  <si>
    <t xml:space="preserve">02M1150       </t>
  </si>
  <si>
    <t>Adesivo estrutural à base de resina epóxi bicomponente tipo ADE-52 ou similar</t>
  </si>
  <si>
    <t xml:space="preserve">05M1132655    </t>
  </si>
  <si>
    <t>Junta de dilatação em elastômero e perfil VV - L = 20 mm e H = 40 mm - Caminhão carroceria 15 t -    5914655</t>
  </si>
  <si>
    <t xml:space="preserve">05M1150655    </t>
  </si>
  <si>
    <t>Adesivo estrutural à base de resina epóxi bicomponente tipo ADE-52 ou similar - Caminhão carroceria 15 t -    5914655</t>
  </si>
  <si>
    <t xml:space="preserve">04M1132       </t>
  </si>
  <si>
    <t>Junta de dilatação em elastômero e perfil VV - L = 20 mm e H = 40 mm - Caminhão carroceria 15 t - 5914449 - 5914464 - 5914479</t>
  </si>
  <si>
    <t xml:space="preserve">04M1150       </t>
  </si>
  <si>
    <t>Adesivo estrutural à base de resina epóxi bicomponente tipo ADE-52 ou similar - Caminhão carroceria 15 t - 5914449 - 5914464 - 5914479</t>
  </si>
  <si>
    <t xml:space="preserve">Limpeza de ponte                                                                                                                                                                                        </t>
  </si>
  <si>
    <t xml:space="preserve">Limpeza de sarjeta e meio-fio                                                                                                                                                                           </t>
  </si>
  <si>
    <t xml:space="preserve">Limpeza de vala de drenagem                                                                                                                                                                             </t>
  </si>
  <si>
    <t xml:space="preserve">Limpeza de bueiro                                                                                                                                                                                       </t>
  </si>
  <si>
    <t xml:space="preserve">Recomposição manual de taludes                                                                                                                                                                          </t>
  </si>
  <si>
    <t xml:space="preserve">03E9647       </t>
  </si>
  <si>
    <t>Compactador manual com soquete vibratório - 4.10 kW</t>
  </si>
  <si>
    <t>Escavação e carga de material de jazida com escavadeira hidráulica de 1.56 m³ - Caminhão basculante 6 m³ -    5914353</t>
  </si>
  <si>
    <t xml:space="preserve">4016096-040   </t>
  </si>
  <si>
    <t>Escavação e carga de material de jazida com escavadeira hidráulica de 1.56 m³</t>
  </si>
  <si>
    <t>Escavação e carga de material de jazida com escavadeira hidráulica de 1.56 m³ - Caminhão basculante 10 m³ - 5914359 - 5914374 - 5914389</t>
  </si>
  <si>
    <t xml:space="preserve">Escavação e carga de material de jazida com escavadeira hidráulica de 1.56 m³                                                                                                                           </t>
  </si>
  <si>
    <t xml:space="preserve">03E9515       </t>
  </si>
  <si>
    <t>Escavadeira hidráulica sobre esteiras com caçamba com capacidade de 1.56 m³ - 118 kW</t>
  </si>
  <si>
    <t xml:space="preserve">Recomposição mecânica de taludes                                                                                                                                                                        </t>
  </si>
  <si>
    <t xml:space="preserve">03E9042       </t>
  </si>
  <si>
    <t>Trator sobre esteiras com lâmina - 97 kW</t>
  </si>
  <si>
    <t xml:space="preserve">03E9685       </t>
  </si>
  <si>
    <t>Rolo compactador pé de carneiro vibratório autopropelido por pneus de 11.6 t - 82 kW</t>
  </si>
  <si>
    <t xml:space="preserve">Recomposição mecância de erosões                                                                                                                                                                        </t>
  </si>
  <si>
    <t xml:space="preserve">Roçada manual                                                                                                                                                                                           </t>
  </si>
  <si>
    <t xml:space="preserve">ha    </t>
  </si>
  <si>
    <t xml:space="preserve">Roçada mecanizada                                                                                                                                                                                       </t>
  </si>
  <si>
    <t xml:space="preserve">03E9745       </t>
  </si>
  <si>
    <t>Trator agrícola sobre pneus com roçadeira de arraste e capacidade de 1.50 m - 77 kW</t>
  </si>
  <si>
    <t xml:space="preserve">Capina manual                                                                                                                                                                                           </t>
  </si>
  <si>
    <t xml:space="preserve">Hidrossemeadura                                                                                                                                                                                         </t>
  </si>
  <si>
    <t xml:space="preserve">03E9792       </t>
  </si>
  <si>
    <t>Caminhão para hidrossemeadura com capacidade de 7500 l - 136 kW</t>
  </si>
  <si>
    <t xml:space="preserve">02M0050       </t>
  </si>
  <si>
    <t>Aditivo natural tipo goma xantana para hidrossemeadura</t>
  </si>
  <si>
    <t xml:space="preserve">02M0217       </t>
  </si>
  <si>
    <t>Enxofre</t>
  </si>
  <si>
    <t xml:space="preserve">02M0220       </t>
  </si>
  <si>
    <t>Adubo à base de nitrogênio. fósforo e potássio (NPK)</t>
  </si>
  <si>
    <t xml:space="preserve">02M0223       </t>
  </si>
  <si>
    <t>Sementes para hidrossemeadura</t>
  </si>
  <si>
    <t xml:space="preserve">02M0225       </t>
  </si>
  <si>
    <t>Adubo orgânico composto</t>
  </si>
  <si>
    <t xml:space="preserve">02M1755       </t>
  </si>
  <si>
    <t>Pó calcário dolomítico</t>
  </si>
  <si>
    <t xml:space="preserve">02M1756       </t>
  </si>
  <si>
    <t>Material formador de camada protetora para hidrossemeadura</t>
  </si>
  <si>
    <t xml:space="preserve">05M0050655    </t>
  </si>
  <si>
    <t>Aditivo natural tipo goma xantana para hidrossemeadura - Caminhão carroceria 15 t -    5914655</t>
  </si>
  <si>
    <t xml:space="preserve">05M0220655    </t>
  </si>
  <si>
    <t>Adubo à base de nitrogênio. fósforo e potássio (NPK) - Caminhão carroceria 15 t -    5914655</t>
  </si>
  <si>
    <t xml:space="preserve">05M0223655    </t>
  </si>
  <si>
    <t>Sementes para hidrossemeadura - Caminhão carroceria 15 t -    5914655</t>
  </si>
  <si>
    <t xml:space="preserve">05M0225655    </t>
  </si>
  <si>
    <t>Adubo orgânico composto - Caminhão carroceria 15 t -    5914655</t>
  </si>
  <si>
    <t xml:space="preserve">05M1755655    </t>
  </si>
  <si>
    <t>Pó calcário dolomítico - Caminhão carroceria 15 t -    5914655</t>
  </si>
  <si>
    <t xml:space="preserve">05M1756655    </t>
  </si>
  <si>
    <t>Material formador de camada protetora para hidrossemeadura - Caminhão carroceria 15 t -    5914655</t>
  </si>
  <si>
    <t xml:space="preserve">04M0050       </t>
  </si>
  <si>
    <t>Aditivo natural tipo goma xantana para hidrossemeadura - Caminhão carroceria 15 t - 5914449 - 5914464 - 5914479</t>
  </si>
  <si>
    <t xml:space="preserve">04M0220       </t>
  </si>
  <si>
    <t>Adubo à base de nitrogênio. fósforo e potássio (NPK) - Caminhão carroceria 15 t - 5914449 - 5914464 - 5914479</t>
  </si>
  <si>
    <t xml:space="preserve">04M0223       </t>
  </si>
  <si>
    <t>Sementes para hidrossemeadura - Caminhão carroceria 15 t - 5914449 - 5914464 - 5914479</t>
  </si>
  <si>
    <t xml:space="preserve">04M0225       </t>
  </si>
  <si>
    <t>Adubo orgânico composto - Caminhão carroceria 15 t - 5914449 - 5914464 - 5914479</t>
  </si>
  <si>
    <t xml:space="preserve">04M1755       </t>
  </si>
  <si>
    <t>Pó calcário dolomítico - Caminhão carroceria 15 t - 5914449 - 5914464 - 5914479</t>
  </si>
  <si>
    <t xml:space="preserve">04M1756       </t>
  </si>
  <si>
    <t>Material formador de camada protetora para hidrossemeadura - Caminhão carroceria 15 t - 5914449 - 5914464 - 5914479</t>
  </si>
  <si>
    <t xml:space="preserve">Limpeza de pistas e remoção dos entulhos                                                                                                                                                                </t>
  </si>
  <si>
    <t xml:space="preserve">05M3515459    </t>
  </si>
  <si>
    <t>Grãos. agregados e solos derramados na pista - Caminhão basculante 6 m³ -    5915459</t>
  </si>
  <si>
    <t xml:space="preserve">04M3515       </t>
  </si>
  <si>
    <t>Grãos. agregados e solos derramados na pista - Caminhão basculante 6 m³ - 5914314 - 5914329 - 5914344</t>
  </si>
  <si>
    <t xml:space="preserve">Recomposição total de cerca com mourão de concreto seção quadrada - areia e brita comerciais                                                                                                            </t>
  </si>
  <si>
    <t xml:space="preserve">02M0069       </t>
  </si>
  <si>
    <t>Arame farpado em aço galvanizado - D = 1.60 mm</t>
  </si>
  <si>
    <t xml:space="preserve">02M0072       </t>
  </si>
  <si>
    <t>Arame liso em aço galvanizado - D = 2.10 mm (14 BWG)</t>
  </si>
  <si>
    <t xml:space="preserve">3716129-040   </t>
  </si>
  <si>
    <t>Fabricação de mourão de concreto esticador - seção quadrada de 15 cm - areia e brita comerciais</t>
  </si>
  <si>
    <t xml:space="preserve">3716131-040   </t>
  </si>
  <si>
    <t>Fabricação de mourão de concreto suporte - seção quadrada de 11 cm - areia e brita comerciais</t>
  </si>
  <si>
    <t>Fabricação de mourão de concreto esticador - seção quadrada de 15 cm - areia e brita comerciais - Caminhão carroceria 15 t - 5914449 - 5914464 - 5914479</t>
  </si>
  <si>
    <t>Fabricação de mourão de concreto suporte - seção quadrada de 11 cm - areia e brita comerciais - Caminhão carroceria 15 t - 5914449 - 5914464 - 5914479</t>
  </si>
  <si>
    <t xml:space="preserve">04M0069       </t>
  </si>
  <si>
    <t>Arame farpado em aço galvanizado - D = 1.60 mm - Caminhão carroceria 15 t - 5914449 - 5914464 - 5914479</t>
  </si>
  <si>
    <t xml:space="preserve">Fabricação de mourão de concreto esticador - seção quadrada de 15 cm - areia e brita comerciais                                                                                                         </t>
  </si>
  <si>
    <t xml:space="preserve">03E9703       </t>
  </si>
  <si>
    <t>Fábrica de pré-moldado de concreto para mourão - 2.20 kW</t>
  </si>
  <si>
    <t xml:space="preserve">0407820-040   </t>
  </si>
  <si>
    <t>Armação em aço CA-60 - fornecimento. preparo e colocação</t>
  </si>
  <si>
    <t xml:space="preserve">1116127-040   </t>
  </si>
  <si>
    <t>Concreto fck = 25 MPa para pré-moldados (mourões) - confecção em betoneira e lançamento manual - areia e brita comerciais</t>
  </si>
  <si>
    <t xml:space="preserve">Armação em aço CA-60 - fornecimento. preparo e colocação                                                                                                                                                </t>
  </si>
  <si>
    <t xml:space="preserve">02M0014       </t>
  </si>
  <si>
    <t>Aço CA 60</t>
  </si>
  <si>
    <t xml:space="preserve">05M0014655    </t>
  </si>
  <si>
    <t>Aço CA 60 - Caminhão carroceria 15 t -    5914655</t>
  </si>
  <si>
    <t xml:space="preserve">04M0014       </t>
  </si>
  <si>
    <t>Aço CA 60 - Caminhão carroceria 15 t - 5914449 - 5914464 - 5914479</t>
  </si>
  <si>
    <t xml:space="preserve">Concreto fck = 25 MPa para pré-moldados (mourões) - confecção em betoneira e lançamento manual - areia e brita comerciais                                                                               </t>
  </si>
  <si>
    <t xml:space="preserve">Fabricação de mourão de concreto suporte - seção quadrada de 11 cm - areia e brita comerciais                                                                                                           </t>
  </si>
  <si>
    <t xml:space="preserve">Pintura e conservação geral de instalações operacionais                                                                                                                                                 </t>
  </si>
  <si>
    <t xml:space="preserve">03E9061       </t>
  </si>
  <si>
    <t>Lixadeira elétrica manual angular - 2 kW</t>
  </si>
  <si>
    <t xml:space="preserve">01P9808       </t>
  </si>
  <si>
    <t>Carpinteiro</t>
  </si>
  <si>
    <t xml:space="preserve">02M0879       </t>
  </si>
  <si>
    <t>Lixa para ferro Nº 150</t>
  </si>
  <si>
    <t xml:space="preserve">02M0997       </t>
  </si>
  <si>
    <t>Materiais diversos - conservação</t>
  </si>
  <si>
    <t xml:space="preserve">vb    </t>
  </si>
  <si>
    <t xml:space="preserve">02M1575       </t>
  </si>
  <si>
    <t>Tinta látex à base de resina acrílica</t>
  </si>
  <si>
    <t xml:space="preserve">02M2128       </t>
  </si>
  <si>
    <t>Tinta esmalte sintético acetinado</t>
  </si>
  <si>
    <t xml:space="preserve">Conservação de Sistema de Iluminação                                                                                                                                                                    </t>
  </si>
  <si>
    <t xml:space="preserve">03E9041       </t>
  </si>
  <si>
    <t>Caminhão carroceria com guindauto com capacidade de 45 tm - 188 kW</t>
  </si>
  <si>
    <t xml:space="preserve">03E9684       </t>
  </si>
  <si>
    <t>Veículo leve picape 4 x 4 com capacidade de 1.10 t - 147 kW</t>
  </si>
  <si>
    <t xml:space="preserve">01P9810       </t>
  </si>
  <si>
    <t>Eletricista</t>
  </si>
  <si>
    <t xml:space="preserve">02M0995       </t>
  </si>
  <si>
    <t>Luminária de Led para iluminação pública - 200w</t>
  </si>
  <si>
    <t xml:space="preserve">02M0996       </t>
  </si>
  <si>
    <t>Materiais diversos - iluminação</t>
  </si>
  <si>
    <t>Extensão Equivalente</t>
  </si>
  <si>
    <t xml:space="preserve">DESCRIÇÃO DOS SERVIÇOS </t>
  </si>
  <si>
    <t>ANO DA CONCESSÃO</t>
  </si>
  <si>
    <t>SISTEMA EXISTENTE</t>
  </si>
  <si>
    <t>Extensão Equivalente a uma Pista (3,50m) (km)</t>
  </si>
  <si>
    <t>TOTAL</t>
  </si>
  <si>
    <t>Sistema Existente - EXTENSÃO DE PISTA</t>
  </si>
  <si>
    <t>Km</t>
  </si>
  <si>
    <t>1.0</t>
  </si>
  <si>
    <t>040EMS0010 - Km 0,0 até 16,5</t>
  </si>
  <si>
    <t>km</t>
  </si>
  <si>
    <t>040EMS0166 - Km 16,5 até Km 119,7</t>
  </si>
  <si>
    <t>040EMS1225 - Km 119,7 até Km 139,0</t>
  </si>
  <si>
    <t>040EMS1421 - Km 139,0 até Km 186,5</t>
  </si>
  <si>
    <t>040EMS1896 - Km 186,5 até Km 209,9</t>
  </si>
  <si>
    <t>Sta R</t>
  </si>
  <si>
    <t>040EMS2130 - Km 209,9 até Km 224,4</t>
  </si>
  <si>
    <t>040EMS2245 - Km 224,4 até Km 224,5</t>
  </si>
  <si>
    <t>Sistema Existente - EXTENSÃO DE TRECHO DUPLICADO</t>
  </si>
  <si>
    <t>2.0</t>
  </si>
  <si>
    <t>2.4</t>
  </si>
  <si>
    <t>2.5</t>
  </si>
  <si>
    <t>2.6</t>
  </si>
  <si>
    <t>2.7</t>
  </si>
  <si>
    <t>Extensão Equivalente a uma Faixa Adicional (3,20m) (km)</t>
  </si>
  <si>
    <t>Sistema Existente - EXTENSÃO DE FAIXA ADICIONAL</t>
  </si>
  <si>
    <t>3.0</t>
  </si>
  <si>
    <t>3.2</t>
  </si>
  <si>
    <t>3.3</t>
  </si>
  <si>
    <t>3.4</t>
  </si>
  <si>
    <t>3.5</t>
  </si>
  <si>
    <t>3.6</t>
  </si>
  <si>
    <t>3.7</t>
  </si>
  <si>
    <t>Extensão Equivalente a um Acostamento (2,5m) (km)</t>
  </si>
  <si>
    <t>Sistema Existente - EXTENSÃO DE ACOSTAMENTO</t>
  </si>
  <si>
    <t>4.0</t>
  </si>
  <si>
    <t>4.2</t>
  </si>
  <si>
    <t>4.3</t>
  </si>
  <si>
    <t>4.4</t>
  </si>
  <si>
    <t>4.5</t>
  </si>
  <si>
    <t>4.6</t>
  </si>
  <si>
    <t>4.7</t>
  </si>
  <si>
    <t>Considerando Pistas com 3,50m de largura (km)</t>
  </si>
  <si>
    <t>Sistema Existente - ÁREA DE PISTA</t>
  </si>
  <si>
    <t>Considerando Faixas Adicionais com 3,20m de largura (km)</t>
  </si>
  <si>
    <t>Sistema Existente - ÁREA DE FAIXA ADICIONAL</t>
  </si>
  <si>
    <t>Considerando Acostamentos com Larguras Variadas (km)</t>
  </si>
  <si>
    <t>Sistema Existente - ÁREA DE ACOSTAMENTO</t>
  </si>
  <si>
    <t>SISTEMA FUTURO</t>
  </si>
  <si>
    <t>AMPLIAÇÕES</t>
  </si>
  <si>
    <t>Extensão das 3ª Faixas</t>
  </si>
  <si>
    <t>Extensão Acostamento - Equivalente a um Acost. (2,5m) (km)</t>
  </si>
  <si>
    <t>Readequação de Dispositivos</t>
  </si>
  <si>
    <t>Implantação de Dispositivos</t>
  </si>
  <si>
    <t>Implantação de Retorno - Km 26,000</t>
  </si>
  <si>
    <t>Implantação de Retorno - Km 36,000</t>
  </si>
  <si>
    <t>Implantação de Retorno - Km 46,000</t>
  </si>
  <si>
    <t>Implantação de Retorno - Km 56,000</t>
  </si>
  <si>
    <t>Implantação de Retorno - Km 66,000</t>
  </si>
  <si>
    <t>Implantação de Retorno - Km 76,000</t>
  </si>
  <si>
    <t>Implantação de Retorno - Km 86,000</t>
  </si>
  <si>
    <t>Implantação de Retorno - Km 96,000</t>
  </si>
  <si>
    <t>Implantação de Retorno - Km 106,000</t>
  </si>
  <si>
    <t>Implantação de Retorno - Km 116,000</t>
  </si>
  <si>
    <t>Implantação de Retorno - Km 126,000</t>
  </si>
  <si>
    <t>Implantação de Retorno - Km 146,000</t>
  </si>
  <si>
    <t>Implantação de Retorno - Km 156,000</t>
  </si>
  <si>
    <t>Implantação de Retorno - Km 166,000</t>
  </si>
  <si>
    <t>Implantação de Retorno - Km 186,000</t>
  </si>
  <si>
    <t>Implantação de Retorno - Km 196,000</t>
  </si>
  <si>
    <t>Implantação de Entroncamento Tipo X - Km 209,934</t>
  </si>
  <si>
    <t>Implantação de Acessos</t>
  </si>
  <si>
    <t>5.0</t>
  </si>
  <si>
    <t>5.1</t>
  </si>
  <si>
    <t>5.2</t>
  </si>
  <si>
    <t>5.3</t>
  </si>
  <si>
    <t>5.4</t>
  </si>
  <si>
    <t>5.5</t>
  </si>
  <si>
    <t>5.6</t>
  </si>
  <si>
    <t>5.7</t>
  </si>
  <si>
    <t>Implantação de Marginais</t>
  </si>
  <si>
    <t>6.0</t>
  </si>
  <si>
    <t>6.2</t>
  </si>
  <si>
    <t>6.3</t>
  </si>
  <si>
    <t>6.4</t>
  </si>
  <si>
    <t>6.5</t>
  </si>
  <si>
    <t>6.6</t>
  </si>
  <si>
    <t>6.7</t>
  </si>
  <si>
    <t>Extensão Equivalente a uma Pista de 3,50m (km)</t>
  </si>
  <si>
    <t>Sistema Futuro - EXTENSÃO DE PISTA</t>
  </si>
  <si>
    <t>Extensão Equivalente a uma Faixa Adicional de 3,20m (km)</t>
  </si>
  <si>
    <t>Sistema Futuro - EXTENSÃO DE FAIXA ADICIONAL</t>
  </si>
  <si>
    <t>Sistema Futuro - EXTENSÃO DE ACOSTAMENTO</t>
  </si>
  <si>
    <t>Extensão Equivalente a um Acostamento (1,2m) (km)</t>
  </si>
  <si>
    <t>Sistema Futuro - EXTENSÃO DE ACOSTAMENTO DE FAIXA ADICIONAL</t>
  </si>
  <si>
    <t>Área (m²) - Considerando Existente + Ampliações</t>
  </si>
  <si>
    <t>Sistema Futuro - ÁREA DE PISTA</t>
  </si>
  <si>
    <t>Área (m²) - Faixa Adicional</t>
  </si>
  <si>
    <t>Sistema Futuro - ÁREA DE FAIXA ADICIONAL</t>
  </si>
  <si>
    <t>Área (m²) - Acostamento</t>
  </si>
  <si>
    <t>Sistema Futuro - ÁREA DE ACOSTAMENTO</t>
  </si>
  <si>
    <t>Resumo da área pavimentada</t>
  </si>
  <si>
    <t>Pistas Equivalentes a Largura de 3,50 m (m²)</t>
  </si>
  <si>
    <t>Faixas Adicionais Equivalentes a Largura de 3,20 m (m²)</t>
  </si>
  <si>
    <t>Acostamentos Equivalentes a Largura de 2,50 m (m²)</t>
  </si>
  <si>
    <t>Área total pavimentada (m²)</t>
  </si>
  <si>
    <t>Área total pavimentada (HA)</t>
  </si>
  <si>
    <t>Extensão em km Equivalente Somente de Pista (Existente)</t>
  </si>
  <si>
    <t>Média</t>
  </si>
  <si>
    <t>Extensão em km Equivalente (Futuro)</t>
  </si>
  <si>
    <r>
      <rPr>
        <sz val="12"/>
        <rFont val="Calibri"/>
        <family val="2"/>
        <scheme val="minor"/>
      </rPr>
      <t>Local:</t>
    </r>
    <r>
      <rPr>
        <b/>
        <sz val="12"/>
        <rFont val="Calibri"/>
        <family val="2"/>
        <scheme val="minor"/>
      </rPr>
      <t xml:space="preserve"> Estado do Mato Grosso do Sul - Contorno - Santa Rita</t>
    </r>
  </si>
  <si>
    <t>SRBMS0001 - Km 0,0 até 3,3</t>
  </si>
  <si>
    <t>SRBMS0002 - Km 3,3 até 4,222</t>
  </si>
  <si>
    <t>Sistema Existente - EXTENSÃO DE MARGINAL</t>
  </si>
  <si>
    <t>TOTAL COM CONTORNO DE SANTA RITA</t>
  </si>
  <si>
    <t>Conservação</t>
  </si>
  <si>
    <t>Restauração</t>
  </si>
  <si>
    <t>Serviços Iniciais</t>
  </si>
  <si>
    <t>PADRÃO 2</t>
  </si>
  <si>
    <t>PADRÃO 3</t>
  </si>
  <si>
    <t>OBSERVAÇÕES</t>
  </si>
  <si>
    <t>Dados obtidos em benchmarking de concessões federais e estaduais</t>
  </si>
  <si>
    <t>m³/km eq.</t>
  </si>
  <si>
    <t>m²/km eq.</t>
  </si>
  <si>
    <t>t/km eq.</t>
  </si>
  <si>
    <t>m/km.eq</t>
  </si>
  <si>
    <t>m²/m²</t>
  </si>
  <si>
    <t>t/m²</t>
  </si>
  <si>
    <t>t/m³</t>
  </si>
  <si>
    <t>ud/km eq.</t>
  </si>
  <si>
    <t>m/km</t>
  </si>
  <si>
    <t>m³/km</t>
  </si>
  <si>
    <t>m/m</t>
  </si>
  <si>
    <t>m³/m</t>
  </si>
  <si>
    <t>m³/km.eq</t>
  </si>
  <si>
    <t>ha/km</t>
  </si>
  <si>
    <t>m²/km</t>
  </si>
  <si>
    <t>equipe.mês</t>
  </si>
  <si>
    <t>MC Conserva de Rotina - Dispositivos de Segurança</t>
  </si>
  <si>
    <t>SITUAÇÃO ATUAL</t>
  </si>
  <si>
    <t>SEGMENTO</t>
  </si>
  <si>
    <t>DEFENSAS METÁLICAS</t>
  </si>
  <si>
    <t>BALIZADOR/ DELINEADOR</t>
  </si>
  <si>
    <t>BARREIRAS DE CONCRETO</t>
  </si>
  <si>
    <t>040EMS0010 - CRESCENTE</t>
  </si>
  <si>
    <t>040EMS0166 - CRESCENTE</t>
  </si>
  <si>
    <t>040EMS1225 - CRESCENTE</t>
  </si>
  <si>
    <t>040EMS1421 - CRESCENTE</t>
  </si>
  <si>
    <t>040EMS1896 - CRESCENTE</t>
  </si>
  <si>
    <t>040EMS2130 - CRESCENTE</t>
  </si>
  <si>
    <t>040EMS2245 - CRESCENTE</t>
  </si>
  <si>
    <t>040EMS2246 - CRESCENTE</t>
  </si>
  <si>
    <t>040EMS0010 - DECRESCENTE</t>
  </si>
  <si>
    <t>040EMS0166 - DECRESCENTE</t>
  </si>
  <si>
    <t>040EMS1225 - DECRESCENTE</t>
  </si>
  <si>
    <t>040EMS1421 - DECRESCENTE</t>
  </si>
  <si>
    <t>040EMS1896 - DECRESCENTE</t>
  </si>
  <si>
    <t>040EMS2130 - DECRESCENTE</t>
  </si>
  <si>
    <t>040EMS2245 - DECRESCENTE</t>
  </si>
  <si>
    <t>040EMS2246 - DECRESCENTE</t>
  </si>
  <si>
    <t>metros</t>
  </si>
  <si>
    <t>MC Conserva de Rotina - Lista OAEs</t>
  </si>
  <si>
    <t>MS-040</t>
  </si>
  <si>
    <t>S R E</t>
  </si>
  <si>
    <t xml:space="preserve">ITEM </t>
  </si>
  <si>
    <t>EXTENSÃO</t>
  </si>
  <si>
    <t>ÁREA</t>
  </si>
  <si>
    <t>LARG.ANT</t>
  </si>
  <si>
    <t>LARGURA</t>
  </si>
  <si>
    <t>ALARGAMENTO</t>
  </si>
  <si>
    <t>KM INICIAL</t>
  </si>
  <si>
    <t>KM (PONTO MÉDIO)</t>
  </si>
  <si>
    <t>KM FINAL</t>
  </si>
  <si>
    <t>OBS.</t>
  </si>
  <si>
    <t>(M)</t>
  </si>
  <si>
    <t>(M²)</t>
  </si>
  <si>
    <t>040EMS0010</t>
  </si>
  <si>
    <t>OAE 001</t>
  </si>
  <si>
    <t>OAE 002</t>
  </si>
  <si>
    <t>OAE 003</t>
  </si>
  <si>
    <t>OAE 004</t>
  </si>
  <si>
    <t>OAE 005</t>
  </si>
  <si>
    <t>040EMS0166</t>
  </si>
  <si>
    <t>OAE 006</t>
  </si>
  <si>
    <t>040EMS1421</t>
  </si>
  <si>
    <t>OAE 007</t>
  </si>
  <si>
    <t>040EMS1896</t>
  </si>
  <si>
    <t>OAE 008</t>
  </si>
  <si>
    <t>040EMS2130</t>
  </si>
  <si>
    <t>OAE 009</t>
  </si>
  <si>
    <r>
      <t xml:space="preserve">EXTENSÃO E </t>
    </r>
    <r>
      <rPr>
        <b/>
        <sz val="11"/>
        <color rgb="FFFF0000"/>
        <rFont val="Calibri"/>
        <family val="2"/>
        <scheme val="minor"/>
      </rPr>
      <t>ÁREA</t>
    </r>
    <r>
      <rPr>
        <b/>
        <sz val="11"/>
        <rFont val="Calibri"/>
        <family val="2"/>
        <scheme val="minor"/>
      </rPr>
      <t xml:space="preserve"> TOTAL</t>
    </r>
  </si>
  <si>
    <t>Espaçamento entre juntas 30m</t>
  </si>
  <si>
    <t>Quantidade de Juntas da OAE</t>
  </si>
  <si>
    <t>Largura OAE (m)</t>
  </si>
  <si>
    <t>Total de juntas de dilatação</t>
  </si>
  <si>
    <t>Implantação de Entroncamento Tipo T - Km 16,500</t>
  </si>
  <si>
    <t>Implantação de Entroncamento Tipo X - Km 139,000</t>
  </si>
  <si>
    <t>Implantação de Entroncamento Tipo X - Km 177,500</t>
  </si>
  <si>
    <t>Implantação de Entroncamento Tipo T - Km 220,600</t>
  </si>
  <si>
    <t>040EMS2246 - Km 224,5 até Km 227,2</t>
  </si>
  <si>
    <r>
      <t xml:space="preserve">Data Base: </t>
    </r>
    <r>
      <rPr>
        <b/>
        <sz val="12"/>
        <color theme="1"/>
        <rFont val="Calibri"/>
        <family val="2"/>
        <scheme val="minor"/>
      </rPr>
      <t>Novembro/2024</t>
    </r>
  </si>
  <si>
    <t>Ajuste de Preço</t>
  </si>
  <si>
    <t>Classe</t>
  </si>
  <si>
    <t>I0</t>
  </si>
  <si>
    <t>I</t>
  </si>
  <si>
    <t>Ajuste</t>
  </si>
  <si>
    <t>Out/23</t>
  </si>
  <si>
    <t>Nov/24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</si>
</sst>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2">
    <numFmt numFmtId="41" formatCode="_-* #,##0_-;\-* #,##0_-;_-* &quot;-&quot;_-;_-@_-"/>
    <numFmt numFmtId="43" formatCode="_-* #,##0.00_-;\-* #,##0.00_-;_-* &quot;-&quot;??_-;_-@_-"/>
    <numFmt numFmtId="164" formatCode="0.0000"/>
    <numFmt numFmtId="165" formatCode="_-* #,##0.0000000_-;\-* #,##0.0000000_-;_-* &quot;-&quot;??_-;_-@_-"/>
    <numFmt numFmtId="166" formatCode="_-* #,##0.0000000_-;\-* #,##0.0000000_-;_-* &quot;-&quot;???????_-;_-@_-"/>
    <numFmt numFmtId="167" formatCode="0.0%"/>
    <numFmt numFmtId="168" formatCode="0.000000"/>
    <numFmt numFmtId="169" formatCode="0\+000"/>
    <numFmt numFmtId="170" formatCode="_-* #,##0.0000_-;\-* #,##0.0000_-;_-* &quot;-&quot;??_-;_-@_-"/>
    <numFmt numFmtId="171" formatCode="[$-809]dd\ mmmm\ yyyy;@"/>
    <numFmt numFmtId="172" formatCode="[$-F800]dddd\,\ mmmm\ dd\,\ yyyy"/>
    <numFmt numFmtId="173" formatCode="#,##0;[Red]\(#,##0\);\-"/>
    <numFmt numFmtId="174" formatCode="#,##0.0%;[Red]\(#,##0.0%\);\-"/>
    <numFmt numFmtId="175" formatCode="_ * #,##0.00_ ;_ * \-#,##0.00_ ;_ * &quot;-&quot;??_ ;_ @_ "/>
    <numFmt numFmtId="176" formatCode="#,##0;\(#,##0\);\-"/>
    <numFmt numFmtId="177" formatCode="[Red]&quot;E: &quot;#,##0;[Red]&quot;E: &quot;\-#,##0;[Blue]&quot;OK&quot;"/>
    <numFmt numFmtId="178" formatCode="_(&quot;£&quot;* #,##0_);_(&quot;£&quot;* \(#,##0\);_(&quot;£&quot;* &quot;-&quot;_);_(@_)"/>
    <numFmt numFmtId="179" formatCode="_(&quot;£&quot;* #,##0.00_);_(&quot;£&quot;* \(#,##0.00\);_(&quot;£&quot;* &quot;-&quot;??_);_(@_)"/>
    <numFmt numFmtId="180" formatCode="#,##0.0%;[Red]\(#,##0.0%\)"/>
    <numFmt numFmtId="181" formatCode="_(* #,##0.00_);_(* \(#,##0.00\);_(* &quot;-&quot;??_);_(@_)"/>
    <numFmt numFmtId="182" formatCode="_(* #,##0_);_(* \(#,##0\);_(* &quot;-&quot;??_);_(@_)"/>
    <numFmt numFmtId="183" formatCode="_-* #,##0_-;\-* #,##0_-;_-* &quot;-&quot;??_-;_-@_-"/>
  </numFmts>
  <fonts count="76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9C6500"/>
      <name val="Calibri"/>
      <family val="2"/>
      <scheme val="minor"/>
    </font>
    <font>
      <b/>
      <sz val="18"/>
      <color rgb="FF57626E"/>
      <name val="Calibri"/>
      <family val="2"/>
    </font>
    <font>
      <b/>
      <sz val="14"/>
      <color rgb="FF57626E"/>
      <name val="Calibri"/>
      <family val="2"/>
    </font>
    <font>
      <b/>
      <sz val="13"/>
      <color theme="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sz val="10"/>
      <color rgb="FF57626E"/>
      <name val="Calibri"/>
      <family val="2"/>
    </font>
    <font>
      <sz val="10"/>
      <color theme="9" tint="-0.499984740745262"/>
      <name val="Calibri"/>
      <family val="2"/>
    </font>
    <font>
      <i/>
      <sz val="10"/>
      <color rgb="FFAE1231"/>
      <name val="Calibri"/>
      <family val="2"/>
    </font>
    <font>
      <sz val="10"/>
      <color rgb="FFAE1231"/>
      <name val="Calibri"/>
      <family val="2"/>
    </font>
    <font>
      <b/>
      <sz val="10"/>
      <color theme="0"/>
      <name val="Calibri"/>
      <family val="2"/>
    </font>
    <font>
      <sz val="11"/>
      <color theme="1"/>
      <name val="Calibri"/>
      <family val="2"/>
      <charset val="134"/>
      <scheme val="minor"/>
    </font>
    <font>
      <b/>
      <sz val="13"/>
      <name val="Calibri"/>
      <family val="2"/>
      <scheme val="minor"/>
    </font>
    <font>
      <sz val="11"/>
      <name val="Calibri"/>
      <family val="2"/>
    </font>
    <font>
      <sz val="10"/>
      <color rgb="FF9C0006"/>
      <name val="Calibri"/>
      <family val="2"/>
    </font>
    <font>
      <sz val="10"/>
      <color theme="8" tint="-0.24994659260841701"/>
      <name val="Calibri"/>
      <family val="2"/>
    </font>
    <font>
      <sz val="10"/>
      <color rgb="FF9C6500"/>
      <name val="Calibri"/>
      <family val="2"/>
    </font>
    <font>
      <sz val="10"/>
      <color theme="1"/>
      <name val="Calibri"/>
      <family val="2"/>
    </font>
    <font>
      <sz val="10"/>
      <color theme="0"/>
      <name val="Calibri"/>
      <family val="2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Bradley Hand ITC"/>
      <family val="4"/>
    </font>
    <font>
      <i/>
      <sz val="10"/>
      <color theme="8" tint="-0.499984740745262"/>
      <name val="Arial"/>
      <family val="2"/>
    </font>
    <font>
      <sz val="10"/>
      <color theme="8" tint="-0.49998474074526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8"/>
      <name val="Arial Narrow"/>
      <family val="2"/>
    </font>
    <font>
      <b/>
      <sz val="11"/>
      <color rgb="FF000000"/>
      <name val="Calibri"/>
      <family val="2"/>
    </font>
    <font>
      <sz val="10"/>
      <name val="Times New Roman"/>
      <family val="1"/>
    </font>
    <font>
      <sz val="11"/>
      <color rgb="FF000000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fgColor theme="9" tint="-0.2499465926084170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7626E"/>
        <bgColor indexed="64"/>
      </patternFill>
    </fill>
    <fill>
      <patternFill patternType="solid">
        <fgColor rgb="FFA2A5AD"/>
        <bgColor indexed="64"/>
      </patternFill>
    </fill>
    <fill>
      <patternFill patternType="solid">
        <fgColor rgb="FFFDE3D2"/>
        <bgColor indexed="64"/>
      </patternFill>
    </fill>
    <fill>
      <patternFill patternType="solid">
        <fgColor rgb="FFD6E7F2"/>
        <bgColor indexed="64"/>
      </patternFill>
    </fill>
    <fill>
      <patternFill patternType="solid">
        <fgColor rgb="FFFBC080"/>
        <bgColor indexed="64"/>
      </patternFill>
    </fill>
    <fill>
      <patternFill patternType="solid">
        <fgColor rgb="FFAE1231"/>
        <bgColor indexed="64"/>
      </patternFill>
    </fill>
    <fill>
      <patternFill patternType="solid">
        <fgColor rgb="FF002C5B"/>
        <bgColor indexed="64"/>
      </patternFill>
    </fill>
    <fill>
      <patternFill patternType="solid">
        <fgColor rgb="FF98A2BD"/>
        <bgColor indexed="64"/>
      </patternFill>
    </fill>
    <fill>
      <patternFill patternType="solid">
        <fgColor rgb="FFC2A2C1"/>
        <bgColor indexed="64"/>
      </patternFill>
    </fill>
    <fill>
      <patternFill patternType="solid">
        <fgColor theme="9" tint="-9.9948118533890809E-2"/>
        <bgColor indexed="64"/>
      </patternFill>
    </fill>
    <fill>
      <patternFill patternType="lightUp"/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4"/>
        <bgColor theme="0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Up">
        <bgColor theme="4" tint="0.79998168889431442"/>
      </patternFill>
    </fill>
    <fill>
      <patternFill patternType="lightUp">
        <bgColor theme="4" tint="0.79995117038483843"/>
      </patternFill>
    </fill>
    <fill>
      <patternFill patternType="solid">
        <fgColor rgb="FFFF0000"/>
        <bgColor indexed="64"/>
      </patternFill>
    </fill>
    <fill>
      <patternFill patternType="lightUp">
        <fgColor theme="4" tint="-0.24994659260841701"/>
        <bgColor indexed="65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0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rgb="FFAE1231"/>
      </bottom>
      <diagonal/>
    </border>
    <border>
      <left/>
      <right/>
      <top/>
      <bottom style="thin">
        <color rgb="FFAE123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rgb="FF98A2BD"/>
      </bottom>
      <diagonal/>
    </border>
    <border>
      <left/>
      <right/>
      <top/>
      <bottom style="thick">
        <color rgb="FF002C5B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5" fillId="0" borderId="0"/>
    <xf numFmtId="0" fontId="30" fillId="0" borderId="42" applyNumberFormat="0" applyFill="0" applyAlignment="0" applyProtection="0"/>
    <xf numFmtId="0" fontId="31" fillId="0" borderId="43" applyNumberFormat="0" applyFill="0" applyAlignment="0" applyProtection="0"/>
    <xf numFmtId="0" fontId="32" fillId="0" borderId="44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4" borderId="46" applyNumberFormat="0" applyAlignment="0" applyProtection="0"/>
    <xf numFmtId="0" fontId="36" fillId="14" borderId="45" applyNumberFormat="0" applyAlignment="0" applyProtection="0"/>
    <xf numFmtId="0" fontId="37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7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7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7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7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7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15" borderId="47" applyNumberFormat="0" applyFont="0" applyAlignment="0" applyProtection="0"/>
    <xf numFmtId="171" fontId="40" fillId="0" borderId="0">
      <alignment horizontal="left"/>
    </xf>
    <xf numFmtId="172" fontId="41" fillId="0" borderId="0"/>
    <xf numFmtId="0" fontId="42" fillId="40" borderId="0" applyProtection="0">
      <alignment vertical="center"/>
    </xf>
    <xf numFmtId="0" fontId="43" fillId="41" borderId="0" applyProtection="0">
      <alignment vertical="center"/>
    </xf>
    <xf numFmtId="0" fontId="44" fillId="0" borderId="50" applyProtection="0">
      <alignment vertical="center"/>
    </xf>
    <xf numFmtId="0" fontId="44" fillId="0" borderId="51" applyFill="0" applyProtection="0">
      <alignment vertical="center"/>
    </xf>
    <xf numFmtId="15" fontId="45" fillId="42" borderId="48">
      <alignment vertical="center"/>
    </xf>
    <xf numFmtId="17" fontId="45" fillId="42" borderId="48">
      <alignment vertical="center"/>
    </xf>
    <xf numFmtId="173" fontId="45" fillId="42" borderId="48">
      <alignment vertical="center"/>
    </xf>
    <xf numFmtId="174" fontId="45" fillId="42" borderId="48">
      <alignment horizontal="right" vertical="center"/>
    </xf>
    <xf numFmtId="49" fontId="45" fillId="42" borderId="48">
      <alignment vertical="center"/>
    </xf>
    <xf numFmtId="49" fontId="45" fillId="42" borderId="48">
      <alignment vertical="center"/>
    </xf>
    <xf numFmtId="15" fontId="45" fillId="43" borderId="48">
      <alignment vertical="center"/>
    </xf>
    <xf numFmtId="17" fontId="45" fillId="43" borderId="48">
      <alignment vertical="center"/>
    </xf>
    <xf numFmtId="173" fontId="45" fillId="43" borderId="48">
      <alignment vertical="center"/>
    </xf>
    <xf numFmtId="174" fontId="45" fillId="43" borderId="48">
      <alignment horizontal="right" vertical="center"/>
    </xf>
    <xf numFmtId="49" fontId="45" fillId="43" borderId="48">
      <alignment vertical="center"/>
    </xf>
    <xf numFmtId="49" fontId="45" fillId="43" borderId="48">
      <alignment vertical="center"/>
    </xf>
    <xf numFmtId="15" fontId="45" fillId="44" borderId="48">
      <alignment vertical="center"/>
    </xf>
    <xf numFmtId="17" fontId="45" fillId="44" borderId="48">
      <alignment vertical="center"/>
    </xf>
    <xf numFmtId="173" fontId="45" fillId="44" borderId="48">
      <alignment vertical="center"/>
    </xf>
    <xf numFmtId="174" fontId="45" fillId="44" borderId="48">
      <alignment horizontal="right" vertical="center"/>
    </xf>
    <xf numFmtId="49" fontId="45" fillId="44" borderId="48">
      <alignment vertical="center"/>
    </xf>
    <xf numFmtId="49" fontId="45" fillId="44" borderId="48">
      <alignment vertical="center"/>
    </xf>
    <xf numFmtId="0" fontId="33" fillId="11" borderId="48" applyNumberFormat="0" applyAlignment="0" applyProtection="0"/>
    <xf numFmtId="15" fontId="45" fillId="0" borderId="52">
      <alignment vertical="center"/>
    </xf>
    <xf numFmtId="17" fontId="45" fillId="0" borderId="52">
      <alignment vertical="center"/>
    </xf>
    <xf numFmtId="173" fontId="45" fillId="0" borderId="52">
      <alignment vertical="center"/>
    </xf>
    <xf numFmtId="174" fontId="45" fillId="0" borderId="52">
      <alignment horizontal="right" vertical="center"/>
    </xf>
    <xf numFmtId="173" fontId="46" fillId="0" borderId="53">
      <alignment vertical="center"/>
    </xf>
    <xf numFmtId="174" fontId="46" fillId="0" borderId="53">
      <alignment horizontal="right" vertical="center"/>
    </xf>
    <xf numFmtId="43" fontId="3" fillId="0" borderId="0" applyFont="0" applyFill="0" applyBorder="0" applyAlignment="0" applyProtection="0"/>
    <xf numFmtId="0" fontId="39" fillId="13" borderId="0" applyNumberFormat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3" fillId="0" borderId="0"/>
    <xf numFmtId="0" fontId="45" fillId="0" borderId="0">
      <alignment vertical="center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48" fillId="0" borderId="0">
      <alignment horizontal="left" vertical="center"/>
    </xf>
    <xf numFmtId="0" fontId="49" fillId="0" borderId="0">
      <alignment vertical="center"/>
    </xf>
    <xf numFmtId="0" fontId="50" fillId="0" borderId="0">
      <alignment vertical="center"/>
    </xf>
    <xf numFmtId="0" fontId="51" fillId="0" borderId="0">
      <alignment vertical="center"/>
    </xf>
    <xf numFmtId="177" fontId="45" fillId="0" borderId="0">
      <alignment horizontal="center" vertical="center"/>
    </xf>
    <xf numFmtId="0" fontId="45" fillId="41" borderId="48">
      <alignment vertical="center"/>
    </xf>
    <xf numFmtId="0" fontId="52" fillId="45" borderId="48">
      <alignment vertical="center"/>
    </xf>
    <xf numFmtId="43" fontId="3" fillId="0" borderId="0" applyFont="0" applyFill="0" applyBorder="0" applyAlignment="0" applyProtection="0"/>
    <xf numFmtId="0" fontId="39" fillId="13" borderId="0" applyNumberFormat="0" applyBorder="0" applyAlignment="0" applyProtection="0"/>
    <xf numFmtId="0" fontId="37" fillId="19" borderId="0" applyNumberFormat="0" applyBorder="0" applyAlignment="0" applyProtection="0"/>
    <xf numFmtId="0" fontId="37" fillId="23" borderId="0" applyNumberFormat="0" applyBorder="0" applyAlignment="0" applyProtection="0"/>
    <xf numFmtId="0" fontId="37" fillId="27" borderId="0" applyNumberFormat="0" applyBorder="0" applyAlignment="0" applyProtection="0"/>
    <xf numFmtId="0" fontId="37" fillId="31" borderId="0" applyNumberFormat="0" applyBorder="0" applyAlignment="0" applyProtection="0"/>
    <xf numFmtId="0" fontId="37" fillId="35" borderId="0" applyNumberFormat="0" applyBorder="0" applyAlignment="0" applyProtection="0"/>
    <xf numFmtId="0" fontId="37" fillId="39" borderId="0" applyNumberFormat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3" fillId="0" borderId="0">
      <alignment vertical="center"/>
    </xf>
    <xf numFmtId="0" fontId="5" fillId="0" borderId="0" applyNumberFormat="0" applyFill="0" applyBorder="0" applyAlignment="0" applyProtection="0"/>
    <xf numFmtId="0" fontId="5" fillId="0" borderId="0"/>
    <xf numFmtId="0" fontId="53" fillId="0" borderId="0">
      <alignment vertical="center"/>
    </xf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5" fillId="0" borderId="0" applyNumberForma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3" fillId="0" borderId="0"/>
    <xf numFmtId="0" fontId="3" fillId="15" borderId="47" applyNumberFormat="0" applyFont="0" applyAlignment="0" applyProtection="0"/>
    <xf numFmtId="9" fontId="3" fillId="0" borderId="0" applyFont="0" applyFill="0" applyBorder="0" applyAlignment="0" applyProtection="0"/>
    <xf numFmtId="0" fontId="3" fillId="15" borderId="47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15" borderId="47" applyNumberFormat="0" applyFont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45" fillId="0" borderId="0">
      <alignment vertical="center"/>
    </xf>
    <xf numFmtId="0" fontId="17" fillId="46" borderId="42" applyNumberFormat="0" applyAlignment="0" applyProtection="0"/>
    <xf numFmtId="0" fontId="54" fillId="47" borderId="0" applyNumberFormat="0" applyAlignment="0" applyProtection="0"/>
    <xf numFmtId="0" fontId="15" fillId="0" borderId="55" applyNumberFormat="0" applyFill="0" applyAlignment="0" applyProtection="0"/>
    <xf numFmtId="0" fontId="15" fillId="0" borderId="54" applyNumberFormat="0" applyFill="0" applyAlignment="0" applyProtection="0"/>
    <xf numFmtId="180" fontId="45" fillId="48" borderId="0">
      <alignment horizontal="right" vertical="center"/>
    </xf>
    <xf numFmtId="180" fontId="46" fillId="0" borderId="53">
      <alignment horizontal="right" vertical="center"/>
    </xf>
    <xf numFmtId="0" fontId="26" fillId="15" borderId="47" applyNumberFormat="0" applyFont="0" applyAlignment="0" applyProtection="0"/>
    <xf numFmtId="43" fontId="55" fillId="0" borderId="0" applyFont="0" applyFill="0" applyBorder="0" applyAlignment="0" applyProtection="0"/>
    <xf numFmtId="41" fontId="55" fillId="0" borderId="0" applyFont="0" applyFill="0" applyBorder="0" applyAlignment="0" applyProtection="0"/>
    <xf numFmtId="179" fontId="55" fillId="0" borderId="0" applyFont="0" applyFill="0" applyBorder="0" applyAlignment="0" applyProtection="0"/>
    <xf numFmtId="178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49" fontId="57" fillId="49" borderId="0">
      <alignment vertical="center"/>
    </xf>
    <xf numFmtId="0" fontId="56" fillId="12" borderId="0" applyNumberFormat="0" applyBorder="0" applyAlignment="0" applyProtection="0"/>
    <xf numFmtId="0" fontId="58" fillId="13" borderId="0" applyNumberFormat="0" applyBorder="0" applyAlignment="0" applyProtection="0"/>
    <xf numFmtId="0" fontId="60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60" fillId="19" borderId="0" applyNumberFormat="0" applyBorder="0" applyAlignment="0" applyProtection="0"/>
    <xf numFmtId="0" fontId="60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60" fillId="23" borderId="0" applyNumberFormat="0" applyBorder="0" applyAlignment="0" applyProtection="0"/>
    <xf numFmtId="0" fontId="59" fillId="24" borderId="0" applyNumberFormat="0" applyBorder="0" applyAlignment="0" applyProtection="0"/>
    <xf numFmtId="0" fontId="59" fillId="25" borderId="0" applyNumberFormat="0" applyBorder="0" applyAlignment="0" applyProtection="0"/>
    <xf numFmtId="0" fontId="59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60" fillId="31" borderId="0" applyNumberFormat="0" applyBorder="0" applyAlignment="0" applyProtection="0"/>
    <xf numFmtId="0" fontId="60" fillId="32" borderId="0" applyNumberFormat="0" applyBorder="0" applyAlignment="0" applyProtection="0"/>
    <xf numFmtId="0" fontId="59" fillId="33" borderId="0" applyNumberFormat="0" applyBorder="0" applyAlignment="0" applyProtection="0"/>
    <xf numFmtId="0" fontId="59" fillId="34" borderId="0" applyNumberFormat="0" applyBorder="0" applyAlignment="0" applyProtection="0"/>
    <xf numFmtId="0" fontId="60" fillId="35" borderId="0" applyNumberFormat="0" applyBorder="0" applyAlignment="0" applyProtection="0"/>
    <xf numFmtId="0" fontId="59" fillId="36" borderId="0" applyNumberFormat="0" applyBorder="0" applyAlignment="0" applyProtection="0"/>
    <xf numFmtId="0" fontId="59" fillId="37" borderId="0" applyNumberFormat="0" applyBorder="0" applyAlignment="0" applyProtection="0"/>
    <xf numFmtId="0" fontId="59" fillId="38" borderId="0" applyNumberFormat="0" applyBorder="0" applyAlignment="0" applyProtection="0"/>
    <xf numFmtId="0" fontId="59" fillId="39" borderId="0" applyNumberFormat="0" applyBorder="0" applyAlignment="0" applyProtection="0"/>
    <xf numFmtId="0" fontId="5" fillId="0" borderId="0" applyNumberFormat="0" applyFill="0" applyBorder="0" applyAlignment="0" applyProtection="0"/>
    <xf numFmtId="43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9" borderId="49">
      <alignment horizontal="center" vertical="center" wrapText="1"/>
    </xf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" fillId="9" borderId="49">
      <alignment horizontal="center" vertical="center" wrapText="1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/>
    <xf numFmtId="181" fontId="74" fillId="0" borderId="0" applyFont="0" applyFill="0" applyBorder="0" applyAlignment="0" applyProtection="0"/>
  </cellStyleXfs>
  <cellXfs count="428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43" fontId="10" fillId="6" borderId="1" xfId="1" applyFont="1" applyFill="1" applyBorder="1" applyAlignment="1">
      <alignment horizontal="center" vertical="center"/>
    </xf>
    <xf numFmtId="43" fontId="11" fillId="6" borderId="1" xfId="1" applyFont="1" applyFill="1" applyBorder="1" applyAlignment="1">
      <alignment horizontal="center" vertical="center"/>
    </xf>
    <xf numFmtId="43" fontId="10" fillId="4" borderId="1" xfId="1" applyFont="1" applyFill="1" applyBorder="1" applyAlignment="1">
      <alignment horizontal="center" vertical="center"/>
    </xf>
    <xf numFmtId="43" fontId="11" fillId="4" borderId="1" xfId="1" applyFont="1" applyFill="1" applyBorder="1" applyAlignment="1">
      <alignment horizontal="center" vertical="center"/>
    </xf>
    <xf numFmtId="43" fontId="0" fillId="0" borderId="0" xfId="0" applyNumberFormat="1"/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/>
    <xf numFmtId="43" fontId="7" fillId="3" borderId="1" xfId="1" applyFont="1" applyFill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left"/>
    </xf>
    <xf numFmtId="2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/>
    <xf numFmtId="43" fontId="0" fillId="0" borderId="1" xfId="1" applyFont="1" applyBorder="1"/>
    <xf numFmtId="0" fontId="0" fillId="4" borderId="1" xfId="0" applyFill="1" applyBorder="1"/>
    <xf numFmtId="43" fontId="0" fillId="4" borderId="1" xfId="1" applyFont="1" applyFill="1" applyBorder="1"/>
    <xf numFmtId="43" fontId="0" fillId="6" borderId="1" xfId="1" applyFont="1" applyFill="1" applyBorder="1"/>
    <xf numFmtId="164" fontId="7" fillId="4" borderId="6" xfId="0" applyNumberFormat="1" applyFont="1" applyFill="1" applyBorder="1" applyAlignment="1">
      <alignment horizontal="left" vertical="center"/>
    </xf>
    <xf numFmtId="43" fontId="7" fillId="0" borderId="1" xfId="1" applyFont="1" applyFill="1" applyBorder="1"/>
    <xf numFmtId="43" fontId="7" fillId="0" borderId="1" xfId="1" applyFont="1" applyBorder="1"/>
    <xf numFmtId="43" fontId="0" fillId="0" borderId="0" xfId="1" applyFont="1"/>
    <xf numFmtId="0" fontId="0" fillId="3" borderId="1" xfId="0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  <xf numFmtId="43" fontId="0" fillId="3" borderId="1" xfId="1" applyFont="1" applyFill="1" applyBorder="1"/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indent="2"/>
    </xf>
    <xf numFmtId="43" fontId="6" fillId="5" borderId="1" xfId="1" applyFont="1" applyFill="1" applyBorder="1"/>
    <xf numFmtId="43" fontId="6" fillId="5" borderId="1" xfId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vertical="center"/>
    </xf>
    <xf numFmtId="0" fontId="5" fillId="0" borderId="1" xfId="4" applyBorder="1" applyAlignment="1">
      <alignment horizontal="left" vertical="center"/>
    </xf>
    <xf numFmtId="0" fontId="13" fillId="0" borderId="1" xfId="4" applyFont="1" applyBorder="1" applyAlignment="1">
      <alignment vertical="center"/>
    </xf>
    <xf numFmtId="9" fontId="5" fillId="0" borderId="1" xfId="2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5" fillId="0" borderId="1" xfId="1" applyNumberFormat="1" applyFont="1" applyFill="1" applyBorder="1" applyAlignment="1">
      <alignment vertical="center"/>
    </xf>
    <xf numFmtId="0" fontId="5" fillId="0" borderId="1" xfId="4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6" fontId="0" fillId="0" borderId="0" xfId="0" applyNumberFormat="1"/>
    <xf numFmtId="0" fontId="5" fillId="0" borderId="1" xfId="4" applyBorder="1" applyAlignment="1">
      <alignment vertical="center"/>
    </xf>
    <xf numFmtId="0" fontId="12" fillId="0" borderId="0" xfId="0" applyFont="1"/>
    <xf numFmtId="167" fontId="0" fillId="0" borderId="0" xfId="2" applyNumberFormat="1" applyFont="1"/>
    <xf numFmtId="0" fontId="5" fillId="0" borderId="0" xfId="4" applyAlignment="1">
      <alignment vertical="center"/>
    </xf>
    <xf numFmtId="168" fontId="5" fillId="0" borderId="1" xfId="4" applyNumberFormat="1" applyBorder="1" applyAlignment="1">
      <alignment vertical="center"/>
    </xf>
    <xf numFmtId="10" fontId="0" fillId="0" borderId="0" xfId="2" applyNumberFormat="1" applyFont="1"/>
    <xf numFmtId="168" fontId="5" fillId="0" borderId="1" xfId="2" applyNumberFormat="1" applyFont="1" applyBorder="1" applyAlignment="1">
      <alignment vertical="center"/>
    </xf>
    <xf numFmtId="43" fontId="5" fillId="0" borderId="1" xfId="1" applyFont="1" applyBorder="1" applyAlignment="1">
      <alignment vertical="center"/>
    </xf>
    <xf numFmtId="9" fontId="0" fillId="0" borderId="0" xfId="2" applyFont="1"/>
    <xf numFmtId="0" fontId="13" fillId="0" borderId="1" xfId="4" applyFont="1" applyBorder="1" applyAlignment="1">
      <alignment horizontal="center" vertical="center"/>
    </xf>
    <xf numFmtId="43" fontId="13" fillId="0" borderId="1" xfId="1" applyFont="1" applyBorder="1" applyAlignment="1">
      <alignment vertical="center"/>
    </xf>
    <xf numFmtId="43" fontId="13" fillId="0" borderId="5" xfId="4" applyNumberFormat="1" applyFont="1" applyBorder="1" applyAlignment="1">
      <alignment vertical="center"/>
    </xf>
    <xf numFmtId="43" fontId="13" fillId="0" borderId="1" xfId="4" applyNumberFormat="1" applyFont="1" applyBorder="1" applyAlignment="1">
      <alignment vertical="center"/>
    </xf>
    <xf numFmtId="0" fontId="14" fillId="0" borderId="1" xfId="0" applyFont="1" applyBorder="1"/>
    <xf numFmtId="0" fontId="5" fillId="0" borderId="0" xfId="4" applyAlignment="1">
      <alignment horizontal="center" vertical="center"/>
    </xf>
    <xf numFmtId="0" fontId="0" fillId="7" borderId="0" xfId="0" applyFill="1"/>
    <xf numFmtId="0" fontId="7" fillId="7" borderId="0" xfId="0" applyFont="1" applyFill="1" applyAlignment="1">
      <alignment horizontal="center"/>
    </xf>
    <xf numFmtId="0" fontId="12" fillId="0" borderId="1" xfId="0" applyFont="1" applyBorder="1"/>
    <xf numFmtId="43" fontId="12" fillId="0" borderId="1" xfId="1" applyFont="1" applyBorder="1"/>
    <xf numFmtId="169" fontId="0" fillId="0" borderId="0" xfId="0" applyNumberFormat="1"/>
    <xf numFmtId="0" fontId="7" fillId="4" borderId="6" xfId="0" applyFont="1" applyFill="1" applyBorder="1" applyAlignment="1">
      <alignment horizontal="left" vertical="center"/>
    </xf>
    <xf numFmtId="0" fontId="7" fillId="6" borderId="6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170" fontId="0" fillId="0" borderId="0" xfId="0" applyNumberFormat="1" applyAlignment="1">
      <alignment vertical="center"/>
    </xf>
    <xf numFmtId="0" fontId="5" fillId="0" borderId="11" xfId="4" applyBorder="1" applyAlignment="1">
      <alignment vertical="center"/>
    </xf>
    <xf numFmtId="0" fontId="20" fillId="0" borderId="23" xfId="0" applyFont="1" applyBorder="1" applyAlignment="1">
      <alignment vertical="center"/>
    </xf>
    <xf numFmtId="0" fontId="20" fillId="0" borderId="24" xfId="0" applyFont="1" applyBorder="1" applyAlignment="1">
      <alignment vertical="center"/>
    </xf>
    <xf numFmtId="0" fontId="20" fillId="0" borderId="25" xfId="0" applyFont="1" applyBorder="1" applyAlignment="1">
      <alignment vertical="center"/>
    </xf>
    <xf numFmtId="43" fontId="21" fillId="0" borderId="25" xfId="1" applyFont="1" applyBorder="1" applyAlignment="1">
      <alignment vertical="center"/>
    </xf>
    <xf numFmtId="43" fontId="21" fillId="0" borderId="24" xfId="1" applyFont="1" applyBorder="1" applyAlignment="1">
      <alignment vertical="center"/>
    </xf>
    <xf numFmtId="0" fontId="7" fillId="0" borderId="0" xfId="0" applyFont="1" applyAlignment="1">
      <alignment vertical="center"/>
    </xf>
    <xf numFmtId="43" fontId="0" fillId="0" borderId="0" xfId="1" applyFont="1" applyAlignment="1">
      <alignment vertical="center"/>
    </xf>
    <xf numFmtId="10" fontId="25" fillId="9" borderId="35" xfId="2" applyNumberFormat="1" applyFont="1" applyFill="1" applyBorder="1" applyAlignment="1">
      <alignment vertical="center"/>
    </xf>
    <xf numFmtId="10" fontId="25" fillId="0" borderId="27" xfId="2" applyNumberFormat="1" applyFont="1" applyBorder="1" applyAlignment="1">
      <alignment vertical="center"/>
    </xf>
    <xf numFmtId="10" fontId="25" fillId="0" borderId="28" xfId="2" applyNumberFormat="1" applyFont="1" applyBorder="1" applyAlignment="1">
      <alignment vertical="center"/>
    </xf>
    <xf numFmtId="10" fontId="26" fillId="0" borderId="1" xfId="0" applyNumberFormat="1" applyFont="1" applyBorder="1" applyAlignment="1">
      <alignment vertical="center"/>
    </xf>
    <xf numFmtId="43" fontId="27" fillId="9" borderId="36" xfId="0" applyNumberFormat="1" applyFont="1" applyFill="1" applyBorder="1" applyAlignment="1">
      <alignment vertical="center"/>
    </xf>
    <xf numFmtId="0" fontId="28" fillId="0" borderId="0" xfId="0" applyFont="1"/>
    <xf numFmtId="0" fontId="28" fillId="0" borderId="16" xfId="0" applyFont="1" applyBorder="1"/>
    <xf numFmtId="0" fontId="28" fillId="0" borderId="17" xfId="0" applyFont="1" applyBorder="1"/>
    <xf numFmtId="4" fontId="29" fillId="0" borderId="17" xfId="0" applyNumberFormat="1" applyFont="1" applyBorder="1"/>
    <xf numFmtId="4" fontId="28" fillId="0" borderId="17" xfId="0" applyNumberFormat="1" applyFont="1" applyBorder="1"/>
    <xf numFmtId="0" fontId="28" fillId="0" borderId="37" xfId="0" applyFont="1" applyBorder="1"/>
    <xf numFmtId="0" fontId="28" fillId="0" borderId="7" xfId="0" applyFont="1" applyBorder="1"/>
    <xf numFmtId="4" fontId="28" fillId="0" borderId="8" xfId="0" applyNumberFormat="1" applyFont="1" applyBorder="1"/>
    <xf numFmtId="4" fontId="28" fillId="0" borderId="7" xfId="0" applyNumberFormat="1" applyFont="1" applyBorder="1"/>
    <xf numFmtId="0" fontId="28" fillId="0" borderId="19" xfId="0" applyFont="1" applyBorder="1"/>
    <xf numFmtId="0" fontId="28" fillId="0" borderId="10" xfId="0" applyFont="1" applyBorder="1"/>
    <xf numFmtId="4" fontId="28" fillId="0" borderId="0" xfId="0" applyNumberFormat="1" applyFont="1"/>
    <xf numFmtId="4" fontId="28" fillId="0" borderId="10" xfId="0" applyNumberFormat="1" applyFont="1" applyBorder="1"/>
    <xf numFmtId="0" fontId="28" fillId="0" borderId="8" xfId="0" applyFont="1" applyBorder="1"/>
    <xf numFmtId="0" fontId="28" fillId="0" borderId="40" xfId="0" applyFont="1" applyBorder="1"/>
    <xf numFmtId="4" fontId="28" fillId="0" borderId="38" xfId="0" applyNumberFormat="1" applyFont="1" applyBorder="1"/>
    <xf numFmtId="0" fontId="28" fillId="0" borderId="21" xfId="0" applyFont="1" applyBorder="1"/>
    <xf numFmtId="2" fontId="12" fillId="0" borderId="1" xfId="0" applyNumberFormat="1" applyFont="1" applyBorder="1"/>
    <xf numFmtId="4" fontId="0" fillId="0" borderId="0" xfId="0" applyNumberFormat="1"/>
    <xf numFmtId="0" fontId="61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51" borderId="0" xfId="0" applyFill="1" applyAlignment="1">
      <alignment vertical="center"/>
    </xf>
    <xf numFmtId="0" fontId="0" fillId="51" borderId="0" xfId="0" applyFill="1" applyAlignment="1">
      <alignment horizontal="center" vertical="center"/>
    </xf>
    <xf numFmtId="0" fontId="16" fillId="52" borderId="10" xfId="0" applyFont="1" applyFill="1" applyBorder="1" applyAlignment="1">
      <alignment horizontal="left" vertical="center"/>
    </xf>
    <xf numFmtId="0" fontId="16" fillId="52" borderId="0" xfId="0" applyFont="1" applyFill="1" applyAlignment="1">
      <alignment horizontal="center" vertical="center"/>
    </xf>
    <xf numFmtId="0" fontId="16" fillId="52" borderId="11" xfId="0" applyFont="1" applyFill="1" applyBorder="1" applyAlignment="1">
      <alignment horizontal="center" vertical="center"/>
    </xf>
    <xf numFmtId="0" fontId="16" fillId="52" borderId="12" xfId="0" applyFont="1" applyFill="1" applyBorder="1" applyAlignment="1">
      <alignment horizontal="left" vertical="center"/>
    </xf>
    <xf numFmtId="0" fontId="16" fillId="52" borderId="13" xfId="0" applyFont="1" applyFill="1" applyBorder="1" applyAlignment="1">
      <alignment horizontal="center" vertical="center"/>
    </xf>
    <xf numFmtId="0" fontId="16" fillId="52" borderId="14" xfId="0" applyFont="1" applyFill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3" fillId="52" borderId="7" xfId="0" applyFont="1" applyFill="1" applyBorder="1" applyAlignment="1">
      <alignment horizontal="left" vertical="center"/>
    </xf>
    <xf numFmtId="0" fontId="23" fillId="52" borderId="8" xfId="0" applyFont="1" applyFill="1" applyBorder="1" applyAlignment="1">
      <alignment horizontal="center" vertical="center"/>
    </xf>
    <xf numFmtId="0" fontId="0" fillId="52" borderId="9" xfId="0" applyFill="1" applyBorder="1" applyAlignment="1">
      <alignment vertical="center"/>
    </xf>
    <xf numFmtId="0" fontId="64" fillId="52" borderId="10" xfId="0" applyFont="1" applyFill="1" applyBorder="1" applyAlignment="1">
      <alignment horizontal="left" vertical="center"/>
    </xf>
    <xf numFmtId="0" fontId="61" fillId="52" borderId="0" xfId="0" applyFont="1" applyFill="1" applyAlignment="1">
      <alignment horizontal="center" vertical="center"/>
    </xf>
    <xf numFmtId="0" fontId="0" fillId="52" borderId="11" xfId="0" applyFill="1" applyBorder="1" applyAlignment="1">
      <alignment vertical="center"/>
    </xf>
    <xf numFmtId="0" fontId="64" fillId="52" borderId="12" xfId="0" applyFont="1" applyFill="1" applyBorder="1" applyAlignment="1">
      <alignment horizontal="left" vertical="center"/>
    </xf>
    <xf numFmtId="0" fontId="61" fillId="52" borderId="13" xfId="0" applyFont="1" applyFill="1" applyBorder="1" applyAlignment="1">
      <alignment horizontal="center" vertical="center"/>
    </xf>
    <xf numFmtId="0" fontId="0" fillId="52" borderId="14" xfId="0" applyFill="1" applyBorder="1" applyAlignment="1">
      <alignment vertical="center"/>
    </xf>
    <xf numFmtId="43" fontId="10" fillId="6" borderId="1" xfId="35" applyFont="1" applyFill="1" applyBorder="1" applyAlignment="1">
      <alignment horizontal="center" vertical="center"/>
    </xf>
    <xf numFmtId="43" fontId="11" fillId="6" borderId="1" xfId="35" applyFont="1" applyFill="1" applyBorder="1" applyAlignment="1">
      <alignment horizontal="center" vertical="center"/>
    </xf>
    <xf numFmtId="43" fontId="10" fillId="4" borderId="1" xfId="35" applyFont="1" applyFill="1" applyBorder="1" applyAlignment="1">
      <alignment horizontal="center" vertical="center"/>
    </xf>
    <xf numFmtId="43" fontId="11" fillId="4" borderId="1" xfId="35" applyFont="1" applyFill="1" applyBorder="1" applyAlignment="1">
      <alignment horizontal="center" vertical="center"/>
    </xf>
    <xf numFmtId="43" fontId="7" fillId="3" borderId="1" xfId="35" applyFont="1" applyFill="1" applyBorder="1"/>
    <xf numFmtId="43" fontId="0" fillId="0" borderId="1" xfId="35" applyFont="1" applyBorder="1"/>
    <xf numFmtId="43" fontId="0" fillId="4" borderId="1" xfId="35" applyFont="1" applyFill="1" applyBorder="1"/>
    <xf numFmtId="43" fontId="0" fillId="6" borderId="1" xfId="35" applyFont="1" applyFill="1" applyBorder="1"/>
    <xf numFmtId="43" fontId="7" fillId="0" borderId="1" xfId="35" applyFont="1" applyFill="1" applyBorder="1"/>
    <xf numFmtId="43" fontId="7" fillId="0" borderId="1" xfId="35" applyFont="1" applyBorder="1"/>
    <xf numFmtId="43" fontId="7" fillId="52" borderId="1" xfId="35" applyFont="1" applyFill="1" applyBorder="1"/>
    <xf numFmtId="43" fontId="0" fillId="0" borderId="0" xfId="35" applyFont="1"/>
    <xf numFmtId="43" fontId="0" fillId="3" borderId="1" xfId="35" applyFont="1" applyFill="1" applyBorder="1"/>
    <xf numFmtId="43" fontId="6" fillId="5" borderId="1" xfId="35" applyFont="1" applyFill="1" applyBorder="1"/>
    <xf numFmtId="43" fontId="6" fillId="5" borderId="1" xfId="35" applyFont="1" applyFill="1" applyBorder="1" applyAlignment="1">
      <alignment horizontal="center"/>
    </xf>
    <xf numFmtId="43" fontId="7" fillId="50" borderId="1" xfId="35" applyFont="1" applyFill="1" applyBorder="1"/>
    <xf numFmtId="0" fontId="16" fillId="6" borderId="1" xfId="40" applyFont="1" applyFill="1" applyBorder="1" applyAlignment="1">
      <alignment horizontal="center" vertical="center"/>
    </xf>
    <xf numFmtId="0" fontId="64" fillId="0" borderId="0" xfId="40" applyFont="1" applyAlignment="1">
      <alignment vertical="center"/>
    </xf>
    <xf numFmtId="0" fontId="65" fillId="0" borderId="1" xfId="40" applyFont="1" applyBorder="1" applyAlignment="1">
      <alignment horizontal="center" vertical="center"/>
    </xf>
    <xf numFmtId="14" fontId="7" fillId="0" borderId="1" xfId="40" applyNumberFormat="1" applyFont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7" fillId="6" borderId="5" xfId="193" applyFont="1" applyFill="1" applyBorder="1"/>
    <xf numFmtId="10" fontId="7" fillId="6" borderId="15" xfId="86" applyNumberFormat="1" applyFont="1" applyFill="1" applyBorder="1" applyAlignment="1">
      <alignment horizontal="center"/>
    </xf>
    <xf numFmtId="0" fontId="7" fillId="6" borderId="6" xfId="193" applyFont="1" applyFill="1" applyBorder="1"/>
    <xf numFmtId="0" fontId="7" fillId="6" borderId="1" xfId="193" applyFont="1" applyFill="1" applyBorder="1" applyAlignment="1">
      <alignment horizontal="center"/>
    </xf>
    <xf numFmtId="0" fontId="5" fillId="0" borderId="7" xfId="193" applyBorder="1"/>
    <xf numFmtId="10" fontId="0" fillId="0" borderId="8" xfId="86" applyNumberFormat="1" applyFont="1" applyFill="1" applyBorder="1" applyAlignment="1">
      <alignment horizontal="center"/>
    </xf>
    <xf numFmtId="0" fontId="5" fillId="0" borderId="9" xfId="193" applyBorder="1"/>
    <xf numFmtId="10" fontId="0" fillId="0" borderId="1" xfId="86" applyNumberFormat="1" applyFont="1" applyFill="1" applyBorder="1" applyAlignment="1">
      <alignment horizontal="center"/>
    </xf>
    <xf numFmtId="0" fontId="5" fillId="0" borderId="10" xfId="193" applyBorder="1"/>
    <xf numFmtId="10" fontId="0" fillId="0" borderId="0" xfId="86" applyNumberFormat="1" applyFont="1" applyFill="1" applyBorder="1" applyAlignment="1">
      <alignment horizontal="center"/>
    </xf>
    <xf numFmtId="10" fontId="0" fillId="0" borderId="11" xfId="86" applyNumberFormat="1" applyFont="1" applyBorder="1" applyAlignment="1">
      <alignment horizontal="right"/>
    </xf>
    <xf numFmtId="10" fontId="0" fillId="0" borderId="1" xfId="86" applyNumberFormat="1" applyFont="1" applyBorder="1" applyAlignment="1">
      <alignment horizontal="center"/>
    </xf>
    <xf numFmtId="0" fontId="5" fillId="0" borderId="11" xfId="193" applyBorder="1"/>
    <xf numFmtId="10" fontId="0" fillId="0" borderId="2" xfId="86" applyNumberFormat="1" applyFont="1" applyFill="1" applyBorder="1" applyAlignment="1">
      <alignment horizontal="center"/>
    </xf>
    <xf numFmtId="0" fontId="5" fillId="3" borderId="5" xfId="193" applyFill="1" applyBorder="1"/>
    <xf numFmtId="10" fontId="7" fillId="3" borderId="15" xfId="86" applyNumberFormat="1" applyFont="1" applyFill="1" applyBorder="1" applyAlignment="1">
      <alignment horizontal="center"/>
    </xf>
    <xf numFmtId="0" fontId="7" fillId="3" borderId="6" xfId="193" applyFont="1" applyFill="1" applyBorder="1" applyAlignment="1">
      <alignment horizontal="right"/>
    </xf>
    <xf numFmtId="10" fontId="7" fillId="3" borderId="1" xfId="86" applyNumberFormat="1" applyFont="1" applyFill="1" applyBorder="1" applyAlignment="1">
      <alignment horizontal="center"/>
    </xf>
    <xf numFmtId="0" fontId="7" fillId="3" borderId="5" xfId="193" applyFont="1" applyFill="1" applyBorder="1"/>
    <xf numFmtId="0" fontId="7" fillId="4" borderId="10" xfId="193" applyFont="1" applyFill="1" applyBorder="1"/>
    <xf numFmtId="10" fontId="7" fillId="4" borderId="0" xfId="86" applyNumberFormat="1" applyFont="1" applyFill="1" applyBorder="1" applyAlignment="1">
      <alignment horizontal="center"/>
    </xf>
    <xf numFmtId="0" fontId="7" fillId="4" borderId="11" xfId="193" applyFont="1" applyFill="1" applyBorder="1"/>
    <xf numFmtId="10" fontId="7" fillId="4" borderId="4" xfId="86" applyNumberFormat="1" applyFont="1" applyFill="1" applyBorder="1" applyAlignment="1">
      <alignment horizontal="center"/>
    </xf>
    <xf numFmtId="10" fontId="5" fillId="0" borderId="2" xfId="86" applyNumberFormat="1" applyFont="1" applyFill="1" applyBorder="1" applyAlignment="1">
      <alignment horizontal="center"/>
    </xf>
    <xf numFmtId="10" fontId="0" fillId="0" borderId="2" xfId="86" applyNumberFormat="1" applyFont="1" applyBorder="1" applyAlignment="1">
      <alignment horizontal="center"/>
    </xf>
    <xf numFmtId="10" fontId="0" fillId="0" borderId="0" xfId="86" applyNumberFormat="1" applyFont="1" applyBorder="1" applyAlignment="1">
      <alignment horizontal="center"/>
    </xf>
    <xf numFmtId="10" fontId="7" fillId="0" borderId="4" xfId="86" applyNumberFormat="1" applyFont="1" applyBorder="1" applyAlignment="1">
      <alignment horizontal="center"/>
    </xf>
    <xf numFmtId="0" fontId="5" fillId="0" borderId="12" xfId="193" applyBorder="1"/>
    <xf numFmtId="10" fontId="0" fillId="0" borderId="13" xfId="86" applyNumberFormat="1" applyFont="1" applyBorder="1" applyAlignment="1">
      <alignment horizontal="center"/>
    </xf>
    <xf numFmtId="0" fontId="5" fillId="0" borderId="14" xfId="193" applyBorder="1"/>
    <xf numFmtId="10" fontId="7" fillId="0" borderId="1" xfId="86" applyNumberFormat="1" applyFont="1" applyBorder="1" applyAlignment="1">
      <alignment horizontal="center"/>
    </xf>
    <xf numFmtId="0" fontId="66" fillId="5" borderId="5" xfId="193" applyFont="1" applyFill="1" applyBorder="1"/>
    <xf numFmtId="10" fontId="66" fillId="5" borderId="15" xfId="86" applyNumberFormat="1" applyFont="1" applyFill="1" applyBorder="1" applyAlignment="1">
      <alignment horizontal="center"/>
    </xf>
    <xf numFmtId="0" fontId="66" fillId="5" borderId="6" xfId="193" applyFont="1" applyFill="1" applyBorder="1"/>
    <xf numFmtId="10" fontId="6" fillId="5" borderId="1" xfId="86" applyNumberFormat="1" applyFont="1" applyFill="1" applyBorder="1" applyAlignment="1">
      <alignment horizontal="center"/>
    </xf>
    <xf numFmtId="10" fontId="6" fillId="53" borderId="1" xfId="86" applyNumberFormat="1" applyFont="1" applyFill="1" applyBorder="1" applyAlignment="1">
      <alignment horizontal="center"/>
    </xf>
    <xf numFmtId="0" fontId="67" fillId="7" borderId="0" xfId="193" applyFont="1" applyFill="1"/>
    <xf numFmtId="0" fontId="13" fillId="6" borderId="1" xfId="4" applyFont="1" applyFill="1" applyBorder="1" applyAlignment="1">
      <alignment horizontal="center" vertical="center"/>
    </xf>
    <xf numFmtId="3" fontId="13" fillId="6" borderId="1" xfId="4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vertical="center"/>
    </xf>
    <xf numFmtId="0" fontId="23" fillId="4" borderId="15" xfId="0" applyFont="1" applyFill="1" applyBorder="1" applyAlignment="1">
      <alignment horizontal="left" vertical="center"/>
    </xf>
    <xf numFmtId="0" fontId="0" fillId="4" borderId="15" xfId="0" applyFill="1" applyBorder="1" applyAlignment="1">
      <alignment vertical="center"/>
    </xf>
    <xf numFmtId="43" fontId="7" fillId="4" borderId="15" xfId="0" applyNumberFormat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43" fontId="24" fillId="0" borderId="23" xfId="0" applyNumberFormat="1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43" fontId="27" fillId="3" borderId="36" xfId="0" applyNumberFormat="1" applyFont="1" applyFill="1" applyBorder="1" applyAlignment="1">
      <alignment vertical="center"/>
    </xf>
    <xf numFmtId="43" fontId="27" fillId="51" borderId="1" xfId="0" applyNumberFormat="1" applyFont="1" applyFill="1" applyBorder="1" applyAlignment="1">
      <alignment vertical="center"/>
    </xf>
    <xf numFmtId="43" fontId="27" fillId="3" borderId="33" xfId="0" applyNumberFormat="1" applyFont="1" applyFill="1" applyBorder="1" applyAlignment="1">
      <alignment vertical="center"/>
    </xf>
    <xf numFmtId="43" fontId="27" fillId="3" borderId="34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3" fillId="6" borderId="1" xfId="4" applyFont="1" applyFill="1" applyBorder="1" applyAlignment="1">
      <alignment horizontal="center" vertical="center" wrapText="1"/>
    </xf>
    <xf numFmtId="0" fontId="13" fillId="6" borderId="5" xfId="4" applyFont="1" applyFill="1" applyBorder="1" applyAlignment="1">
      <alignment horizontal="center" vertical="center" wrapText="1"/>
    </xf>
    <xf numFmtId="0" fontId="13" fillId="6" borderId="15" xfId="4" applyFont="1" applyFill="1" applyBorder="1" applyAlignment="1">
      <alignment horizontal="center" vertical="center" wrapText="1"/>
    </xf>
    <xf numFmtId="0" fontId="13" fillId="6" borderId="6" xfId="4" applyFont="1" applyFill="1" applyBorder="1" applyAlignment="1">
      <alignment horizontal="center" vertical="center" wrapText="1"/>
    </xf>
    <xf numFmtId="0" fontId="13" fillId="4" borderId="1" xfId="4" applyFont="1" applyFill="1" applyBorder="1" applyAlignment="1">
      <alignment horizontal="center" vertical="center"/>
    </xf>
    <xf numFmtId="0" fontId="13" fillId="4" borderId="1" xfId="4" applyFont="1" applyFill="1" applyBorder="1" applyAlignment="1">
      <alignment vertical="center"/>
    </xf>
    <xf numFmtId="3" fontId="13" fillId="4" borderId="1" xfId="4" applyNumberFormat="1" applyFont="1" applyFill="1" applyBorder="1" applyAlignment="1">
      <alignment horizontal="center" vertical="center"/>
    </xf>
    <xf numFmtId="43" fontId="13" fillId="4" borderId="1" xfId="1" applyFont="1" applyFill="1" applyBorder="1" applyAlignment="1">
      <alignment horizontal="center" vertical="center"/>
    </xf>
    <xf numFmtId="0" fontId="13" fillId="3" borderId="1" xfId="4" applyFont="1" applyFill="1" applyBorder="1" applyAlignment="1">
      <alignment horizontal="center" vertical="center"/>
    </xf>
    <xf numFmtId="0" fontId="13" fillId="3" borderId="1" xfId="4" applyFont="1" applyFill="1" applyBorder="1" applyAlignment="1">
      <alignment vertical="center"/>
    </xf>
    <xf numFmtId="0" fontId="5" fillId="3" borderId="1" xfId="4" applyFill="1" applyBorder="1" applyAlignment="1">
      <alignment vertical="center"/>
    </xf>
    <xf numFmtId="43" fontId="13" fillId="3" borderId="1" xfId="1" applyFont="1" applyFill="1" applyBorder="1" applyAlignment="1">
      <alignment vertical="center"/>
    </xf>
    <xf numFmtId="43" fontId="13" fillId="3" borderId="1" xfId="4" applyNumberFormat="1" applyFont="1" applyFill="1" applyBorder="1" applyAlignment="1">
      <alignment vertical="center"/>
    </xf>
    <xf numFmtId="43" fontId="68" fillId="9" borderId="1" xfId="1" applyFont="1" applyFill="1" applyBorder="1" applyAlignment="1">
      <alignment vertical="center"/>
    </xf>
    <xf numFmtId="43" fontId="68" fillId="0" borderId="1" xfId="1" applyFont="1" applyBorder="1" applyAlignment="1">
      <alignment vertical="center"/>
    </xf>
    <xf numFmtId="43" fontId="68" fillId="52" borderId="1" xfId="1" applyFont="1" applyFill="1" applyBorder="1" applyAlignment="1">
      <alignment vertical="center"/>
    </xf>
    <xf numFmtId="43" fontId="12" fillId="0" borderId="1" xfId="1" applyFont="1" applyBorder="1" applyAlignment="1">
      <alignment vertical="center"/>
    </xf>
    <xf numFmtId="43" fontId="12" fillId="9" borderId="1" xfId="1" applyFont="1" applyFill="1" applyBorder="1" applyAlignment="1">
      <alignment vertical="center"/>
    </xf>
    <xf numFmtId="43" fontId="12" fillId="52" borderId="1" xfId="1" applyFont="1" applyFill="1" applyBorder="1" applyAlignment="1">
      <alignment vertical="center"/>
    </xf>
    <xf numFmtId="43" fontId="12" fillId="7" borderId="1" xfId="1" applyFont="1" applyFill="1" applyBorder="1" applyAlignment="1">
      <alignment vertical="center"/>
    </xf>
    <xf numFmtId="43" fontId="69" fillId="9" borderId="1" xfId="1" applyFont="1" applyFill="1" applyBorder="1" applyAlignment="1">
      <alignment vertical="center"/>
    </xf>
    <xf numFmtId="0" fontId="5" fillId="0" borderId="8" xfId="4" applyBorder="1" applyAlignment="1">
      <alignment vertical="center"/>
    </xf>
    <xf numFmtId="0" fontId="66" fillId="5" borderId="1" xfId="4" applyFont="1" applyFill="1" applyBorder="1" applyAlignment="1">
      <alignment vertical="center"/>
    </xf>
    <xf numFmtId="0" fontId="70" fillId="5" borderId="1" xfId="4" applyFont="1" applyFill="1" applyBorder="1" applyAlignment="1">
      <alignment vertical="center"/>
    </xf>
    <xf numFmtId="43" fontId="66" fillId="5" borderId="1" xfId="4" applyNumberFormat="1" applyFont="1" applyFill="1" applyBorder="1" applyAlignment="1">
      <alignment vertical="center"/>
    </xf>
    <xf numFmtId="43" fontId="66" fillId="54" borderId="1" xfId="4" applyNumberFormat="1" applyFont="1" applyFill="1" applyBorder="1" applyAlignment="1">
      <alignment vertical="center"/>
    </xf>
    <xf numFmtId="43" fontId="0" fillId="0" borderId="0" xfId="1" applyFont="1" applyBorder="1" applyAlignment="1">
      <alignment vertical="center"/>
    </xf>
    <xf numFmtId="0" fontId="7" fillId="3" borderId="5" xfId="0" applyFont="1" applyFill="1" applyBorder="1" applyAlignment="1">
      <alignment horizontal="left" vertical="center" indent="1"/>
    </xf>
    <xf numFmtId="0" fontId="7" fillId="3" borderId="15" xfId="0" applyFont="1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43" fontId="21" fillId="55" borderId="25" xfId="1" applyFont="1" applyFill="1" applyBorder="1" applyAlignment="1">
      <alignment vertical="center"/>
    </xf>
    <xf numFmtId="43" fontId="21" fillId="55" borderId="24" xfId="1" applyFont="1" applyFill="1" applyBorder="1" applyAlignment="1">
      <alignment vertical="center"/>
    </xf>
    <xf numFmtId="0" fontId="0" fillId="0" borderId="8" xfId="0" applyBorder="1" applyAlignment="1">
      <alignment horizontal="left" vertical="center" indent="1"/>
    </xf>
    <xf numFmtId="0" fontId="20" fillId="0" borderId="8" xfId="0" applyFont="1" applyBorder="1" applyAlignment="1">
      <alignment vertical="center"/>
    </xf>
    <xf numFmtId="43" fontId="21" fillId="0" borderId="8" xfId="1" applyFont="1" applyBorder="1" applyAlignment="1">
      <alignment vertical="center"/>
    </xf>
    <xf numFmtId="43" fontId="22" fillId="0" borderId="8" xfId="1" applyFont="1" applyBorder="1" applyAlignment="1">
      <alignment vertical="center"/>
    </xf>
    <xf numFmtId="0" fontId="20" fillId="3" borderId="26" xfId="0" applyFont="1" applyFill="1" applyBorder="1" applyAlignment="1">
      <alignment vertical="center"/>
    </xf>
    <xf numFmtId="43" fontId="7" fillId="52" borderId="28" xfId="1" applyFont="1" applyFill="1" applyBorder="1" applyAlignment="1">
      <alignment vertical="center"/>
    </xf>
    <xf numFmtId="0" fontId="20" fillId="3" borderId="29" xfId="0" applyFont="1" applyFill="1" applyBorder="1" applyAlignment="1">
      <alignment vertical="center"/>
    </xf>
    <xf numFmtId="43" fontId="7" fillId="52" borderId="31" xfId="1" applyFont="1" applyFill="1" applyBorder="1" applyAlignment="1">
      <alignment vertical="center"/>
    </xf>
    <xf numFmtId="0" fontId="20" fillId="3" borderId="32" xfId="0" applyFont="1" applyFill="1" applyBorder="1" applyAlignment="1">
      <alignment vertical="center"/>
    </xf>
    <xf numFmtId="43" fontId="21" fillId="55" borderId="34" xfId="1" applyFont="1" applyFill="1" applyBorder="1" applyAlignment="1">
      <alignment vertical="center"/>
    </xf>
    <xf numFmtId="3" fontId="13" fillId="3" borderId="1" xfId="4" applyNumberFormat="1" applyFont="1" applyFill="1" applyBorder="1" applyAlignment="1">
      <alignment horizontal="center" vertical="center"/>
    </xf>
    <xf numFmtId="168" fontId="12" fillId="0" borderId="1" xfId="4" applyNumberFormat="1" applyFont="1" applyBorder="1" applyAlignment="1">
      <alignment horizontal="center" vertical="center"/>
    </xf>
    <xf numFmtId="168" fontId="12" fillId="0" borderId="1" xfId="4" applyNumberFormat="1" applyFont="1" applyBorder="1" applyAlignment="1">
      <alignment vertical="center"/>
    </xf>
    <xf numFmtId="43" fontId="12" fillId="0" borderId="1" xfId="1" applyFont="1" applyFill="1" applyBorder="1" applyAlignment="1">
      <alignment vertical="center"/>
    </xf>
    <xf numFmtId="0" fontId="5" fillId="3" borderId="5" xfId="4" applyFill="1" applyBorder="1" applyAlignment="1">
      <alignment vertical="center"/>
    </xf>
    <xf numFmtId="0" fontId="5" fillId="3" borderId="15" xfId="4" applyFill="1" applyBorder="1" applyAlignment="1">
      <alignment vertical="center"/>
    </xf>
    <xf numFmtId="0" fontId="14" fillId="3" borderId="6" xfId="0" applyFont="1" applyFill="1" applyBorder="1"/>
    <xf numFmtId="0" fontId="2" fillId="0" borderId="0" xfId="0" applyFont="1"/>
    <xf numFmtId="0" fontId="23" fillId="0" borderId="0" xfId="0" applyFont="1"/>
    <xf numFmtId="0" fontId="15" fillId="3" borderId="0" xfId="4" applyFont="1" applyFill="1" applyAlignment="1">
      <alignment horizontal="left" vertical="center"/>
    </xf>
    <xf numFmtId="165" fontId="12" fillId="0" borderId="1" xfId="1" applyNumberFormat="1" applyFont="1" applyFill="1" applyBorder="1" applyAlignment="1">
      <alignment horizontal="center" vertical="center"/>
    </xf>
    <xf numFmtId="165" fontId="13" fillId="3" borderId="1" xfId="1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7" fillId="7" borderId="0" xfId="1" applyFont="1" applyFill="1" applyAlignment="1">
      <alignment horizontal="center"/>
    </xf>
    <xf numFmtId="0" fontId="16" fillId="0" borderId="0" xfId="0" applyFont="1" applyAlignment="1">
      <alignment horizontal="left" vertical="center"/>
    </xf>
    <xf numFmtId="0" fontId="5" fillId="0" borderId="0" xfId="4"/>
    <xf numFmtId="0" fontId="7" fillId="4" borderId="1" xfId="0" applyFont="1" applyFill="1" applyBorder="1" applyAlignment="1">
      <alignment horizontal="center" vertical="center" wrapText="1"/>
    </xf>
    <xf numFmtId="169" fontId="12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/>
    <xf numFmtId="43" fontId="7" fillId="3" borderId="1" xfId="0" applyNumberFormat="1" applyFont="1" applyFill="1" applyBorder="1"/>
    <xf numFmtId="43" fontId="19" fillId="3" borderId="1" xfId="0" applyNumberFormat="1" applyFont="1" applyFill="1" applyBorder="1"/>
    <xf numFmtId="43" fontId="19" fillId="57" borderId="1" xfId="0" applyNumberFormat="1" applyFont="1" applyFill="1" applyBorder="1"/>
    <xf numFmtId="0" fontId="7" fillId="0" borderId="1" xfId="0" applyFont="1" applyBorder="1"/>
    <xf numFmtId="43" fontId="7" fillId="0" borderId="1" xfId="0" applyNumberFormat="1" applyFont="1" applyBorder="1"/>
    <xf numFmtId="0" fontId="13" fillId="4" borderId="4" xfId="4" applyFont="1" applyFill="1" applyBorder="1" applyAlignment="1">
      <alignment horizontal="center" vertical="center"/>
    </xf>
    <xf numFmtId="43" fontId="0" fillId="7" borderId="0" xfId="0" applyNumberFormat="1" applyFill="1"/>
    <xf numFmtId="3" fontId="13" fillId="4" borderId="4" xfId="4" applyNumberFormat="1" applyFont="1" applyFill="1" applyBorder="1" applyAlignment="1">
      <alignment horizontal="center" vertical="center" wrapText="1"/>
    </xf>
    <xf numFmtId="4" fontId="7" fillId="0" borderId="0" xfId="0" applyNumberFormat="1" applyFont="1"/>
    <xf numFmtId="4" fontId="28" fillId="0" borderId="18" xfId="0" applyNumberFormat="1" applyFont="1" applyBorder="1"/>
    <xf numFmtId="4" fontId="28" fillId="0" borderId="39" xfId="0" applyNumberFormat="1" applyFont="1" applyBorder="1"/>
    <xf numFmtId="4" fontId="28" fillId="0" borderId="2" xfId="0" applyNumberFormat="1" applyFont="1" applyBorder="1"/>
    <xf numFmtId="11" fontId="28" fillId="0" borderId="37" xfId="0" applyNumberFormat="1" applyFont="1" applyBorder="1"/>
    <xf numFmtId="11" fontId="28" fillId="0" borderId="19" xfId="0" applyNumberFormat="1" applyFont="1" applyBorder="1"/>
    <xf numFmtId="4" fontId="28" fillId="0" borderId="41" xfId="0" applyNumberFormat="1" applyFont="1" applyBorder="1"/>
    <xf numFmtId="4" fontId="28" fillId="0" borderId="20" xfId="0" applyNumberFormat="1" applyFont="1" applyBorder="1"/>
    <xf numFmtId="4" fontId="28" fillId="0" borderId="22" xfId="0" applyNumberFormat="1" applyFont="1" applyBorder="1"/>
    <xf numFmtId="0" fontId="13" fillId="3" borderId="1" xfId="4" applyFont="1" applyFill="1" applyBorder="1" applyAlignment="1">
      <alignment vertical="center" wrapText="1"/>
    </xf>
    <xf numFmtId="0" fontId="13" fillId="0" borderId="1" xfId="4" applyFont="1" applyBorder="1" applyAlignment="1">
      <alignment vertical="center" wrapText="1"/>
    </xf>
    <xf numFmtId="43" fontId="1" fillId="0" borderId="0" xfId="1" applyFont="1"/>
    <xf numFmtId="43" fontId="1" fillId="0" borderId="0" xfId="1" applyFont="1" applyAlignment="1">
      <alignment vertical="center"/>
    </xf>
    <xf numFmtId="0" fontId="1" fillId="0" borderId="1" xfId="4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/>
    </xf>
    <xf numFmtId="0" fontId="1" fillId="10" borderId="23" xfId="0" applyFont="1" applyFill="1" applyBorder="1" applyAlignment="1">
      <alignment vertical="center"/>
    </xf>
    <xf numFmtId="0" fontId="1" fillId="9" borderId="23" xfId="0" applyFont="1" applyFill="1" applyBorder="1" applyAlignment="1">
      <alignment vertical="center"/>
    </xf>
    <xf numFmtId="43" fontId="1" fillId="0" borderId="23" xfId="1" applyFont="1" applyBorder="1" applyAlignment="1">
      <alignment vertical="center"/>
    </xf>
    <xf numFmtId="43" fontId="1" fillId="52" borderId="23" xfId="1" applyFont="1" applyFill="1" applyBorder="1" applyAlignment="1">
      <alignment vertical="center"/>
    </xf>
    <xf numFmtId="10" fontId="1" fillId="0" borderId="24" xfId="2" applyNumberFormat="1" applyFont="1" applyBorder="1" applyAlignment="1">
      <alignment vertical="center"/>
    </xf>
    <xf numFmtId="0" fontId="1" fillId="9" borderId="24" xfId="0" applyFont="1" applyFill="1" applyBorder="1" applyAlignment="1">
      <alignment vertical="center"/>
    </xf>
    <xf numFmtId="43" fontId="1" fillId="0" borderId="24" xfId="1" applyFont="1" applyBorder="1" applyAlignment="1">
      <alignment vertical="center"/>
    </xf>
    <xf numFmtId="43" fontId="1" fillId="52" borderId="24" xfId="1" applyFont="1" applyFill="1" applyBorder="1" applyAlignment="1">
      <alignment vertical="center"/>
    </xf>
    <xf numFmtId="0" fontId="1" fillId="10" borderId="24" xfId="0" applyFont="1" applyFill="1" applyBorder="1" applyAlignment="1">
      <alignment vertical="center"/>
    </xf>
    <xf numFmtId="10" fontId="1" fillId="0" borderId="24" xfId="0" applyNumberFormat="1" applyFont="1" applyBorder="1" applyAlignment="1">
      <alignment vertical="center"/>
    </xf>
    <xf numFmtId="0" fontId="1" fillId="10" borderId="25" xfId="0" applyFont="1" applyFill="1" applyBorder="1" applyAlignment="1">
      <alignment vertical="center"/>
    </xf>
    <xf numFmtId="0" fontId="1" fillId="9" borderId="25" xfId="0" applyFont="1" applyFill="1" applyBorder="1" applyAlignment="1">
      <alignment vertical="center"/>
    </xf>
    <xf numFmtId="0" fontId="1" fillId="56" borderId="27" xfId="0" applyFont="1" applyFill="1" applyBorder="1" applyAlignment="1">
      <alignment vertical="center"/>
    </xf>
    <xf numFmtId="43" fontId="1" fillId="3" borderId="27" xfId="1" applyFont="1" applyFill="1" applyBorder="1" applyAlignment="1">
      <alignment vertical="center"/>
    </xf>
    <xf numFmtId="43" fontId="1" fillId="3" borderId="28" xfId="1" applyFont="1" applyFill="1" applyBorder="1" applyAlignment="1">
      <alignment vertical="center"/>
    </xf>
    <xf numFmtId="43" fontId="1" fillId="3" borderId="26" xfId="1" applyFont="1" applyFill="1" applyBorder="1" applyAlignment="1">
      <alignment vertical="center"/>
    </xf>
    <xf numFmtId="10" fontId="1" fillId="3" borderId="30" xfId="0" applyNumberFormat="1" applyFont="1" applyFill="1" applyBorder="1" applyAlignment="1">
      <alignment vertical="center"/>
    </xf>
    <xf numFmtId="43" fontId="1" fillId="3" borderId="30" xfId="1" applyFont="1" applyFill="1" applyBorder="1" applyAlignment="1">
      <alignment vertical="center"/>
    </xf>
    <xf numFmtId="43" fontId="1" fillId="3" borderId="31" xfId="1" applyFont="1" applyFill="1" applyBorder="1" applyAlignment="1">
      <alignment vertical="center"/>
    </xf>
    <xf numFmtId="43" fontId="1" fillId="3" borderId="29" xfId="1" applyFont="1" applyFill="1" applyBorder="1" applyAlignment="1">
      <alignment vertical="center"/>
    </xf>
    <xf numFmtId="10" fontId="1" fillId="3" borderId="30" xfId="2" applyNumberFormat="1" applyFont="1" applyFill="1" applyBorder="1" applyAlignment="1">
      <alignment vertical="center"/>
    </xf>
    <xf numFmtId="0" fontId="1" fillId="56" borderId="30" xfId="0" applyFont="1" applyFill="1" applyBorder="1" applyAlignment="1">
      <alignment vertical="center"/>
    </xf>
    <xf numFmtId="0" fontId="1" fillId="56" borderId="33" xfId="0" applyFont="1" applyFill="1" applyBorder="1" applyAlignment="1">
      <alignment vertical="center"/>
    </xf>
    <xf numFmtId="43" fontId="1" fillId="3" borderId="33" xfId="1" applyFont="1" applyFill="1" applyBorder="1" applyAlignment="1">
      <alignment vertical="center"/>
    </xf>
    <xf numFmtId="43" fontId="1" fillId="3" borderId="34" xfId="1" applyFont="1" applyFill="1" applyBorder="1" applyAlignment="1">
      <alignment vertical="center"/>
    </xf>
    <xf numFmtId="43" fontId="1" fillId="3" borderId="32" xfId="1" applyFont="1" applyFill="1" applyBorder="1" applyAlignment="1">
      <alignment vertical="center"/>
    </xf>
    <xf numFmtId="0" fontId="1" fillId="8" borderId="56" xfId="0" applyFont="1" applyFill="1" applyBorder="1" applyAlignment="1">
      <alignment horizontal="center" vertical="center"/>
    </xf>
    <xf numFmtId="43" fontId="1" fillId="8" borderId="57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 indent="1"/>
    </xf>
    <xf numFmtId="43" fontId="1" fillId="52" borderId="1" xfId="0" applyNumberFormat="1" applyFont="1" applyFill="1" applyBorder="1"/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indent="1"/>
    </xf>
    <xf numFmtId="0" fontId="1" fillId="7" borderId="1" xfId="0" applyFont="1" applyFill="1" applyBorder="1" applyAlignment="1">
      <alignment horizontal="left" wrapText="1" inden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1" xfId="0" applyFont="1" applyBorder="1"/>
    <xf numFmtId="43" fontId="1" fillId="0" borderId="1" xfId="35" applyFont="1" applyFill="1" applyBorder="1"/>
    <xf numFmtId="43" fontId="1" fillId="0" borderId="1" xfId="35" applyFont="1" applyBorder="1"/>
    <xf numFmtId="0" fontId="1" fillId="52" borderId="1" xfId="0" applyFont="1" applyFill="1" applyBorder="1" applyAlignment="1">
      <alignment horizontal="left" vertical="center"/>
    </xf>
    <xf numFmtId="0" fontId="1" fillId="52" borderId="1" xfId="0" applyFont="1" applyFill="1" applyBorder="1"/>
    <xf numFmtId="43" fontId="1" fillId="52" borderId="1" xfId="35" applyFont="1" applyFill="1" applyBorder="1"/>
    <xf numFmtId="43" fontId="1" fillId="50" borderId="1" xfId="35" applyFont="1" applyFill="1" applyBorder="1"/>
    <xf numFmtId="0" fontId="1" fillId="0" borderId="1" xfId="0" applyFont="1" applyBorder="1" applyAlignment="1">
      <alignment horizontal="left" indent="2"/>
    </xf>
    <xf numFmtId="43" fontId="1" fillId="0" borderId="1" xfId="1" applyFont="1" applyFill="1" applyBorder="1"/>
    <xf numFmtId="43" fontId="1" fillId="0" borderId="1" xfId="1" applyFont="1" applyBorder="1"/>
    <xf numFmtId="0" fontId="1" fillId="8" borderId="13" xfId="0" applyFont="1" applyFill="1" applyBorder="1" applyAlignment="1">
      <alignment horizontal="center" vertical="center"/>
    </xf>
    <xf numFmtId="0" fontId="1" fillId="3" borderId="0" xfId="0" applyFont="1" applyFill="1"/>
    <xf numFmtId="0" fontId="1" fillId="0" borderId="1" xfId="0" applyFont="1" applyBorder="1" applyAlignment="1">
      <alignment horizontal="left" indent="1"/>
    </xf>
    <xf numFmtId="166" fontId="1" fillId="0" borderId="0" xfId="0" applyNumberFormat="1" applyFont="1"/>
    <xf numFmtId="0" fontId="1" fillId="57" borderId="1" xfId="0" applyFont="1" applyFill="1" applyBorder="1"/>
    <xf numFmtId="169" fontId="1" fillId="57" borderId="1" xfId="0" applyNumberFormat="1" applyFont="1" applyFill="1" applyBorder="1"/>
    <xf numFmtId="169" fontId="1" fillId="0" borderId="0" xfId="0" applyNumberFormat="1" applyFont="1"/>
    <xf numFmtId="43" fontId="1" fillId="0" borderId="1" xfId="0" applyNumberFormat="1" applyFont="1" applyBorder="1"/>
    <xf numFmtId="2" fontId="1" fillId="0" borderId="1" xfId="0" applyNumberFormat="1" applyFont="1" applyBorder="1"/>
    <xf numFmtId="0" fontId="0" fillId="58" borderId="0" xfId="0" applyFill="1"/>
    <xf numFmtId="43" fontId="0" fillId="58" borderId="0" xfId="35" applyFont="1" applyFill="1"/>
    <xf numFmtId="0" fontId="73" fillId="6" borderId="30" xfId="0" applyFont="1" applyFill="1" applyBorder="1" applyAlignment="1">
      <alignment horizontal="center" vertical="center"/>
    </xf>
    <xf numFmtId="49" fontId="44" fillId="6" borderId="33" xfId="194" applyNumberFormat="1" applyFont="1" applyFill="1" applyBorder="1" applyAlignment="1">
      <alignment horizontal="center" vertical="center"/>
    </xf>
    <xf numFmtId="182" fontId="44" fillId="59" borderId="26" xfId="194" applyNumberFormat="1" applyFont="1" applyFill="1" applyBorder="1" applyAlignment="1">
      <alignment horizontal="center" vertical="center"/>
    </xf>
    <xf numFmtId="0" fontId="75" fillId="59" borderId="27" xfId="0" applyFont="1" applyFill="1" applyBorder="1" applyAlignment="1">
      <alignment horizontal="left" vertical="center"/>
    </xf>
    <xf numFmtId="0" fontId="75" fillId="59" borderId="62" xfId="0" applyFont="1" applyFill="1" applyBorder="1" applyAlignment="1">
      <alignment horizontal="left" vertical="center"/>
    </xf>
    <xf numFmtId="182" fontId="44" fillId="59" borderId="28" xfId="194" applyNumberFormat="1" applyFont="1" applyFill="1" applyBorder="1" applyAlignment="1">
      <alignment horizontal="right" vertical="center"/>
    </xf>
    <xf numFmtId="183" fontId="55" fillId="0" borderId="29" xfId="1" applyNumberFormat="1" applyFont="1" applyFill="1" applyBorder="1" applyAlignment="1">
      <alignment horizontal="center" vertical="center"/>
    </xf>
    <xf numFmtId="43" fontId="55" fillId="0" borderId="30" xfId="1" applyFont="1" applyFill="1" applyBorder="1" applyAlignment="1">
      <alignment horizontal="right" vertical="center"/>
    </xf>
    <xf numFmtId="170" fontId="55" fillId="0" borderId="31" xfId="1" applyNumberFormat="1" applyFont="1" applyFill="1" applyBorder="1" applyAlignment="1">
      <alignment horizontal="right" vertical="center"/>
    </xf>
    <xf numFmtId="0" fontId="5" fillId="3" borderId="63" xfId="4" applyFill="1" applyBorder="1" applyAlignment="1">
      <alignment vertical="center"/>
    </xf>
    <xf numFmtId="0" fontId="5" fillId="3" borderId="64" xfId="4" applyFill="1" applyBorder="1" applyAlignment="1">
      <alignment vertical="center"/>
    </xf>
    <xf numFmtId="0" fontId="5" fillId="3" borderId="65" xfId="4" applyFill="1" applyBorder="1" applyAlignment="1">
      <alignment vertical="center"/>
    </xf>
    <xf numFmtId="183" fontId="55" fillId="0" borderId="32" xfId="1" applyNumberFormat="1" applyFont="1" applyFill="1" applyBorder="1" applyAlignment="1">
      <alignment horizontal="center" vertical="center"/>
    </xf>
    <xf numFmtId="43" fontId="55" fillId="0" borderId="33" xfId="1" applyFont="1" applyFill="1" applyBorder="1" applyAlignment="1">
      <alignment horizontal="right" vertical="center"/>
    </xf>
    <xf numFmtId="170" fontId="55" fillId="0" borderId="34" xfId="1" applyNumberFormat="1" applyFont="1" applyFill="1" applyBorder="1" applyAlignment="1">
      <alignment horizontal="right" vertical="center"/>
    </xf>
    <xf numFmtId="0" fontId="16" fillId="52" borderId="7" xfId="0" applyFont="1" applyFill="1" applyBorder="1" applyAlignment="1">
      <alignment horizontal="left" vertical="center" wrapText="1"/>
    </xf>
    <xf numFmtId="0" fontId="16" fillId="52" borderId="8" xfId="0" applyFont="1" applyFill="1" applyBorder="1" applyAlignment="1">
      <alignment horizontal="left" vertical="center" wrapText="1"/>
    </xf>
    <xf numFmtId="0" fontId="16" fillId="52" borderId="9" xfId="0" applyFont="1" applyFill="1" applyBorder="1" applyAlignment="1">
      <alignment horizontal="left" vertical="center" wrapText="1"/>
    </xf>
    <xf numFmtId="3" fontId="13" fillId="6" borderId="1" xfId="4" applyNumberFormat="1" applyFont="1" applyFill="1" applyBorder="1" applyAlignment="1">
      <alignment horizontal="center" vertical="center"/>
    </xf>
    <xf numFmtId="0" fontId="13" fillId="6" borderId="2" xfId="4" applyFont="1" applyFill="1" applyBorder="1" applyAlignment="1">
      <alignment horizontal="center" vertical="center"/>
    </xf>
    <xf numFmtId="0" fontId="13" fillId="6" borderId="4" xfId="4" applyFont="1" applyFill="1" applyBorder="1" applyAlignment="1">
      <alignment horizontal="center" vertical="center"/>
    </xf>
    <xf numFmtId="3" fontId="13" fillId="6" borderId="2" xfId="4" applyNumberFormat="1" applyFont="1" applyFill="1" applyBorder="1" applyAlignment="1">
      <alignment horizontal="center" vertical="center"/>
    </xf>
    <xf numFmtId="3" fontId="13" fillId="6" borderId="4" xfId="4" applyNumberFormat="1" applyFont="1" applyFill="1" applyBorder="1" applyAlignment="1">
      <alignment horizontal="center" vertical="center"/>
    </xf>
    <xf numFmtId="43" fontId="13" fillId="6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indent="1"/>
    </xf>
    <xf numFmtId="43" fontId="15" fillId="0" borderId="1" xfId="1" applyFont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13" fillId="6" borderId="5" xfId="4" applyFont="1" applyFill="1" applyBorder="1" applyAlignment="1">
      <alignment horizontal="center" vertical="center" wrapText="1"/>
    </xf>
    <xf numFmtId="0" fontId="13" fillId="6" borderId="6" xfId="4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indent="1"/>
    </xf>
    <xf numFmtId="0" fontId="1" fillId="0" borderId="24" xfId="0" applyFont="1" applyBorder="1" applyAlignment="1">
      <alignment horizontal="left" vertical="center" indent="1"/>
    </xf>
    <xf numFmtId="0" fontId="1" fillId="0" borderId="25" xfId="0" applyFont="1" applyBorder="1" applyAlignment="1">
      <alignment horizontal="left" vertical="center" indent="1"/>
    </xf>
    <xf numFmtId="3" fontId="13" fillId="4" borderId="2" xfId="4" applyNumberFormat="1" applyFont="1" applyFill="1" applyBorder="1" applyAlignment="1">
      <alignment horizontal="center" vertical="center"/>
    </xf>
    <xf numFmtId="3" fontId="13" fillId="4" borderId="4" xfId="4" applyNumberFormat="1" applyFont="1" applyFill="1" applyBorder="1" applyAlignment="1">
      <alignment horizontal="center" vertical="center"/>
    </xf>
    <xf numFmtId="0" fontId="13" fillId="6" borderId="5" xfId="4" applyFont="1" applyFill="1" applyBorder="1" applyAlignment="1">
      <alignment horizontal="center" vertical="center"/>
    </xf>
    <xf numFmtId="0" fontId="13" fillId="6" borderId="15" xfId="4" applyFont="1" applyFill="1" applyBorder="1" applyAlignment="1">
      <alignment horizontal="center" vertical="center"/>
    </xf>
    <xf numFmtId="0" fontId="13" fillId="6" borderId="6" xfId="4" applyFont="1" applyFill="1" applyBorder="1" applyAlignment="1">
      <alignment horizontal="center" vertical="center"/>
    </xf>
    <xf numFmtId="0" fontId="13" fillId="6" borderId="15" xfId="4" applyFont="1" applyFill="1" applyBorder="1" applyAlignment="1">
      <alignment horizontal="center" vertical="center" wrapText="1"/>
    </xf>
    <xf numFmtId="0" fontId="13" fillId="4" borderId="2" xfId="4" applyFont="1" applyFill="1" applyBorder="1" applyAlignment="1">
      <alignment horizontal="center" vertical="center"/>
    </xf>
    <xf numFmtId="0" fontId="13" fillId="4" borderId="4" xfId="4" applyFont="1" applyFill="1" applyBorder="1" applyAlignment="1">
      <alignment horizontal="center" vertical="center"/>
    </xf>
    <xf numFmtId="0" fontId="13" fillId="6" borderId="1" xfId="4" applyFont="1" applyFill="1" applyBorder="1" applyAlignment="1">
      <alignment horizontal="center" vertical="center" wrapText="1"/>
    </xf>
    <xf numFmtId="0" fontId="73" fillId="6" borderId="26" xfId="0" applyFont="1" applyFill="1" applyBorder="1" applyAlignment="1">
      <alignment horizontal="center" vertical="center"/>
    </xf>
    <xf numFmtId="0" fontId="73" fillId="6" borderId="27" xfId="0" applyFont="1" applyFill="1" applyBorder="1" applyAlignment="1">
      <alignment horizontal="center" vertical="center"/>
    </xf>
    <xf numFmtId="0" fontId="73" fillId="6" borderId="28" xfId="0" applyFont="1" applyFill="1" applyBorder="1" applyAlignment="1">
      <alignment horizontal="center" vertical="center"/>
    </xf>
    <xf numFmtId="0" fontId="73" fillId="6" borderId="58" xfId="0" applyFont="1" applyFill="1" applyBorder="1" applyAlignment="1">
      <alignment horizontal="center" vertical="center"/>
    </xf>
    <xf numFmtId="0" fontId="73" fillId="6" borderId="60" xfId="0" applyFont="1" applyFill="1" applyBorder="1" applyAlignment="1">
      <alignment horizontal="center" vertical="center"/>
    </xf>
    <xf numFmtId="0" fontId="73" fillId="6" borderId="59" xfId="0" applyFont="1" applyFill="1" applyBorder="1" applyAlignment="1">
      <alignment horizontal="center" vertical="center"/>
    </xf>
    <xf numFmtId="0" fontId="73" fillId="6" borderId="6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7" fillId="6" borderId="6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2" fontId="71" fillId="6" borderId="1" xfId="0" applyNumberFormat="1" applyFont="1" applyFill="1" applyBorder="1" applyAlignment="1">
      <alignment horizontal="center" vertical="center"/>
    </xf>
    <xf numFmtId="0" fontId="16" fillId="52" borderId="10" xfId="0" applyFont="1" applyFill="1" applyBorder="1" applyAlignment="1">
      <alignment horizontal="left" vertical="center"/>
    </xf>
    <xf numFmtId="0" fontId="16" fillId="52" borderId="0" xfId="0" applyFont="1" applyFill="1" applyAlignment="1">
      <alignment horizontal="left" vertical="center"/>
    </xf>
    <xf numFmtId="0" fontId="16" fillId="52" borderId="11" xfId="0" applyFont="1" applyFill="1" applyBorder="1" applyAlignment="1">
      <alignment horizontal="left" vertical="center"/>
    </xf>
    <xf numFmtId="0" fontId="16" fillId="52" borderId="12" xfId="0" applyFont="1" applyFill="1" applyBorder="1" applyAlignment="1">
      <alignment horizontal="left" vertical="center"/>
    </xf>
    <xf numFmtId="0" fontId="16" fillId="52" borderId="13" xfId="0" applyFont="1" applyFill="1" applyBorder="1" applyAlignment="1">
      <alignment horizontal="left" vertical="center"/>
    </xf>
    <xf numFmtId="0" fontId="16" fillId="52" borderId="14" xfId="0" applyFont="1" applyFill="1" applyBorder="1" applyAlignment="1">
      <alignment horizontal="left" vertical="center"/>
    </xf>
    <xf numFmtId="0" fontId="63" fillId="52" borderId="7" xfId="0" applyFont="1" applyFill="1" applyBorder="1" applyAlignment="1">
      <alignment horizontal="left" vertical="center"/>
    </xf>
    <xf numFmtId="0" fontId="63" fillId="52" borderId="8" xfId="0" applyFont="1" applyFill="1" applyBorder="1" applyAlignment="1">
      <alignment horizontal="left" vertical="center"/>
    </xf>
    <xf numFmtId="0" fontId="63" fillId="52" borderId="9" xfId="0" applyFont="1" applyFill="1" applyBorder="1" applyAlignment="1">
      <alignment horizontal="left" vertical="center"/>
    </xf>
    <xf numFmtId="0" fontId="64" fillId="52" borderId="10" xfId="0" applyFont="1" applyFill="1" applyBorder="1" applyAlignment="1">
      <alignment horizontal="left" vertical="center"/>
    </xf>
    <xf numFmtId="0" fontId="64" fillId="52" borderId="0" xfId="0" applyFont="1" applyFill="1" applyAlignment="1">
      <alignment horizontal="left" vertical="center"/>
    </xf>
    <xf numFmtId="0" fontId="64" fillId="52" borderId="11" xfId="0" applyFont="1" applyFill="1" applyBorder="1" applyAlignment="1">
      <alignment horizontal="left" vertical="center"/>
    </xf>
    <xf numFmtId="0" fontId="64" fillId="52" borderId="12" xfId="0" applyFont="1" applyFill="1" applyBorder="1" applyAlignment="1">
      <alignment horizontal="left" vertical="center"/>
    </xf>
    <xf numFmtId="0" fontId="64" fillId="52" borderId="13" xfId="0" applyFont="1" applyFill="1" applyBorder="1" applyAlignment="1">
      <alignment horizontal="left" vertical="center"/>
    </xf>
    <xf numFmtId="0" fontId="64" fillId="52" borderId="14" xfId="0" applyFont="1" applyFill="1" applyBorder="1" applyAlignment="1">
      <alignment horizontal="left" vertical="center"/>
    </xf>
    <xf numFmtId="0" fontId="7" fillId="6" borderId="5" xfId="0" applyFont="1" applyFill="1" applyBorder="1" applyAlignment="1">
      <alignment horizontal="center"/>
    </xf>
    <xf numFmtId="0" fontId="7" fillId="6" borderId="1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169" fontId="7" fillId="4" borderId="2" xfId="0" applyNumberFormat="1" applyFont="1" applyFill="1" applyBorder="1" applyAlignment="1">
      <alignment horizontal="center" vertical="center" wrapText="1"/>
    </xf>
    <xf numFmtId="169" fontId="7" fillId="4" borderId="4" xfId="0" applyNumberFormat="1" applyFont="1" applyFill="1" applyBorder="1" applyAlignment="1">
      <alignment horizontal="center" vertical="center" wrapText="1"/>
    </xf>
    <xf numFmtId="169" fontId="7" fillId="4" borderId="2" xfId="0" applyNumberFormat="1" applyFont="1" applyFill="1" applyBorder="1" applyAlignment="1">
      <alignment horizontal="center" vertical="center"/>
    </xf>
    <xf numFmtId="169" fontId="7" fillId="4" borderId="4" xfId="0" applyNumberFormat="1" applyFont="1" applyFill="1" applyBorder="1" applyAlignment="1">
      <alignment horizontal="center" vertical="center"/>
    </xf>
  </cellXfs>
  <cellStyles count="197">
    <cellStyle name="20% - Ênfase1" xfId="14" builtinId="30" customBuiltin="1"/>
    <cellStyle name="20% - Ênfase1 2" xfId="157" xr:uid="{F3B4A18A-422C-4B90-97EE-C3DD2ED05DDB}"/>
    <cellStyle name="20% - Ênfase2" xfId="17" builtinId="34" customBuiltin="1"/>
    <cellStyle name="20% - Ênfase2 2" xfId="161" xr:uid="{CE724C3D-8F85-4804-A3B3-FA17C146F7B7}"/>
    <cellStyle name="20% - Ênfase3" xfId="20" builtinId="38" customBuiltin="1"/>
    <cellStyle name="20% - Ênfase3 2" xfId="165" xr:uid="{B10E3DDB-073C-4D64-AE69-083C1DA413B5}"/>
    <cellStyle name="20% - Ênfase4" xfId="23" builtinId="42" customBuiltin="1"/>
    <cellStyle name="20% - Ênfase4 2" xfId="169" xr:uid="{859EE536-2324-4BB9-B204-F96907C28C80}"/>
    <cellStyle name="20% - Ênfase5" xfId="26" builtinId="46" customBuiltin="1"/>
    <cellStyle name="20% - Ênfase5 2" xfId="173" xr:uid="{D47AE1C0-07A7-4217-8FE3-FAE278A68878}"/>
    <cellStyle name="20% - Ênfase6" xfId="29" builtinId="50" customBuiltin="1"/>
    <cellStyle name="20% - Ênfase6 2" xfId="177" xr:uid="{94851FB8-81D0-44F2-A357-F289A89ADACC}"/>
    <cellStyle name="40% - Ênfase1" xfId="15" builtinId="31" customBuiltin="1"/>
    <cellStyle name="40% - Ênfase1 2" xfId="158" xr:uid="{D6BF577C-C266-472F-B373-11B5747800FC}"/>
    <cellStyle name="40% - Ênfase2" xfId="18" builtinId="35" customBuiltin="1"/>
    <cellStyle name="40% - Ênfase2 2" xfId="162" xr:uid="{FA97D11A-6C0C-4E65-8A3F-066FD60B47C4}"/>
    <cellStyle name="40% - Ênfase3" xfId="21" builtinId="39" customBuiltin="1"/>
    <cellStyle name="40% - Ênfase3 2" xfId="166" xr:uid="{826D0389-DC72-4D16-971D-D9394A0C3A2F}"/>
    <cellStyle name="40% - Ênfase4" xfId="24" builtinId="43" customBuiltin="1"/>
    <cellStyle name="40% - Ênfase4 2" xfId="170" xr:uid="{3DE2105B-A882-4B1A-A85B-C86A6DB4538A}"/>
    <cellStyle name="40% - Ênfase5" xfId="27" builtinId="47" customBuiltin="1"/>
    <cellStyle name="40% - Ênfase5 2" xfId="174" xr:uid="{1ABB82B2-6FB9-4EE6-AA46-9707889EC1A2}"/>
    <cellStyle name="40% - Ênfase6" xfId="30" builtinId="51" customBuiltin="1"/>
    <cellStyle name="40% - Ênfase6 2" xfId="178" xr:uid="{BCA65182-EB92-4EFB-81EF-766368ED3C4D}"/>
    <cellStyle name="60% - Ênfase1 2" xfId="159" xr:uid="{B8EF0FEF-338C-49EF-84E8-57534D035C3A}"/>
    <cellStyle name="60% - Ênfase1 3" xfId="99" xr:uid="{E808C452-558C-40D0-B4BE-585B77A581C2}"/>
    <cellStyle name="60% - Ênfase2 2" xfId="163" xr:uid="{0E996033-B393-43C9-B4BB-8910101D2A87}"/>
    <cellStyle name="60% - Ênfase2 3" xfId="100" xr:uid="{5B2E9569-0680-4AF8-A0E3-2DCE5C1A27F2}"/>
    <cellStyle name="60% - Ênfase3 2" xfId="167" xr:uid="{C94A50A7-10FE-43D9-8760-E0A7E7BC4DA3}"/>
    <cellStyle name="60% - Ênfase3 3" xfId="101" xr:uid="{210AE4F9-2CA0-44C2-8D94-9D90EA83AD0C}"/>
    <cellStyle name="60% - Ênfase4 2" xfId="171" xr:uid="{1DB86787-8850-4334-AF1E-824CA96AC543}"/>
    <cellStyle name="60% - Ênfase4 3" xfId="102" xr:uid="{C9E3916A-4C77-42C1-BB22-C54EC2F13E91}"/>
    <cellStyle name="60% - Ênfase5 2" xfId="175" xr:uid="{EC1C4166-6D02-4594-A6AF-A83688B62C9C}"/>
    <cellStyle name="60% - Ênfase5 3" xfId="103" xr:uid="{95A83D31-5F84-4CA8-B1D7-E97C2C846DA2}"/>
    <cellStyle name="60% - Ênfase6 2" xfId="179" xr:uid="{AFBC6A04-8368-4F8B-958F-56DB19BB5C8D}"/>
    <cellStyle name="60% - Ênfase6 3" xfId="104" xr:uid="{7C9EE70F-D8F1-4BDF-B24A-2D3A8F260909}"/>
    <cellStyle name="A1.Title1" xfId="42" xr:uid="{BCC35572-9878-46EE-AE67-B93DE48DD48D}"/>
    <cellStyle name="A1.Title2" xfId="43" xr:uid="{85E9D4AD-3C36-499A-B2FF-64CA4AE9E4BC}"/>
    <cellStyle name="A2.Heading1" xfId="44" xr:uid="{8D5DA361-2B42-48B7-AA38-8966A3D3CC84}"/>
    <cellStyle name="A2.Heading2" xfId="45" xr:uid="{76C4FD6F-5A52-46FC-837D-55BE1B8D0046}"/>
    <cellStyle name="A2.Heading3" xfId="46" xr:uid="{24D2E325-0559-41DD-BFF8-5B47F6434A05}"/>
    <cellStyle name="A2.Heading4" xfId="47" xr:uid="{DAF6AA16-60DE-4EF0-8F51-B507F9136092}"/>
    <cellStyle name="B1.dateDD-MMM-YY" xfId="48" xr:uid="{F8287B86-71BB-4842-B6F4-D0E0709F5E1C}"/>
    <cellStyle name="B1.dateMMM-YY" xfId="49" xr:uid="{F66F5D6C-CF19-4463-93FB-D8C5F79163A6}"/>
    <cellStyle name="B1.general" xfId="50" xr:uid="{F41007CF-6D7B-4DC3-A877-EB8D0F457744}"/>
    <cellStyle name="B1.percentage" xfId="51" xr:uid="{9FF24963-FAAE-46E1-932F-89E74DAEB8EB}"/>
    <cellStyle name="B1.text" xfId="52" xr:uid="{3B344D58-C68C-4CD4-97E1-40A9BC5959AC}"/>
    <cellStyle name="B1.textgrid" xfId="53" xr:uid="{E6422726-8CFA-4124-8002-EAD23EAAB887}"/>
    <cellStyle name="B2.dateDD-MMM-YY" xfId="54" xr:uid="{F39C62FD-0CC1-4109-A249-035CD44DCCEF}"/>
    <cellStyle name="B2.dateMMM-YY" xfId="55" xr:uid="{A70028EB-1B8A-4AE9-80FD-FD777EE92384}"/>
    <cellStyle name="B2.general" xfId="56" xr:uid="{53171644-A3A8-406C-A49C-3A0D304CDD8B}"/>
    <cellStyle name="B2.percentage" xfId="57" xr:uid="{79C51764-C86C-4AD7-8B1C-E22F30FDAAA8}"/>
    <cellStyle name="B2.text" xfId="58" xr:uid="{0BC9E31F-AABF-4C45-B249-BAEA7659EFFC}"/>
    <cellStyle name="B2.textgrid" xfId="59" xr:uid="{0AD1EE5B-F9B3-4E9B-A667-AC03E52C0C6F}"/>
    <cellStyle name="B4.dateDD-MMM-YY" xfId="60" xr:uid="{8817B535-0B79-4C36-9008-688353328BFC}"/>
    <cellStyle name="B4.dateMMM-YY" xfId="61" xr:uid="{EA48EF1F-1D11-47D0-BCA5-9EBFA0CA20FE}"/>
    <cellStyle name="B4.general" xfId="62" xr:uid="{436A18AE-EC81-44A5-8B83-4DB4894B7802}"/>
    <cellStyle name="B4.percentage" xfId="63" xr:uid="{BCF804E3-EA83-4408-AA57-9A745C3385AB}"/>
    <cellStyle name="B4.text" xfId="64" xr:uid="{8EC2894D-0C42-4C39-A691-AEEBEE7A38AE}"/>
    <cellStyle name="B4.textgrid" xfId="65" xr:uid="{3DD16D3F-44F3-44B0-BCA6-03C8907F8F92}"/>
    <cellStyle name="Bom" xfId="9" builtinId="26" customBuiltin="1"/>
    <cellStyle name="Bom 2" xfId="66" xr:uid="{0F7B0730-6FC4-4D07-8372-81BA8084C347}"/>
    <cellStyle name="Bom 3" xfId="153" xr:uid="{7219DCFE-A447-4820-BC7A-995EB3A8153B}"/>
    <cellStyle name="C1.dateDD-MMM-YY" xfId="67" xr:uid="{FE663EF5-7B4B-4F94-B93E-5FEC0CABCD1A}"/>
    <cellStyle name="C1.dateMMM-YY" xfId="68" xr:uid="{A863800A-4EEB-4F46-9617-1FB9F0FDCA69}"/>
    <cellStyle name="C1.general" xfId="69" xr:uid="{49E28203-4048-467A-A9A1-D82CB313B1B5}"/>
    <cellStyle name="C1.percentage" xfId="70" xr:uid="{2FEC33B6-2D80-486D-BCE9-45693C6319C0}"/>
    <cellStyle name="C2.total" xfId="71" xr:uid="{5FE1F29E-B10C-4680-8D65-190F9B15A680}"/>
    <cellStyle name="C2.totalpercentage" xfId="72" xr:uid="{96108F73-437A-41E9-99E8-90371FE0FAF3}"/>
    <cellStyle name="Cálculo" xfId="12" builtinId="22" customBuiltin="1"/>
    <cellStyle name="Cálculo 2" xfId="189" hidden="1" xr:uid="{F3CF018B-1114-48AB-BE40-CBD4A4BCFC7D}"/>
    <cellStyle name="Cálculo 2" xfId="186" hidden="1" xr:uid="{BF87A353-BC18-4174-BCBF-FFCC8AE61AD8}"/>
    <cellStyle name="Cálculo 2" xfId="146" hidden="1" xr:uid="{09C6EAA9-3E02-415B-91DB-27FA6A505D66}"/>
    <cellStyle name="Cálculo 3" xfId="146" xr:uid="{A1B25702-FAAB-42DD-B819-6A5B222E0FC6}"/>
    <cellStyle name="Comma 2" xfId="73" xr:uid="{B98CD7FC-5D57-4667-960D-013D0EEE6A59}"/>
    <cellStyle name="Comma 2 2" xfId="185" xr:uid="{2883A01A-9731-4957-A6F9-1ABA4058DFAB}"/>
    <cellStyle name="Ênfase1" xfId="13" builtinId="29" customBuiltin="1"/>
    <cellStyle name="Ênfase1 2" xfId="156" xr:uid="{9C3AE816-D4E2-4ABF-B479-3627C0437041}"/>
    <cellStyle name="Ênfase2" xfId="16" builtinId="33" customBuiltin="1"/>
    <cellStyle name="Ênfase2 2" xfId="160" xr:uid="{5EB912D9-F72C-44F0-874A-A51399D867F2}"/>
    <cellStyle name="Ênfase3" xfId="19" builtinId="37" customBuiltin="1"/>
    <cellStyle name="Ênfase3 2" xfId="164" xr:uid="{3A13EE17-3B54-43EA-95B9-2EE75D0876B1}"/>
    <cellStyle name="Ênfase4" xfId="22" builtinId="41" customBuiltin="1"/>
    <cellStyle name="Ênfase4 2" xfId="168" xr:uid="{FB587888-5954-4AA4-90CF-E8155AF71074}"/>
    <cellStyle name="Ênfase5" xfId="25" builtinId="45" customBuiltin="1"/>
    <cellStyle name="Ênfase5 2" xfId="172" xr:uid="{0149993A-D09D-4FFA-A0EB-3B09CAA4B4FC}"/>
    <cellStyle name="Ênfase6" xfId="28" builtinId="49" customBuiltin="1"/>
    <cellStyle name="Ênfase6 2" xfId="176" xr:uid="{CF01FC86-DF19-435F-8FA9-5EFFF2EBD467}"/>
    <cellStyle name="Incorreto 2" xfId="154" xr:uid="{CF31B6C4-3484-4917-90FF-C571E9ABBF95}"/>
    <cellStyle name="Moeda [0] 2" xfId="151" xr:uid="{BAAA7F5E-3FE1-4442-B68B-EA2D26C7932F}"/>
    <cellStyle name="Moeda 2" xfId="150" xr:uid="{67747475-653D-4B37-9695-B32AB81923D5}"/>
    <cellStyle name="Neutra 2" xfId="74" xr:uid="{A84E2FF6-AC62-4557-873F-4CE1FFFB8CEF}"/>
    <cellStyle name="Neutra 2 2" xfId="155" xr:uid="{A0E012F4-ECFF-4126-BA59-440DA9AD483B}"/>
    <cellStyle name="Neutro 2" xfId="98" xr:uid="{36B1C546-6B7C-4466-84B4-FE81BE83B4C0}"/>
    <cellStyle name="Normal" xfId="0" builtinId="0"/>
    <cellStyle name="Normal 10" xfId="38" xr:uid="{469359A8-1200-4DD2-8EDA-5250D16517CC}"/>
    <cellStyle name="Normal 11" xfId="40" xr:uid="{514C35F5-232A-43B5-AE63-F145C833EC27}"/>
    <cellStyle name="Normal 12" xfId="31" xr:uid="{2854F76C-86F1-4044-B9CE-F13FF7E1FE65}"/>
    <cellStyle name="Normal 16 2" xfId="4" xr:uid="{31CF8629-F909-4F38-8AAF-FFFAB2BA9A7A}"/>
    <cellStyle name="Normal 2" xfId="75" xr:uid="{AB699BB9-91E1-43D8-95DC-9F9CAC1A54D7}"/>
    <cellStyle name="Normal 2 10" xfId="193" xr:uid="{73F722E9-C757-4196-91C3-9CB57E510597}"/>
    <cellStyle name="Normal 2 2" xfId="76" xr:uid="{674D39ED-A2BF-4AF1-BCE3-11F2C5657D6D}"/>
    <cellStyle name="Normal 2 2 2" xfId="120" xr:uid="{3A81AE6C-4ABF-4010-8647-6A66E598006F}"/>
    <cellStyle name="Normal 2 2 2 2" xfId="128" xr:uid="{8719D963-2025-4E98-AF11-69F4B726F7DD}"/>
    <cellStyle name="Normal 2 2 3" xfId="115" xr:uid="{2FA49A75-D257-42AD-88E9-7B55E2A03BEE}"/>
    <cellStyle name="Normal 2 2 4" xfId="139" xr:uid="{3F986A70-B19C-4F2C-89CA-45AB7F954E74}"/>
    <cellStyle name="Normal 2 2 5" xfId="180" xr:uid="{D558DF49-95B4-4E8E-B82D-01B698093FED}"/>
    <cellStyle name="Normal 2 2 6" xfId="110" xr:uid="{CB95A572-7013-4B50-AC74-3AA27D49799A}"/>
    <cellStyle name="Normal 2 3" xfId="77" xr:uid="{BACF8605-585E-4026-A08C-9A83CA818EC2}"/>
    <cellStyle name="Normal 2 3 2" xfId="121" xr:uid="{9C6BC0BA-607A-401C-8CBC-262D77282C47}"/>
    <cellStyle name="Normal 2 3 3" xfId="113" xr:uid="{CA0B0060-2FC5-4211-A972-457397E4B1CE}"/>
    <cellStyle name="Normal 2 4" xfId="78" xr:uid="{65DCAFB2-B641-4DEB-932B-3C745B30379D}"/>
    <cellStyle name="Normal 2 4 2" xfId="114" xr:uid="{ECB2B9F6-7060-4292-9AE2-D0836F2D9218}"/>
    <cellStyle name="Normal 2 4 3" xfId="138" xr:uid="{829D17CC-4376-4289-BA43-3692DBC0952E}"/>
    <cellStyle name="Normal 2 4 4" xfId="109" xr:uid="{440404B1-58D1-4008-8DB4-8FC5BA13D85B}"/>
    <cellStyle name="Normal 22" xfId="79" xr:uid="{DAAD5F3B-E597-414A-8406-7F5C189B4AA5}"/>
    <cellStyle name="Normal 3" xfId="3" xr:uid="{FFB49EF5-81CC-4322-A5C1-602FFCC6BAED}"/>
    <cellStyle name="Normal 3 2" xfId="119" xr:uid="{92420EE4-E38D-4436-8135-6944A41202C0}"/>
    <cellStyle name="Normal 3 3" xfId="116" xr:uid="{D1544D0E-4093-4C79-A560-E0BB69F55EE5}"/>
    <cellStyle name="Normal 3 3 2" xfId="123" xr:uid="{10D9E691-27CA-49EC-B4FE-6A00976B8F91}"/>
    <cellStyle name="Normal 3 3 3" xfId="125" xr:uid="{5AA7F30C-A495-47F6-954A-DDF7468ECDBC}"/>
    <cellStyle name="Normal 3 4" xfId="111" xr:uid="{85D6EBE9-1BED-4392-BD2A-A534BBB24560}"/>
    <cellStyle name="Normal 3 5" xfId="80" xr:uid="{3FA48F05-E306-4B3B-BEC1-E811DF384863}"/>
    <cellStyle name="Normal 4" xfId="81" xr:uid="{8C795A54-DB21-4336-AB88-CA4B101892A6}"/>
    <cellStyle name="Normal 4 2" xfId="117" xr:uid="{776E4D56-A874-4C48-8CDB-80A8C88C492F}"/>
    <cellStyle name="Normal 4 2 2" xfId="126" xr:uid="{FDA0BCDD-E581-43A5-973A-67FF92E42EC6}"/>
    <cellStyle name="Normal 4 3" xfId="183" xr:uid="{2A482EDA-BCA4-4F77-B5BB-C879885852D0}"/>
    <cellStyle name="Normal 4 4" xfId="112" xr:uid="{476FFF6A-465B-4F12-A048-8FF5A7FC07B3}"/>
    <cellStyle name="Normal 5" xfId="82" xr:uid="{95AB0A30-0052-46FA-AFBC-A9E9889FA7CC}"/>
    <cellStyle name="Normal 5 2" xfId="83" xr:uid="{1CDEC807-88F1-40C5-B7FD-AC1CAE095BC8}"/>
    <cellStyle name="Normal 5 2 2" xfId="122" xr:uid="{DE612295-D816-4067-808E-D83B1BD9CA0A}"/>
    <cellStyle name="Normal 5 3" xfId="184" xr:uid="{AB2E1206-1742-4ED1-B563-5D1CD44774FC}"/>
    <cellStyle name="Normal 5 4" xfId="108" xr:uid="{34A9E24D-4106-4ABD-BA3E-AF6F0ABFA8B1}"/>
    <cellStyle name="Normal 6" xfId="84" xr:uid="{367C808F-4508-4BDE-A6C2-CF78681254BB}"/>
    <cellStyle name="Normal 7" xfId="129" xr:uid="{654FE7A1-DAE1-4165-AD3F-3BF716249588}"/>
    <cellStyle name="Normal 7 2" xfId="137" xr:uid="{079101CE-F942-4626-9915-4CF0F2E398A2}"/>
    <cellStyle name="Normal 7 3" xfId="140" xr:uid="{57B0C37A-2154-4C32-87B2-F85138F512ED}"/>
    <cellStyle name="Normal 8" xfId="39" xr:uid="{ABC99F7E-DE55-404A-BEB2-092AD7AF3EF3}"/>
    <cellStyle name="Normal 8 2" xfId="124" xr:uid="{0BA80658-4D5B-4353-8A1D-4B6D3A290270}"/>
    <cellStyle name="Normal 8 3" xfId="130" xr:uid="{573C2238-FCE5-418F-9C99-FF87C3DB620D}"/>
    <cellStyle name="Normal 9" xfId="34" xr:uid="{811CF875-DAA0-44B4-BCEB-7CEB93152EF1}"/>
    <cellStyle name="Normal 9 4" xfId="37" xr:uid="{83654C41-06E3-412D-A23D-A61879E89134}"/>
    <cellStyle name="Nota 2" xfId="136" xr:uid="{B394C64D-42F2-4DB2-A527-5EBBDA646E32}"/>
    <cellStyle name="Nota 2 2" xfId="147" xr:uid="{62EE9E99-AA55-4936-BA77-5FCE6BA94C08}"/>
    <cellStyle name="Nota 3" xfId="131" xr:uid="{0E586A67-9A73-4C9E-8B7F-E9F5A0EF8A98}"/>
    <cellStyle name="Nota 4" xfId="133" xr:uid="{388C558A-7756-4459-B174-35F7CD70B8F1}"/>
    <cellStyle name="Nota 5" xfId="41" xr:uid="{EB93D166-E446-4AA5-BF67-6A287272DE67}"/>
    <cellStyle name="Percent 27" xfId="85" xr:uid="{90D64CE9-BBCF-4FEC-91CD-B80E20E12CBA}"/>
    <cellStyle name="Porcentagem" xfId="2" builtinId="5"/>
    <cellStyle name="Porcentagem 2" xfId="86" xr:uid="{42503280-11CC-4859-83C1-B180D45D3656}"/>
    <cellStyle name="Porcentagem 2 2" xfId="182" xr:uid="{21CDD645-BDBE-402E-BFC6-602752EC2898}"/>
    <cellStyle name="Porcentagem 2 3" xfId="105" xr:uid="{68EDF3A4-BDC1-4949-BB69-CB84BB660027}"/>
    <cellStyle name="Porcentagem 3" xfId="118" xr:uid="{99F2A9E1-635D-42A1-9D99-E57E284A3C22}"/>
    <cellStyle name="Porcentagem 3 2" xfId="127" xr:uid="{F60F5C80-68E0-4B77-A144-FD1AF1F57801}"/>
    <cellStyle name="Porcentagem 3 3" xfId="152" xr:uid="{7572BF5D-6CAE-4884-9EF3-1AA47FC68EAD}"/>
    <cellStyle name="Porcentagem 4" xfId="135" xr:uid="{1D71CB33-1725-4E61-ACA0-5C3CDED16FE4}"/>
    <cellStyle name="Porcentagem 5" xfId="134" xr:uid="{B9A23563-DB78-4052-BA4F-3AAA9806FC03}"/>
    <cellStyle name="Porcentagem 6" xfId="132" xr:uid="{0AE6D473-EDEA-4C54-A6C9-BA8CC7673A79}"/>
    <cellStyle name="Porcentagem 7" xfId="33" xr:uid="{60B2AC7D-0CE5-4D59-B339-106D95AD93C9}"/>
    <cellStyle name="Ruim" xfId="10" builtinId="27" customBuiltin="1"/>
    <cellStyle name="Saída" xfId="11" builtinId="21" customBuiltin="1"/>
    <cellStyle name="Saída 2" xfId="145" xr:uid="{256F18D0-7814-4313-A8C9-5D02F2AB812B}"/>
    <cellStyle name="Saída 3" xfId="145" xr:uid="{1560D0C3-06B9-48E6-B3C7-7C2AC5E29DAA}"/>
    <cellStyle name="Separador de milhares [0] 2" xfId="149" xr:uid="{AB1AEBB9-2900-45B1-B3B5-345A2C382CCC}"/>
    <cellStyle name="Separador de milhares 3" xfId="87" xr:uid="{12514765-0EF3-4F86-AB92-7369E5535CCE}"/>
    <cellStyle name="Título 1" xfId="5" builtinId="16" customBuiltin="1"/>
    <cellStyle name="Título 1 2" xfId="141" xr:uid="{E5E392CB-9B6E-464D-AD1F-1D748F171AD5}"/>
    <cellStyle name="Título 2" xfId="6" builtinId="17" customBuiltin="1"/>
    <cellStyle name="Título 2 2" xfId="142" xr:uid="{1ED339DC-C6B6-4342-B4EB-421C06575A50}"/>
    <cellStyle name="Título 3" xfId="7" builtinId="18" customBuiltin="1"/>
    <cellStyle name="Título 3 2" xfId="143" xr:uid="{A675E58F-69BB-48B4-8B7F-89E0B97C52E5}"/>
    <cellStyle name="Título 4" xfId="8" builtinId="19" customBuiltin="1"/>
    <cellStyle name="Título 4 2" xfId="144" xr:uid="{CEB4C970-6C66-4515-800E-466E0F9BF52A}"/>
    <cellStyle name="Vírgula" xfId="1" builtinId="3"/>
    <cellStyle name="Vírgula 17" xfId="194" xr:uid="{646A46D8-A78C-416A-90B9-AAC2E3F5FBCF}"/>
    <cellStyle name="Vírgula 2" xfId="88" xr:uid="{0675722E-0AE0-4D55-9FC0-1CC353ED8165}"/>
    <cellStyle name="Vírgula 2 2" xfId="181" xr:uid="{5D305C77-BED9-4979-A75B-7ADECDF1D05F}"/>
    <cellStyle name="Vírgula 2 3" xfId="107" xr:uid="{7ECA4312-7852-4955-88D5-702AC2A0B6BE}"/>
    <cellStyle name="Vírgula 3" xfId="106" xr:uid="{69C1DBA0-FC74-4503-9594-8D957EB30CE5}"/>
    <cellStyle name="Vírgula 3 2" xfId="148" xr:uid="{39E324F5-B691-4FBF-A6CA-B1070E30BDE6}"/>
    <cellStyle name="Vírgula 3 2 2" xfId="35" xr:uid="{6D3C0FF9-001C-4AF9-8507-F9D140D80DE1}"/>
    <cellStyle name="Vírgula 3 2 2 2" xfId="191" xr:uid="{9B5270F8-14EB-4F4E-B2AA-95DB83270DAD}"/>
    <cellStyle name="Vírgula 3 3" xfId="188" xr:uid="{7FC8B1E2-9596-4F68-96F8-471A351E6DAB}"/>
    <cellStyle name="Vírgula 4" xfId="187" xr:uid="{9FB820A8-BC8A-4032-8168-0189C5785ABC}"/>
    <cellStyle name="Vírgula 4 2" xfId="36" xr:uid="{5659F8FB-4D5E-48F4-A032-1CAA46B0248A}"/>
    <cellStyle name="Vírgula 4 2 2" xfId="192" xr:uid="{A13F4912-510F-45F3-ABAD-727C2E361BD4}"/>
    <cellStyle name="Vírgula 5" xfId="97" xr:uid="{DEB404EA-F50F-47E3-AE40-15E4530B3E80}"/>
    <cellStyle name="Vírgula 6" xfId="190" xr:uid="{A70A660F-42EC-4824-8663-B544B7F40846}"/>
    <cellStyle name="Vírgula 7" xfId="89" xr:uid="{F8AF099C-B19C-4801-9377-6031A14E44BB}"/>
    <cellStyle name="Vírgula 8" xfId="32" xr:uid="{20AA7D5B-9BB3-4891-80F9-7E6EB30E57EF}"/>
    <cellStyle name="X.lookup/units" xfId="90" xr:uid="{BA5D2B62-9C3C-48F5-B383-1E445DFA8F25}"/>
    <cellStyle name="X.rangename" xfId="91" xr:uid="{16FF4FBD-2C25-4800-A876-77BCC093CB62}"/>
    <cellStyle name="X.usernotes" xfId="92" xr:uid="{50F3A842-BA72-4B60-BCC3-BBA3EB9FAEAA}"/>
    <cellStyle name="X.usernotes 2" xfId="93" xr:uid="{E7CD0307-4BE4-48D1-9C2B-AE1116A91963}"/>
    <cellStyle name="Y.check" xfId="94" xr:uid="{640D247A-A4A8-4B5B-8557-F77539B98701}"/>
    <cellStyle name="Y.inactive" xfId="95" xr:uid="{EFC243E5-536D-4167-9557-1969E85BB682}"/>
    <cellStyle name="Z.devhighlight" xfId="96" xr:uid="{86F26764-4938-4D71-9AFD-CA05385B2A74}"/>
  </cellStyles>
  <dxfs count="4">
    <dxf>
      <fill>
        <patternFill>
          <bgColor rgb="FFEFF6FA"/>
        </patternFill>
      </fill>
    </dxf>
    <dxf>
      <font>
        <b/>
        <i val="0"/>
      </font>
      <border>
        <top style="thin">
          <color rgb="FF57626E"/>
        </top>
        <horizontal/>
      </border>
    </dxf>
    <dxf>
      <font>
        <b/>
        <i val="0"/>
        <color rgb="FFFFFFFF"/>
      </font>
      <fill>
        <patternFill>
          <bgColor rgb="FF57626E"/>
        </patternFill>
      </fill>
    </dxf>
    <dxf>
      <border>
        <bottom style="medium">
          <color rgb="FF57626E"/>
        </bottom>
      </border>
    </dxf>
  </dxfs>
  <tableStyles count="1" defaultTableStyle="TableStyleMedium2" defaultPivotStyle="PivotStyleLight16">
    <tableStyle name="SDG Table 1" pivot="0" count="4" xr9:uid="{8C561025-75F4-46A6-94D7-6300E312A435}">
      <tableStyleElement type="wholeTable" dxfId="3"/>
      <tableStyleElement type="headerRow" dxfId="2"/>
      <tableStyleElement type="total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5116832</xdr:colOff>
      <xdr:row>3</xdr:row>
      <xdr:rowOff>141652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BD2CD39-A105-4509-B4E5-9B7EDC152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0"/>
          <a:ext cx="6739892" cy="720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0</xdr:colOff>
      <xdr:row>3</xdr:row>
      <xdr:rowOff>141457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363FD9A-89B9-4A97-9E36-EC7AD4419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0"/>
          <a:ext cx="6134100" cy="7129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1</xdr:col>
      <xdr:colOff>6185536</xdr:colOff>
      <xdr:row>3</xdr:row>
      <xdr:rowOff>131445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7ACC9B4-6B89-4D04-B6D7-B7BFF835D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47625"/>
          <a:ext cx="6185536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9526</xdr:colOff>
      <xdr:row>3</xdr:row>
      <xdr:rowOff>159525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697F4E0-807E-4AF2-A317-CEA69B632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6391276" cy="73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190499</xdr:colOff>
      <xdr:row>3</xdr:row>
      <xdr:rowOff>157081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44AF819-16DC-4160-9481-D071317E9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6000749" cy="728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5181598</xdr:colOff>
      <xdr:row>3</xdr:row>
      <xdr:rowOff>152399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BEF8D29-ADC8-45ED-AB61-0D418097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076948" cy="723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723897</xdr:colOff>
      <xdr:row>3</xdr:row>
      <xdr:rowOff>156409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A9CAC9C-DA87-4859-ABB6-5061A84F3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38101</xdr:rowOff>
    </xdr:from>
    <xdr:to>
      <xdr:col>2</xdr:col>
      <xdr:colOff>5356861</xdr:colOff>
      <xdr:row>3</xdr:row>
      <xdr:rowOff>129541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04C59E1-EF04-4FB4-BF69-277FB1BAD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" y="38101"/>
          <a:ext cx="5895976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3</xdr:col>
      <xdr:colOff>800097</xdr:colOff>
      <xdr:row>3</xdr:row>
      <xdr:rowOff>156409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F179B5A-A055-4913-BB9D-E4F887102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905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1552572</xdr:colOff>
      <xdr:row>3</xdr:row>
      <xdr:rowOff>154663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A42E5BB-DE4C-418B-96AE-ABFD7E1AF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5791197" cy="72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ESENV\PMI%20MS-040\Textos%20&amp;%20Planilhas\Capex\Comp%20BDI\Tabela%20MS040%20-%20Al&#237;quota%20Municipal%20ISSQN.xlsx" TargetMode="External"/><Relationship Id="rId1" Type="http://schemas.openxmlformats.org/officeDocument/2006/relationships/externalLinkPath" Target="/DESENV/PMI%20MS-040/Textos%20&amp;%20Planilhas/Capex/Comp%20BDI/Tabela%20MS040%20-%20Al&#237;quota%20Municipal%20ISSQN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proficenter.sharepoint.com/sites/engenharia-DESENV-PFC/Shared%20Documents/DESENV-PFC/PMI%20MS-040/Rev%20DEZ-24/Textos%20&amp;%20Planilhas/OPEX%20-%20Ciclo%202%20-%20REV%2001/Planilhas%20e%20Composi&#231;&#245;es%20Referenciais/MS-040/Pls%20MS-040/Pl%20Cons%20Rotin%20040.xls" TargetMode="External"/><Relationship Id="rId2" Type="http://schemas.microsoft.com/office/2019/04/relationships/externalLinkLongPath" Target="Planilhas%20e%20Composi&#231;&#245;es%20Referenciais/MS-040/Pls%20MS-040/Pl%20Cons%20Rotin%20040.xls?C67EE040" TargetMode="External"/><Relationship Id="rId1" Type="http://schemas.openxmlformats.org/officeDocument/2006/relationships/externalLinkPath" Target="file:///\\C67EE040\Pl%20Cons%20Rotin%20040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roficenter.sharepoint.com/sites/engenharia-DESENV-PFC/Shared%20Documents/DESENV-PFC/PMI%20MS-040/Rev%20DEZ-24/Apoio/Comparativo%20de%20&#205;ndices%20-%2010-23%20x%2011-24%20-%20Ajuste.xlsx" TargetMode="External"/><Relationship Id="rId1" Type="http://schemas.openxmlformats.org/officeDocument/2006/relationships/externalLinkPath" Target="/sites/engenharia-DESENV-PFC/Shared%20Documents/DESENV-PFC/PMI%20MS-040/Rev%20DEZ-24/Apoio/Comparativo%20de%20&#205;ndices%20-%2010-23%20x%2011-24%20-%20Aju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Alíquota Municipal"/>
      <sheetName val="BDI"/>
    </sheetNames>
    <sheetDataSet>
      <sheetData sheetId="0">
        <row r="13">
          <cell r="O13">
            <v>5.1610070203705838E-2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lanilha1"/>
    </sheetNames>
    <sheetDataSet>
      <sheetData sheetId="0">
        <row r="1">
          <cell r="A1" t="str">
            <v>Item Compos.</v>
          </cell>
          <cell r="B1" t="str">
            <v>Descrição</v>
          </cell>
          <cell r="C1" t="str">
            <v>Unid</v>
          </cell>
          <cell r="D1" t="str">
            <v>Quantidade</v>
          </cell>
          <cell r="E1" t="str">
            <v>Preço Unitário</v>
          </cell>
          <cell r="F1" t="str">
            <v>Preço do Item</v>
          </cell>
        </row>
        <row r="2">
          <cell r="A2" t="str">
            <v xml:space="preserve">              </v>
          </cell>
          <cell r="B2" t="str">
            <v xml:space="preserve">PAVIMENTO                                                                                                                                                                                               </v>
          </cell>
          <cell r="C2" t="str">
            <v xml:space="preserve">      </v>
          </cell>
          <cell r="D2" t="str">
            <v xml:space="preserve"> </v>
          </cell>
          <cell r="E2" t="str">
            <v xml:space="preserve"> </v>
          </cell>
          <cell r="F2" t="str">
            <v xml:space="preserve"> </v>
          </cell>
        </row>
        <row r="3">
          <cell r="A3" t="str">
            <v xml:space="preserve">              </v>
          </cell>
          <cell r="B3" t="str">
            <v xml:space="preserve">Reparos no Pavimento                                                                                                                                                                                    </v>
          </cell>
          <cell r="C3" t="str">
            <v xml:space="preserve">      </v>
          </cell>
          <cell r="D3" t="str">
            <v xml:space="preserve"> </v>
          </cell>
          <cell r="E3" t="str">
            <v xml:space="preserve"> </v>
          </cell>
          <cell r="F3" t="str">
            <v xml:space="preserve"> </v>
          </cell>
        </row>
        <row r="4">
          <cell r="A4" t="str">
            <v>4915757-040</v>
          </cell>
          <cell r="B4" t="str">
            <v xml:space="preserve">Tapa buraco com pintura de ligação - demolição com serra corta piso                                                                                                                                     </v>
          </cell>
          <cell r="C4" t="str">
            <v xml:space="preserve">m³    </v>
          </cell>
          <cell r="D4">
            <v>1</v>
          </cell>
          <cell r="E4">
            <v>609.45000000000005</v>
          </cell>
          <cell r="F4">
            <v>609.45000000000005</v>
          </cell>
        </row>
        <row r="5">
          <cell r="A5" t="str">
            <v>4915661-040</v>
          </cell>
          <cell r="B5" t="str">
            <v xml:space="preserve">Fresagem descontínua de revestimento asfáltico - espessura de 3 cm                                                                                                                                      </v>
          </cell>
          <cell r="C5" t="str">
            <v xml:space="preserve">m³    </v>
          </cell>
          <cell r="D5">
            <v>1</v>
          </cell>
          <cell r="E5">
            <v>175.1</v>
          </cell>
          <cell r="F5">
            <v>175.1</v>
          </cell>
        </row>
        <row r="6">
          <cell r="A6">
            <v>4011353</v>
          </cell>
          <cell r="B6" t="str">
            <v xml:space="preserve">Pintura de ligação                                                                                                                                                                                      </v>
          </cell>
          <cell r="C6" t="str">
            <v xml:space="preserve">m²    </v>
          </cell>
          <cell r="D6">
            <v>1</v>
          </cell>
          <cell r="E6">
            <v>0.28000000000000003</v>
          </cell>
          <cell r="F6">
            <v>0.28000000000000003</v>
          </cell>
        </row>
        <row r="7">
          <cell r="A7" t="str">
            <v>4011466-040</v>
          </cell>
          <cell r="B7" t="str">
            <v xml:space="preserve">Concreto asfáltico com asfalto polímero - faixa C - areia e brita comerciais (Capa de Rolamento)                                                                                                        </v>
          </cell>
          <cell r="C7" t="str">
            <v xml:space="preserve">t     </v>
          </cell>
          <cell r="D7">
            <v>1</v>
          </cell>
          <cell r="E7">
            <v>316.16000000000003</v>
          </cell>
          <cell r="F7">
            <v>316.16000000000003</v>
          </cell>
        </row>
        <row r="8">
          <cell r="A8" t="str">
            <v>4915694-040</v>
          </cell>
          <cell r="B8" t="str">
            <v xml:space="preserve">Limpeza, serragem e enchimento de fissuras niveladas com abertura entre 0,4 mm e 1,0 mm e profundidade de 25 mm em pavimento de concreto com selante elástico a frio                                    </v>
          </cell>
          <cell r="C8" t="str">
            <v xml:space="preserve">m     </v>
          </cell>
          <cell r="D8">
            <v>1</v>
          </cell>
          <cell r="E8">
            <v>29.69</v>
          </cell>
          <cell r="F8">
            <v>29.69</v>
          </cell>
        </row>
        <row r="9">
          <cell r="A9">
            <v>3806402</v>
          </cell>
          <cell r="B9" t="str">
            <v xml:space="preserve">Limpeza em superfície de concreto com jateamento d'água sob pressão                                                                                                                                     </v>
          </cell>
          <cell r="C9" t="str">
            <v xml:space="preserve">m²    </v>
          </cell>
          <cell r="D9">
            <v>1</v>
          </cell>
          <cell r="E9">
            <v>2.37</v>
          </cell>
          <cell r="F9">
            <v>2.37</v>
          </cell>
        </row>
        <row r="10">
          <cell r="A10" t="str">
            <v/>
          </cell>
          <cell r="B10" t="str">
            <v xml:space="preserve">Produtos derivados de petróleo                                                                                                                                                                          </v>
          </cell>
          <cell r="C10" t="str">
            <v xml:space="preserve">      </v>
          </cell>
          <cell r="D10" t="str">
            <v xml:space="preserve"> </v>
          </cell>
          <cell r="E10" t="str">
            <v xml:space="preserve"> </v>
          </cell>
          <cell r="F10" t="str">
            <v xml:space="preserve"> </v>
          </cell>
        </row>
        <row r="11">
          <cell r="A11" t="str">
            <v>M1946</v>
          </cell>
          <cell r="B11" t="str">
            <v xml:space="preserve">Emulsão Asfáltica RR-1C                                                                                                                                                                                 </v>
          </cell>
          <cell r="C11" t="str">
            <v xml:space="preserve">t     </v>
          </cell>
          <cell r="D11">
            <v>1</v>
          </cell>
          <cell r="E11" t="str">
            <v xml:space="preserve"> </v>
          </cell>
          <cell r="F11" t="str">
            <v xml:space="preserve"> </v>
          </cell>
        </row>
        <row r="12">
          <cell r="A12" t="str">
            <v>M1943</v>
          </cell>
          <cell r="B12" t="str">
            <v xml:space="preserve">Cimento Asfáltico CAP-50/70 - Tapa Buraco                                                                                                                                                               </v>
          </cell>
          <cell r="C12" t="str">
            <v xml:space="preserve">t     </v>
          </cell>
          <cell r="D12">
            <v>1</v>
          </cell>
          <cell r="E12" t="str">
            <v xml:space="preserve"> </v>
          </cell>
          <cell r="F12" t="str">
            <v xml:space="preserve"> </v>
          </cell>
        </row>
        <row r="13">
          <cell r="A13" t="str">
            <v>M1943</v>
          </cell>
          <cell r="B13" t="str">
            <v xml:space="preserve">Cimento Asfáltico CAP-50/70 - Capa de rolamento                                                                                                                                                         </v>
          </cell>
          <cell r="C13" t="str">
            <v xml:space="preserve">t     </v>
          </cell>
          <cell r="D13">
            <v>1</v>
          </cell>
          <cell r="E13" t="str">
            <v xml:space="preserve"> </v>
          </cell>
          <cell r="F13" t="str">
            <v xml:space="preserve"> </v>
          </cell>
        </row>
        <row r="14">
          <cell r="A14" t="str">
            <v/>
          </cell>
          <cell r="B14" t="str">
            <v xml:space="preserve">ELEMENTOS DE PROTEÇÃO E SEGURANÇA                                                                                                                                                                       </v>
          </cell>
          <cell r="C14" t="str">
            <v xml:space="preserve">      </v>
          </cell>
          <cell r="D14" t="str">
            <v xml:space="preserve"> </v>
          </cell>
          <cell r="E14" t="str">
            <v xml:space="preserve"> </v>
          </cell>
          <cell r="F14" t="str">
            <v xml:space="preserve"> </v>
          </cell>
        </row>
        <row r="15">
          <cell r="A15" t="str">
            <v/>
          </cell>
          <cell r="B15" t="str">
            <v xml:space="preserve">Sinalização Horizontal                                                                                                                                                                                  </v>
          </cell>
          <cell r="C15" t="str">
            <v xml:space="preserve">      </v>
          </cell>
          <cell r="D15" t="str">
            <v xml:space="preserve"> </v>
          </cell>
          <cell r="E15" t="str">
            <v xml:space="preserve"> </v>
          </cell>
          <cell r="F15" t="str">
            <v xml:space="preserve"> </v>
          </cell>
        </row>
        <row r="16">
          <cell r="A16" t="str">
            <v>5214011-040</v>
          </cell>
          <cell r="B16" t="str">
            <v xml:space="preserve">Manutenção/recomposição de sinalização - pintura de faixa com tinta acrílica emulsionada em água - espessura de 0,3 mm                                                                                  </v>
          </cell>
          <cell r="C16" t="str">
            <v xml:space="preserve">m²    </v>
          </cell>
          <cell r="D16">
            <v>1</v>
          </cell>
          <cell r="E16">
            <v>13.44</v>
          </cell>
          <cell r="F16">
            <v>13.44</v>
          </cell>
        </row>
        <row r="17">
          <cell r="A17" t="str">
            <v>5213360-040</v>
          </cell>
          <cell r="B17" t="str">
            <v xml:space="preserve">Tacha refletiva em plástico injetado - bidirecional tipo I - com um pino - fornecimento e colocação                                                                                                     </v>
          </cell>
          <cell r="C17" t="str">
            <v xml:space="preserve">und   </v>
          </cell>
          <cell r="D17">
            <v>1</v>
          </cell>
          <cell r="E17">
            <v>33.68</v>
          </cell>
          <cell r="F17">
            <v>33.68</v>
          </cell>
        </row>
        <row r="18">
          <cell r="A18" t="str">
            <v>5213477-040</v>
          </cell>
          <cell r="B18" t="str">
            <v xml:space="preserve">Placa delineador em aço - 0,30 x 0,90 m - película retrorrefletiva tipo I + IV - fornecimento e implantação                                                                                             </v>
          </cell>
          <cell r="C18" t="str">
            <v xml:space="preserve">und   </v>
          </cell>
          <cell r="D18">
            <v>1</v>
          </cell>
          <cell r="E18">
            <v>164.99</v>
          </cell>
          <cell r="F18">
            <v>164.99</v>
          </cell>
        </row>
        <row r="19">
          <cell r="A19" t="str">
            <v>4915718-040</v>
          </cell>
          <cell r="B19" t="str">
            <v xml:space="preserve">Limpeza balizadores (0,30 X 0,90)                                                                                                                                                                       </v>
          </cell>
          <cell r="C19" t="str">
            <v xml:space="preserve">und   </v>
          </cell>
          <cell r="D19">
            <v>1</v>
          </cell>
          <cell r="E19">
            <v>9.0500000000000007</v>
          </cell>
          <cell r="F19">
            <v>9.0500000000000007</v>
          </cell>
        </row>
        <row r="20">
          <cell r="A20" t="str">
            <v/>
          </cell>
          <cell r="B20" t="str">
            <v xml:space="preserve">Sinalização Vertical                                                                                                                                                                                    </v>
          </cell>
          <cell r="C20" t="str">
            <v xml:space="preserve">      </v>
          </cell>
          <cell r="D20" t="str">
            <v xml:space="preserve"> </v>
          </cell>
          <cell r="E20" t="str">
            <v xml:space="preserve"> </v>
          </cell>
          <cell r="F20" t="str">
            <v xml:space="preserve"> </v>
          </cell>
        </row>
        <row r="21">
          <cell r="A21" t="str">
            <v>5213572-040</v>
          </cell>
          <cell r="B21" t="str">
            <v xml:space="preserve">Placa em aço - película III + III - fornecimento e implantação                                                                                                                                          </v>
          </cell>
          <cell r="C21" t="str">
            <v xml:space="preserve">m²    </v>
          </cell>
          <cell r="D21">
            <v>1</v>
          </cell>
          <cell r="E21">
            <v>605.11</v>
          </cell>
          <cell r="F21">
            <v>605.11</v>
          </cell>
        </row>
        <row r="22">
          <cell r="A22" t="str">
            <v>4915718-040</v>
          </cell>
          <cell r="B22" t="str">
            <v xml:space="preserve">Limpeza de placa de sinalização                                                                                                                                                                         </v>
          </cell>
          <cell r="C22" t="str">
            <v xml:space="preserve">m²    </v>
          </cell>
          <cell r="D22">
            <v>1</v>
          </cell>
          <cell r="E22">
            <v>9.0500000000000007</v>
          </cell>
          <cell r="F22">
            <v>9.0500000000000007</v>
          </cell>
        </row>
        <row r="23">
          <cell r="A23" t="str">
            <v/>
          </cell>
          <cell r="B23" t="str">
            <v xml:space="preserve">Dispositivos de Proteção e Segurança                                                                                                                                                                    </v>
          </cell>
          <cell r="C23" t="str">
            <v xml:space="preserve">      </v>
          </cell>
          <cell r="D23" t="str">
            <v xml:space="preserve"> </v>
          </cell>
          <cell r="E23" t="str">
            <v xml:space="preserve"> </v>
          </cell>
          <cell r="F23" t="str">
            <v xml:space="preserve"> </v>
          </cell>
        </row>
        <row r="24">
          <cell r="A24" t="str">
            <v>PFC-004-040</v>
          </cell>
          <cell r="B24" t="str">
            <v xml:space="preserve">Substituição de defensas metálicas                                                                                                                                                                      </v>
          </cell>
          <cell r="C24" t="str">
            <v xml:space="preserve">m     </v>
          </cell>
          <cell r="D24">
            <v>1</v>
          </cell>
          <cell r="E24">
            <v>1068.25</v>
          </cell>
          <cell r="F24">
            <v>1068.25</v>
          </cell>
        </row>
        <row r="25">
          <cell r="A25" t="str">
            <v>PFC-003-040</v>
          </cell>
          <cell r="B25" t="str">
            <v xml:space="preserve">Reparo de barreira New Jersey                                                                                                                                                                           </v>
          </cell>
          <cell r="C25" t="str">
            <v xml:space="preserve">m³    </v>
          </cell>
          <cell r="D25">
            <v>1</v>
          </cell>
          <cell r="E25">
            <v>725.49</v>
          </cell>
          <cell r="F25">
            <v>725.49</v>
          </cell>
        </row>
        <row r="26">
          <cell r="A26" t="str">
            <v>3713823-040</v>
          </cell>
          <cell r="B26" t="str">
            <v xml:space="preserve">Reconstrução de barreira New Jersey                                                                                                                                                                     </v>
          </cell>
          <cell r="C26" t="str">
            <v xml:space="preserve">m     </v>
          </cell>
          <cell r="D26">
            <v>1</v>
          </cell>
          <cell r="E26">
            <v>312.67</v>
          </cell>
          <cell r="F26">
            <v>312.67</v>
          </cell>
        </row>
        <row r="27">
          <cell r="A27" t="str">
            <v/>
          </cell>
          <cell r="B27" t="str">
            <v xml:space="preserve">OBRAS DE ARTES ESPECIAIS                                                                                                                                                                                </v>
          </cell>
          <cell r="C27" t="str">
            <v xml:space="preserve">      </v>
          </cell>
          <cell r="D27" t="str">
            <v xml:space="preserve"> </v>
          </cell>
          <cell r="E27" t="str">
            <v xml:space="preserve"> </v>
          </cell>
          <cell r="F27" t="str">
            <v xml:space="preserve"> </v>
          </cell>
        </row>
        <row r="28">
          <cell r="A28" t="str">
            <v/>
          </cell>
          <cell r="B28" t="str">
            <v xml:space="preserve">Intervenções em OAE's                                                                                                                                                                                   </v>
          </cell>
          <cell r="C28" t="str">
            <v xml:space="preserve">      </v>
          </cell>
          <cell r="D28" t="str">
            <v xml:space="preserve"> </v>
          </cell>
          <cell r="E28" t="str">
            <v xml:space="preserve"> </v>
          </cell>
          <cell r="F28" t="str">
            <v xml:space="preserve"> </v>
          </cell>
        </row>
        <row r="29">
          <cell r="A29" t="str">
            <v>3816118-040</v>
          </cell>
          <cell r="B29" t="str">
            <v xml:space="preserve">Reparo de guarda corpo/roda de concreto                                                                                                                                                                 </v>
          </cell>
          <cell r="C29" t="str">
            <v xml:space="preserve">m     </v>
          </cell>
          <cell r="D29">
            <v>1</v>
          </cell>
          <cell r="E29">
            <v>106.98</v>
          </cell>
          <cell r="F29">
            <v>106.98</v>
          </cell>
        </row>
        <row r="30">
          <cell r="A30" t="str">
            <v>4915723-040</v>
          </cell>
          <cell r="B30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0" t="str">
            <v xml:space="preserve">m²    </v>
          </cell>
          <cell r="D30">
            <v>1</v>
          </cell>
          <cell r="E30">
            <v>3.12</v>
          </cell>
          <cell r="F30">
            <v>3.12</v>
          </cell>
        </row>
        <row r="31">
          <cell r="A31" t="str">
            <v>3815602-040</v>
          </cell>
          <cell r="B31" t="str">
            <v xml:space="preserve">Substituição de junta de dilatação e lábios poliméricos - fornecimento e instalação                                                                                                                     </v>
          </cell>
          <cell r="C31" t="str">
            <v xml:space="preserve">m     </v>
          </cell>
          <cell r="D31">
            <v>1</v>
          </cell>
          <cell r="E31">
            <v>460.79</v>
          </cell>
          <cell r="F31">
            <v>460.79</v>
          </cell>
        </row>
        <row r="32">
          <cell r="A32">
            <v>3806406</v>
          </cell>
          <cell r="B32" t="str">
            <v xml:space="preserve">Limpeza em junta de dilatação                                                                                                                                                                           </v>
          </cell>
          <cell r="C32" t="str">
            <v xml:space="preserve">m     </v>
          </cell>
          <cell r="D32">
            <v>1</v>
          </cell>
          <cell r="E32">
            <v>5.92</v>
          </cell>
          <cell r="F32">
            <v>5.92</v>
          </cell>
        </row>
        <row r="33">
          <cell r="A33">
            <v>4915686</v>
          </cell>
          <cell r="B33" t="str">
            <v xml:space="preserve">Limpeza e desobstrução de dispositivos de drenagem em OAE                                                                                                                                               </v>
          </cell>
          <cell r="C33" t="str">
            <v xml:space="preserve">un    </v>
          </cell>
          <cell r="D33">
            <v>1</v>
          </cell>
          <cell r="E33">
            <v>4.21</v>
          </cell>
          <cell r="F33">
            <v>4.21</v>
          </cell>
        </row>
        <row r="34">
          <cell r="A34">
            <v>4915672</v>
          </cell>
          <cell r="B34" t="str">
            <v xml:space="preserve">Limpeza de ponte                                                                                                                                                                                        </v>
          </cell>
          <cell r="C34" t="str">
            <v xml:space="preserve">m     </v>
          </cell>
          <cell r="D34">
            <v>1</v>
          </cell>
          <cell r="E34">
            <v>4.21</v>
          </cell>
          <cell r="F34">
            <v>4.21</v>
          </cell>
        </row>
        <row r="35">
          <cell r="A35" t="str">
            <v/>
          </cell>
          <cell r="B35" t="str">
            <v xml:space="preserve">DRENAGEM E OAC                                                                                                                                                                                          </v>
          </cell>
          <cell r="C35" t="str">
            <v xml:space="preserve">      </v>
          </cell>
          <cell r="D35" t="str">
            <v xml:space="preserve"> </v>
          </cell>
          <cell r="E35" t="str">
            <v xml:space="preserve"> </v>
          </cell>
          <cell r="F35" t="str">
            <v xml:space="preserve"> </v>
          </cell>
        </row>
        <row r="36">
          <cell r="A36" t="str">
            <v/>
          </cell>
          <cell r="B36" t="str">
            <v xml:space="preserve">Reparo e Limpeza de dispositivos                                                                                                                                                                        </v>
          </cell>
          <cell r="C36" t="str">
            <v xml:space="preserve">      </v>
          </cell>
          <cell r="D36" t="str">
            <v xml:space="preserve"> </v>
          </cell>
          <cell r="E36" t="str">
            <v xml:space="preserve"> </v>
          </cell>
          <cell r="F36" t="str">
            <v xml:space="preserve"> </v>
          </cell>
        </row>
        <row r="37">
          <cell r="A37">
            <v>4915708</v>
          </cell>
          <cell r="B37" t="str">
            <v xml:space="preserve">Limpeza de sarjeta e meio-fio                                                                                                                                                                           </v>
          </cell>
          <cell r="C37" t="str">
            <v xml:space="preserve">m     </v>
          </cell>
          <cell r="D37">
            <v>1</v>
          </cell>
          <cell r="E37">
            <v>0.7</v>
          </cell>
          <cell r="F37">
            <v>0.7</v>
          </cell>
        </row>
        <row r="38">
          <cell r="A38" t="str">
            <v>4915723-040</v>
          </cell>
          <cell r="B38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8" t="str">
            <v xml:space="preserve">m²    </v>
          </cell>
          <cell r="D38">
            <v>1</v>
          </cell>
          <cell r="E38">
            <v>3.12</v>
          </cell>
          <cell r="F38">
            <v>3.12</v>
          </cell>
        </row>
        <row r="39">
          <cell r="A39">
            <v>4915710</v>
          </cell>
          <cell r="B39" t="str">
            <v xml:space="preserve">Limpeza de vala de drenagem                                                                                                                                                                             </v>
          </cell>
          <cell r="C39" t="str">
            <v xml:space="preserve">m     </v>
          </cell>
          <cell r="D39">
            <v>1</v>
          </cell>
          <cell r="E39">
            <v>4.21</v>
          </cell>
          <cell r="F39">
            <v>4.21</v>
          </cell>
        </row>
        <row r="40">
          <cell r="A40">
            <v>4915712</v>
          </cell>
          <cell r="B40" t="str">
            <v xml:space="preserve">Limpeza de bueiro                                                                                                                                                                                       </v>
          </cell>
          <cell r="C40" t="str">
            <v xml:space="preserve">m³    </v>
          </cell>
          <cell r="D40">
            <v>1</v>
          </cell>
          <cell r="E40">
            <v>21.04</v>
          </cell>
          <cell r="F40">
            <v>21.04</v>
          </cell>
        </row>
        <row r="41">
          <cell r="A41" t="str">
            <v>PFC-003-040</v>
          </cell>
          <cell r="B41" t="str">
            <v xml:space="preserve">Reparo de drenagem superficial em concreto                                                                                                                                                              </v>
          </cell>
          <cell r="C41" t="str">
            <v xml:space="preserve">m³    </v>
          </cell>
          <cell r="D41">
            <v>1</v>
          </cell>
          <cell r="E41">
            <v>725.49</v>
          </cell>
          <cell r="F41">
            <v>725.49</v>
          </cell>
        </row>
        <row r="42">
          <cell r="A42" t="str">
            <v/>
          </cell>
          <cell r="B42" t="str">
            <v xml:space="preserve">TERRAPLENOS E ESTRUTURAS DE CONTENÇÃO                                                                                                                                                                   </v>
          </cell>
          <cell r="C42" t="str">
            <v xml:space="preserve">      </v>
          </cell>
          <cell r="D42" t="str">
            <v xml:space="preserve"> </v>
          </cell>
          <cell r="E42" t="str">
            <v xml:space="preserve"> </v>
          </cell>
          <cell r="F42" t="str">
            <v xml:space="preserve"> </v>
          </cell>
        </row>
        <row r="43">
          <cell r="A43" t="str">
            <v/>
          </cell>
          <cell r="B43" t="str">
            <v xml:space="preserve">Terrapleno e Estruturas de Contenção                                                                                                                                                                    </v>
          </cell>
          <cell r="C43" t="str">
            <v xml:space="preserve">      </v>
          </cell>
          <cell r="D43" t="str">
            <v xml:space="preserve"> </v>
          </cell>
          <cell r="E43" t="str">
            <v xml:space="preserve"> </v>
          </cell>
          <cell r="F43" t="str">
            <v xml:space="preserve"> </v>
          </cell>
        </row>
        <row r="44">
          <cell r="A44" t="str">
            <v>4915733-040</v>
          </cell>
          <cell r="B44" t="str">
            <v xml:space="preserve">Recomposição manual de taludes                                                                                                                                                                          </v>
          </cell>
          <cell r="C44" t="str">
            <v xml:space="preserve">m³    </v>
          </cell>
          <cell r="D44">
            <v>1</v>
          </cell>
          <cell r="E44">
            <v>87.75</v>
          </cell>
          <cell r="F44">
            <v>87.75</v>
          </cell>
        </row>
        <row r="45">
          <cell r="A45" t="str">
            <v>4915734-040</v>
          </cell>
          <cell r="B45" t="str">
            <v xml:space="preserve">Recomposição mecânica de taludes                                                                                                                                                                        </v>
          </cell>
          <cell r="C45" t="str">
            <v xml:space="preserve">m³    </v>
          </cell>
          <cell r="D45">
            <v>1</v>
          </cell>
          <cell r="E45">
            <v>60.72</v>
          </cell>
          <cell r="F45">
            <v>60.72</v>
          </cell>
        </row>
        <row r="46">
          <cell r="A46" t="str">
            <v>4915774-040</v>
          </cell>
          <cell r="B46" t="str">
            <v xml:space="preserve">Recomposição mecância de erosões                                                                                                                                                                        </v>
          </cell>
          <cell r="C46" t="str">
            <v xml:space="preserve">m³    </v>
          </cell>
          <cell r="D46">
            <v>1</v>
          </cell>
          <cell r="E46">
            <v>72.37</v>
          </cell>
          <cell r="F46">
            <v>72.37</v>
          </cell>
        </row>
        <row r="47">
          <cell r="A47" t="str">
            <v/>
          </cell>
          <cell r="B47" t="str">
            <v xml:space="preserve">FAIXA DE DOMÍNIO                                                                                                                                                                                        </v>
          </cell>
          <cell r="C47" t="str">
            <v xml:space="preserve">      </v>
          </cell>
          <cell r="D47" t="str">
            <v xml:space="preserve"> </v>
          </cell>
          <cell r="E47" t="str">
            <v xml:space="preserve"> </v>
          </cell>
          <cell r="F47" t="str">
            <v xml:space="preserve"> </v>
          </cell>
        </row>
        <row r="48">
          <cell r="A48" t="str">
            <v/>
          </cell>
          <cell r="B48" t="str">
            <v xml:space="preserve">Conservação na Faixa de Domínio                                                                                                                                                                         </v>
          </cell>
          <cell r="C48" t="str">
            <v xml:space="preserve">      </v>
          </cell>
          <cell r="D48" t="str">
            <v xml:space="preserve"> </v>
          </cell>
          <cell r="E48" t="str">
            <v xml:space="preserve"> </v>
          </cell>
          <cell r="F48" t="str">
            <v xml:space="preserve"> </v>
          </cell>
        </row>
        <row r="49">
          <cell r="A49">
            <v>4915740</v>
          </cell>
          <cell r="B49" t="str">
            <v xml:space="preserve">Roçada manual                                                                                                                                                                                           </v>
          </cell>
          <cell r="C49" t="str">
            <v xml:space="preserve">ha    </v>
          </cell>
          <cell r="D49">
            <v>1</v>
          </cell>
          <cell r="E49">
            <v>1801.68</v>
          </cell>
          <cell r="F49">
            <v>1801.68</v>
          </cell>
        </row>
        <row r="50">
          <cell r="A50">
            <v>4915742</v>
          </cell>
          <cell r="B50" t="str">
            <v xml:space="preserve">Roçada mecanizada                                                                                                                                                                                       </v>
          </cell>
          <cell r="C50" t="str">
            <v xml:space="preserve">ha    </v>
          </cell>
          <cell r="D50">
            <v>1</v>
          </cell>
          <cell r="E50">
            <v>438.56</v>
          </cell>
          <cell r="F50">
            <v>438.56</v>
          </cell>
        </row>
        <row r="51">
          <cell r="A51">
            <v>4915744</v>
          </cell>
          <cell r="B51" t="str">
            <v xml:space="preserve">Capina manual                                                                                                                                                                                           </v>
          </cell>
          <cell r="C51" t="str">
            <v xml:space="preserve">m²    </v>
          </cell>
          <cell r="D51">
            <v>1</v>
          </cell>
          <cell r="E51">
            <v>0.72</v>
          </cell>
          <cell r="F51">
            <v>0.72</v>
          </cell>
        </row>
        <row r="52">
          <cell r="A52" t="str">
            <v>4413905-040</v>
          </cell>
          <cell r="B52" t="str">
            <v xml:space="preserve">Hidrossemeadura                                                                                                                                                                                         </v>
          </cell>
          <cell r="C52" t="str">
            <v xml:space="preserve">m²    </v>
          </cell>
          <cell r="D52">
            <v>1</v>
          </cell>
          <cell r="E52">
            <v>6.47</v>
          </cell>
          <cell r="F52">
            <v>6.47</v>
          </cell>
        </row>
        <row r="53">
          <cell r="A53" t="str">
            <v>4915698-040</v>
          </cell>
          <cell r="B53" t="str">
            <v xml:space="preserve">Limpeza de pistas e remoção dos entulhos                                                                                                                                                                </v>
          </cell>
          <cell r="C53" t="str">
            <v xml:space="preserve">m³    </v>
          </cell>
          <cell r="D53">
            <v>1</v>
          </cell>
          <cell r="E53">
            <v>44.46</v>
          </cell>
          <cell r="F53">
            <v>44.46</v>
          </cell>
        </row>
        <row r="54">
          <cell r="A54" t="str">
            <v>4915725-040</v>
          </cell>
          <cell r="B54" t="str">
            <v xml:space="preserve">Recomposição total de cerca com mourão de concreto seção quadrada - areia e brita comerciais                                                                                                            </v>
          </cell>
          <cell r="C54" t="str">
            <v xml:space="preserve">m     </v>
          </cell>
          <cell r="D54">
            <v>1</v>
          </cell>
          <cell r="E54">
            <v>32.840000000000003</v>
          </cell>
          <cell r="F54">
            <v>32.840000000000003</v>
          </cell>
        </row>
        <row r="55">
          <cell r="A55" t="str">
            <v/>
          </cell>
          <cell r="B55" t="str">
            <v xml:space="preserve">EDIFICAÇÕES E INSTALAÇÕES OPERACIONAIS                                                                                                                                                                  </v>
          </cell>
          <cell r="C55" t="str">
            <v xml:space="preserve">      </v>
          </cell>
          <cell r="D55" t="str">
            <v xml:space="preserve"> </v>
          </cell>
          <cell r="E55" t="str">
            <v xml:space="preserve"> </v>
          </cell>
          <cell r="F55" t="str">
            <v xml:space="preserve"> </v>
          </cell>
        </row>
        <row r="56">
          <cell r="A56" t="str">
            <v/>
          </cell>
          <cell r="B56" t="str">
            <v xml:space="preserve">Conservação de Edificações                                                                                                                                                                              </v>
          </cell>
          <cell r="C56" t="str">
            <v xml:space="preserve">      </v>
          </cell>
          <cell r="D56" t="str">
            <v xml:space="preserve"> </v>
          </cell>
          <cell r="E56" t="str">
            <v xml:space="preserve"> </v>
          </cell>
          <cell r="F56" t="str">
            <v xml:space="preserve"> </v>
          </cell>
        </row>
        <row r="57">
          <cell r="A57" t="str">
            <v>PFC-001</v>
          </cell>
          <cell r="B57" t="str">
            <v xml:space="preserve">Pintura e conservação geral de instalações operacionais                                                                                                                                                 </v>
          </cell>
          <cell r="C57" t="str">
            <v>equipe</v>
          </cell>
          <cell r="D57">
            <v>1</v>
          </cell>
          <cell r="E57">
            <v>9881.26</v>
          </cell>
          <cell r="F57">
            <v>9881.26</v>
          </cell>
        </row>
        <row r="58">
          <cell r="A58" t="str">
            <v/>
          </cell>
          <cell r="B58" t="str">
            <v xml:space="preserve">ILUMINAÇÃO                                                                                                                                                                                              </v>
          </cell>
          <cell r="C58" t="str">
            <v xml:space="preserve">      </v>
          </cell>
          <cell r="D58" t="str">
            <v xml:space="preserve"> </v>
          </cell>
          <cell r="E58" t="str">
            <v xml:space="preserve"> </v>
          </cell>
          <cell r="F58" t="str">
            <v xml:space="preserve"> </v>
          </cell>
        </row>
        <row r="59">
          <cell r="A59" t="str">
            <v/>
          </cell>
          <cell r="B59" t="str">
            <v xml:space="preserve">Iluminação e Instalações Elétricas                                                                                                                                                                      </v>
          </cell>
          <cell r="C59" t="str">
            <v xml:space="preserve">      </v>
          </cell>
          <cell r="D59" t="str">
            <v xml:space="preserve"> </v>
          </cell>
          <cell r="E59" t="str">
            <v xml:space="preserve"> </v>
          </cell>
          <cell r="F59" t="str">
            <v xml:space="preserve"> </v>
          </cell>
        </row>
        <row r="60">
          <cell r="A60" t="str">
            <v>PFC-002</v>
          </cell>
          <cell r="B60" t="str">
            <v xml:space="preserve">Conservação de Sistema de Iluminação                                                                                                                                                                    </v>
          </cell>
          <cell r="C60" t="str">
            <v>equipe</v>
          </cell>
          <cell r="D60">
            <v>1</v>
          </cell>
          <cell r="E60">
            <v>15050.74</v>
          </cell>
          <cell r="F60">
            <v>15050.74</v>
          </cell>
        </row>
        <row r="61">
          <cell r="A61" t="str">
            <v/>
          </cell>
          <cell r="B61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1" t="str">
            <v xml:space="preserve">      </v>
          </cell>
          <cell r="D61" t="str">
            <v xml:space="preserve"> </v>
          </cell>
          <cell r="E61" t="str">
            <v xml:space="preserve"> </v>
          </cell>
          <cell r="F61" t="str">
            <v xml:space="preserve"> </v>
          </cell>
        </row>
        <row r="62">
          <cell r="A62" t="str">
            <v/>
          </cell>
          <cell r="B62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2" t="str">
            <v xml:space="preserve">      </v>
          </cell>
          <cell r="D62" t="str">
            <v xml:space="preserve"> </v>
          </cell>
          <cell r="E62" t="str">
            <v xml:space="preserve"> </v>
          </cell>
          <cell r="F62" t="str">
            <v xml:space="preserve"> </v>
          </cell>
        </row>
        <row r="63">
          <cell r="A63" t="str">
            <v xml:space="preserve">              </v>
          </cell>
          <cell r="B63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3" t="str">
            <v xml:space="preserve">      </v>
          </cell>
          <cell r="D63" t="str">
            <v xml:space="preserve"> </v>
          </cell>
          <cell r="E63" t="str">
            <v xml:space="preserve"> </v>
          </cell>
          <cell r="F63" t="str">
            <v xml:space="preserve"> </v>
          </cell>
        </row>
        <row r="64">
          <cell r="A64" t="str">
            <v xml:space="preserve">              </v>
          </cell>
          <cell r="B64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4" t="str">
            <v xml:space="preserve">      </v>
          </cell>
          <cell r="D64" t="str">
            <v xml:space="preserve"> </v>
          </cell>
          <cell r="E64" t="str">
            <v xml:space="preserve"> </v>
          </cell>
          <cell r="F64" t="str">
            <v xml:space="preserve"> </v>
          </cell>
        </row>
        <row r="65">
          <cell r="A65" t="str">
            <v xml:space="preserve">              </v>
          </cell>
          <cell r="B65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5" t="str">
            <v xml:space="preserve">      </v>
          </cell>
          <cell r="D65" t="str">
            <v xml:space="preserve"> </v>
          </cell>
          <cell r="E65" t="str">
            <v xml:space="preserve"> </v>
          </cell>
          <cell r="F65" t="str">
            <v xml:space="preserve"> </v>
          </cell>
        </row>
        <row r="67">
          <cell r="B67" t="str">
            <v xml:space="preserve">Cliente: DNIT MATO GROSSO DO SUL  - MS           </v>
          </cell>
        </row>
        <row r="68">
          <cell r="B68" t="str">
            <v xml:space="preserve">Obra: Conserva de Rotina MS-040               </v>
          </cell>
        </row>
        <row r="69">
          <cell r="B69" t="str">
            <v xml:space="preserve">Local:                                         </v>
          </cell>
        </row>
        <row r="70">
          <cell r="B70" t="str">
            <v xml:space="preserve">Edital:               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1"/>
    </sheetNames>
    <sheetDataSet>
      <sheetData sheetId="0">
        <row r="2">
          <cell r="B2" t="str">
            <v>Comparativo de Índices - 10/23 x 11/24 - Ajuste</v>
          </cell>
        </row>
        <row r="4">
          <cell r="B4" t="str">
            <v>Classe</v>
          </cell>
          <cell r="C4" t="str">
            <v>DESCRIÇÃO DOS ÍNDICES</v>
          </cell>
          <cell r="D4" t="str">
            <v>10/23</v>
          </cell>
          <cell r="E4" t="str">
            <v>11/24</v>
          </cell>
          <cell r="F4" t="str">
            <v>Índice de Ajuste</v>
          </cell>
          <cell r="G4" t="str">
            <v>%</v>
          </cell>
        </row>
        <row r="5">
          <cell r="B5">
            <v>1</v>
          </cell>
          <cell r="C5" t="str">
            <v>CIMENTO ASFÁLTICO PETRÓLEO (CAP 7 e 20)</v>
          </cell>
          <cell r="D5">
            <v>944.43299999999999</v>
          </cell>
          <cell r="E5">
            <v>1049.5740000000001</v>
          </cell>
          <cell r="F5">
            <v>1.1113271137285547</v>
          </cell>
          <cell r="G5">
            <v>0.11132711372855475</v>
          </cell>
        </row>
        <row r="6">
          <cell r="B6">
            <v>2</v>
          </cell>
          <cell r="C6" t="str">
            <v>ASFALTO MODIFICADO POR POLÍMERO</v>
          </cell>
          <cell r="D6">
            <v>139.239</v>
          </cell>
          <cell r="E6">
            <v>154.51599999999999</v>
          </cell>
          <cell r="F6">
            <v>1.1097178233109974</v>
          </cell>
          <cell r="G6">
            <v>0.10971782331099744</v>
          </cell>
        </row>
        <row r="7">
          <cell r="B7">
            <v>3</v>
          </cell>
          <cell r="C7" t="str">
            <v>ASFALTO BORRACHA</v>
          </cell>
          <cell r="D7">
            <v>148.07900000000001</v>
          </cell>
          <cell r="E7">
            <v>163.19999999999999</v>
          </cell>
          <cell r="F7">
            <v>1.102114411901755</v>
          </cell>
          <cell r="G7">
            <v>0.10211441190175496</v>
          </cell>
        </row>
        <row r="8">
          <cell r="B8">
            <v>4</v>
          </cell>
          <cell r="C8" t="str">
            <v>EMULSÃO ASFÁLTICA MODIFICADA</v>
          </cell>
          <cell r="D8">
            <v>146.636</v>
          </cell>
          <cell r="E8">
            <v>162.62100000000001</v>
          </cell>
          <cell r="F8">
            <v>1.1090114296625659</v>
          </cell>
          <cell r="G8">
            <v>0.10901142966256594</v>
          </cell>
        </row>
        <row r="9">
          <cell r="B9">
            <v>5</v>
          </cell>
          <cell r="C9" t="str">
            <v>EMULSÕES (RR1C E RR2C)</v>
          </cell>
          <cell r="D9">
            <v>857.39700000000005</v>
          </cell>
          <cell r="E9">
            <v>943.37</v>
          </cell>
          <cell r="F9">
            <v>1.1002721026548961</v>
          </cell>
          <cell r="G9">
            <v>0.10027210265489606</v>
          </cell>
        </row>
        <row r="10">
          <cell r="B10">
            <v>6</v>
          </cell>
          <cell r="C10" t="str">
            <v>ASFALTO DILUÍDO</v>
          </cell>
          <cell r="D10">
            <v>919.36900000000003</v>
          </cell>
          <cell r="E10">
            <v>1001.651</v>
          </cell>
          <cell r="F10">
            <v>1.0894983407097694</v>
          </cell>
          <cell r="G10">
            <v>8.9498340709769364E-2</v>
          </cell>
        </row>
        <row r="11">
          <cell r="B11">
            <v>7</v>
          </cell>
          <cell r="C11" t="str">
            <v>ÍNDICE NACIONAL DE CUSTO DA CONSTRUÇÃO</v>
          </cell>
          <cell r="D11">
            <v>1084.242</v>
          </cell>
          <cell r="E11">
            <v>1153.7249999999999</v>
          </cell>
          <cell r="F11">
            <v>1.0640844018217335</v>
          </cell>
          <cell r="G11">
            <v>6.4084401821733472E-2</v>
          </cell>
        </row>
        <row r="12">
          <cell r="B12">
            <v>8</v>
          </cell>
          <cell r="C12" t="str">
            <v>IGP - DI</v>
          </cell>
          <cell r="D12">
            <v>1092.9739999999999</v>
          </cell>
          <cell r="E12">
            <v>1171.21</v>
          </cell>
          <cell r="F12">
            <v>1.0715808427281894</v>
          </cell>
          <cell r="G12">
            <v>7.1580842728189431E-2</v>
          </cell>
        </row>
        <row r="13">
          <cell r="B13">
            <v>9</v>
          </cell>
          <cell r="C13" t="str">
            <v>EMULSÃO ASFÁLTICA DE IMPRIMAÇÃO</v>
          </cell>
          <cell r="D13">
            <v>144.892</v>
          </cell>
          <cell r="E13">
            <v>151.428</v>
          </cell>
          <cell r="F13">
            <v>1.0451094608397979</v>
          </cell>
          <cell r="G13">
            <v>4.5109460839797944E-2</v>
          </cell>
        </row>
        <row r="14">
          <cell r="B14">
            <v>10</v>
          </cell>
          <cell r="C14" t="str">
            <v>CONSERVAÇÃO RODOVIÁRIA</v>
          </cell>
          <cell r="D14">
            <v>423.34899999999999</v>
          </cell>
          <cell r="E14">
            <v>444.55099999999999</v>
          </cell>
          <cell r="F14">
            <v>1.0500816111529732</v>
          </cell>
          <cell r="G14">
            <v>5.008161115297316E-2</v>
          </cell>
        </row>
        <row r="15">
          <cell r="B15">
            <v>11</v>
          </cell>
          <cell r="C15" t="str">
            <v>ADMINISTRAÇÃO LOCAL</v>
          </cell>
          <cell r="D15">
            <v>144.577</v>
          </cell>
          <cell r="E15">
            <v>151.42699999999999</v>
          </cell>
          <cell r="F15">
            <v>1.0473795970313398</v>
          </cell>
          <cell r="G15">
            <v>4.737959703133976E-2</v>
          </cell>
        </row>
        <row r="16">
          <cell r="B16">
            <v>12</v>
          </cell>
          <cell r="C16" t="str">
            <v>PAVIMENTAÇÃO</v>
          </cell>
          <cell r="D16">
            <v>557.54300000000001</v>
          </cell>
          <cell r="E16">
            <v>581.40700000000004</v>
          </cell>
          <cell r="F16">
            <v>1.0428020798395818</v>
          </cell>
          <cell r="G16">
            <v>4.2802079839581841E-2</v>
          </cell>
        </row>
        <row r="17">
          <cell r="B17">
            <v>13</v>
          </cell>
          <cell r="C17" t="str">
            <v>DRENAGEM</v>
          </cell>
          <cell r="D17">
            <v>458.98</v>
          </cell>
          <cell r="E17">
            <v>473.71699999999998</v>
          </cell>
          <cell r="F17">
            <v>1.032108152860691</v>
          </cell>
          <cell r="G17">
            <v>3.2108152860691019E-2</v>
          </cell>
        </row>
        <row r="18">
          <cell r="B18">
            <v>14</v>
          </cell>
          <cell r="C18" t="str">
            <v>SERVIÇOS COM AÇO PARA OBRAS DE ARTE ESPECIAIS</v>
          </cell>
          <cell r="D18">
            <v>97.197999999999993</v>
          </cell>
          <cell r="E18">
            <v>100.238</v>
          </cell>
          <cell r="F18">
            <v>1.0312763637111875</v>
          </cell>
          <cell r="G18">
            <v>3.1276363711187471E-2</v>
          </cell>
        </row>
        <row r="19">
          <cell r="B19">
            <v>15</v>
          </cell>
          <cell r="C19" t="str">
            <v>CONSULTORIA (SUPERVISÃO E PROJETOS)</v>
          </cell>
          <cell r="D19">
            <v>291.49799999999999</v>
          </cell>
          <cell r="E19">
            <v>299.315</v>
          </cell>
          <cell r="F19">
            <v>1.0268166505430569</v>
          </cell>
          <cell r="G19">
            <v>2.681665054305693E-2</v>
          </cell>
        </row>
        <row r="20">
          <cell r="B20">
            <v>16</v>
          </cell>
          <cell r="C20" t="str">
            <v>OBRAS DE ARTE ESPECIAIS (SEM AÇO)</v>
          </cell>
          <cell r="D20">
            <v>468.65499999999997</v>
          </cell>
          <cell r="E20">
            <v>481.63900000000001</v>
          </cell>
          <cell r="F20">
            <v>1.0277048148424748</v>
          </cell>
          <cell r="G20">
            <v>2.7704814842474779E-2</v>
          </cell>
        </row>
        <row r="21">
          <cell r="B21">
            <v>17</v>
          </cell>
          <cell r="C21" t="str">
            <v>PAVIMENTOS CONCRETO CIMENTO PORTLAND</v>
          </cell>
          <cell r="D21">
            <v>415.69900000000001</v>
          </cell>
          <cell r="E21">
            <v>425.49</v>
          </cell>
          <cell r="F21">
            <v>1.0235530997187869</v>
          </cell>
          <cell r="G21">
            <v>2.3553099718786941E-2</v>
          </cell>
        </row>
        <row r="22">
          <cell r="B22">
            <v>18</v>
          </cell>
          <cell r="C22" t="str">
            <v>TERRAPLENAGEM</v>
          </cell>
          <cell r="D22">
            <v>484.79500000000002</v>
          </cell>
          <cell r="E22">
            <v>495.6</v>
          </cell>
          <cell r="F22">
            <v>1.0222877711197516</v>
          </cell>
          <cell r="G22">
            <v>2.2287771119751554E-2</v>
          </cell>
        </row>
        <row r="23">
          <cell r="B23">
            <v>19</v>
          </cell>
          <cell r="C23" t="str">
            <v>SUPERESTRUTURA DE PASSARELAS METÁLICAS</v>
          </cell>
          <cell r="D23">
            <v>114.619</v>
          </cell>
          <cell r="E23">
            <v>116.554</v>
          </cell>
          <cell r="F23">
            <v>1.0168820178155453</v>
          </cell>
          <cell r="G23">
            <v>1.6882017815545325E-2</v>
          </cell>
        </row>
        <row r="24">
          <cell r="B24">
            <v>20</v>
          </cell>
          <cell r="C24" t="str">
            <v>SINALIZAÇÃO VERTICAL</v>
          </cell>
          <cell r="D24">
            <v>262.46300000000002</v>
          </cell>
          <cell r="E24">
            <v>267.49599999999998</v>
          </cell>
          <cell r="F24">
            <v>1.0191760362412987</v>
          </cell>
          <cell r="G24">
            <v>1.9176036241298711E-2</v>
          </cell>
        </row>
        <row r="25">
          <cell r="B25">
            <v>21</v>
          </cell>
          <cell r="C25" t="str">
            <v>SINALIZAÇÃO HORIZONTAL</v>
          </cell>
          <cell r="D25">
            <v>448.60899999999998</v>
          </cell>
          <cell r="E25">
            <v>451.66399999999999</v>
          </cell>
          <cell r="F25">
            <v>1.0068099391675156</v>
          </cell>
          <cell r="G25">
            <v>6.8099391675155996E-3</v>
          </cell>
        </row>
        <row r="26">
          <cell r="B26">
            <v>22</v>
          </cell>
          <cell r="C26" t="str">
            <v>OBRAS COMPLEMENTARES E MEIO AMBIENTE</v>
          </cell>
          <cell r="D26">
            <v>160.721</v>
          </cell>
          <cell r="E26">
            <v>163.00800000000001</v>
          </cell>
          <cell r="F26">
            <v>1.0142296277399967</v>
          </cell>
          <cell r="G26">
            <v>1.4229627739996697E-2</v>
          </cell>
        </row>
        <row r="27">
          <cell r="B27">
            <v>23</v>
          </cell>
          <cell r="C27" t="str">
            <v>MOBILIZAÇÃO E DESMOBILIZAÇÃO</v>
          </cell>
          <cell r="D27">
            <v>173.46100000000001</v>
          </cell>
          <cell r="E27">
            <v>174.54900000000001</v>
          </cell>
          <cell r="F27">
            <v>1.0062723032843117</v>
          </cell>
          <cell r="G27">
            <v>6.2723032843117199E-3</v>
          </cell>
        </row>
        <row r="28">
          <cell r="B28">
            <v>24</v>
          </cell>
          <cell r="C28" t="str">
            <v>OBRAS DE ARTE ESPECIAIS</v>
          </cell>
          <cell r="D28">
            <v>468.524</v>
          </cell>
          <cell r="E28"/>
          <cell r="F28">
            <v>0</v>
          </cell>
          <cell r="G28">
            <v>0</v>
          </cell>
        </row>
        <row r="29">
          <cell r="B29">
            <v>25</v>
          </cell>
          <cell r="C29" t="str">
            <v>LIGANTES BETUMINOSOS</v>
          </cell>
          <cell r="D29">
            <v>895.096</v>
          </cell>
          <cell r="E29"/>
          <cell r="F29">
            <v>0</v>
          </cell>
          <cell r="G29">
            <v>0</v>
          </cell>
        </row>
        <row r="30">
          <cell r="B30">
            <v>26</v>
          </cell>
          <cell r="C30" t="str">
            <v>VERGALHÕES E ARAMES DE AÇO CARBONO</v>
          </cell>
          <cell r="D30">
            <v>1305.337</v>
          </cell>
          <cell r="E30"/>
          <cell r="F30">
            <v>0</v>
          </cell>
          <cell r="G30">
            <v>0</v>
          </cell>
        </row>
        <row r="31">
          <cell r="B31">
            <v>27</v>
          </cell>
          <cell r="C31" t="str">
            <v>PRODUTOS SIDERÚRGICOS</v>
          </cell>
          <cell r="D31">
            <v>349.959</v>
          </cell>
          <cell r="E31"/>
          <cell r="F31">
            <v>0</v>
          </cell>
          <cell r="G31">
            <v>0</v>
          </cell>
        </row>
        <row r="32">
          <cell r="B32">
            <v>28</v>
          </cell>
          <cell r="C32" t="str">
            <v>PRODUTOS DE AÇO GALVANIZADO</v>
          </cell>
          <cell r="D32">
            <v>475.76</v>
          </cell>
          <cell r="E32"/>
          <cell r="F32">
            <v>0</v>
          </cell>
          <cell r="G3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E313D-10F6-43FA-A862-6EB128FF3CBC}">
  <sheetPr>
    <tabColor rgb="FF00B050"/>
  </sheetPr>
  <dimension ref="B1:F46"/>
  <sheetViews>
    <sheetView showGridLines="0" zoomScale="80" zoomScaleNormal="80" workbookViewId="0"/>
  </sheetViews>
  <sheetFormatPr defaultColWidth="11.625" defaultRowHeight="15.6"/>
  <cols>
    <col min="1" max="1" width="3.625" style="141" customWidth="1"/>
    <col min="2" max="2" width="11.625" style="141"/>
    <col min="3" max="3" width="15" style="141" customWidth="1"/>
    <col min="4" max="4" width="84.375" style="141" customWidth="1"/>
    <col min="5" max="16384" width="11.625" style="141"/>
  </cols>
  <sheetData>
    <row r="1" spans="2:6" s="1" customFormat="1" ht="18">
      <c r="B1" s="103"/>
      <c r="C1" s="104"/>
    </row>
    <row r="2" spans="2:6" s="1" customFormat="1" ht="13.8">
      <c r="C2" s="34"/>
    </row>
    <row r="3" spans="2:6" s="1" customFormat="1" ht="13.8">
      <c r="C3" s="34"/>
      <c r="F3"/>
    </row>
    <row r="4" spans="2:6" s="1" customFormat="1" ht="13.8">
      <c r="C4" s="34"/>
      <c r="F4"/>
    </row>
    <row r="5" spans="2:6" s="1" customFormat="1" ht="13.8">
      <c r="B5" s="105"/>
      <c r="C5" s="106"/>
      <c r="D5" s="105"/>
    </row>
    <row r="6" spans="2:6" s="1" customFormat="1" ht="13.8">
      <c r="C6" s="34"/>
    </row>
    <row r="7" spans="2:6" s="1" customFormat="1" ht="49.95" customHeight="1">
      <c r="B7" s="359" t="s">
        <v>0</v>
      </c>
      <c r="C7" s="360"/>
      <c r="D7" s="361"/>
    </row>
    <row r="8" spans="2:6" s="1" customFormat="1">
      <c r="B8" s="107" t="s">
        <v>1</v>
      </c>
      <c r="C8" s="108"/>
      <c r="D8" s="109"/>
    </row>
    <row r="9" spans="2:6" s="1" customFormat="1">
      <c r="B9" s="110" t="s">
        <v>2</v>
      </c>
      <c r="C9" s="111"/>
      <c r="D9" s="112"/>
    </row>
    <row r="10" spans="2:6" s="1" customFormat="1">
      <c r="B10" s="113"/>
      <c r="C10" s="114"/>
      <c r="D10" s="113"/>
    </row>
    <row r="11" spans="2:6" s="1" customFormat="1" ht="18">
      <c r="B11" s="115" t="s">
        <v>3</v>
      </c>
      <c r="C11" s="116"/>
      <c r="D11" s="117"/>
    </row>
    <row r="12" spans="2:6" s="1" customFormat="1" ht="18">
      <c r="B12" s="118" t="s">
        <v>1016</v>
      </c>
      <c r="C12" s="119"/>
      <c r="D12" s="120"/>
    </row>
    <row r="13" spans="2:6" s="1" customFormat="1" ht="18">
      <c r="B13" s="121" t="s">
        <v>4</v>
      </c>
      <c r="C13" s="122"/>
      <c r="D13" s="123"/>
    </row>
    <row r="14" spans="2:6" s="1" customFormat="1" ht="13.8">
      <c r="C14" s="34"/>
    </row>
    <row r="15" spans="2:6" ht="15.6" customHeight="1">
      <c r="B15" s="140" t="s">
        <v>5</v>
      </c>
      <c r="C15" s="140" t="s">
        <v>6</v>
      </c>
      <c r="D15" s="140" t="s">
        <v>7</v>
      </c>
    </row>
    <row r="16" spans="2:6" ht="28.2" customHeight="1">
      <c r="B16" s="142">
        <v>0</v>
      </c>
      <c r="C16" s="143">
        <v>45363</v>
      </c>
      <c r="D16" s="282" t="s">
        <v>8</v>
      </c>
    </row>
    <row r="17" spans="2:4" ht="25.8">
      <c r="B17" s="142">
        <v>1</v>
      </c>
      <c r="C17" s="143">
        <v>45426</v>
      </c>
      <c r="D17" s="282" t="s">
        <v>9</v>
      </c>
    </row>
    <row r="18" spans="2:4" ht="25.8">
      <c r="B18" s="142">
        <v>2</v>
      </c>
      <c r="C18" s="143">
        <v>45450</v>
      </c>
      <c r="D18" s="282" t="s">
        <v>9</v>
      </c>
    </row>
    <row r="19" spans="2:4" ht="25.8">
      <c r="B19" s="142">
        <v>3</v>
      </c>
      <c r="C19" s="143">
        <v>45663</v>
      </c>
      <c r="D19" s="282" t="s">
        <v>9</v>
      </c>
    </row>
    <row r="20" spans="2:4" ht="15.6" customHeight="1"/>
    <row r="21" spans="2:4" ht="15.6" customHeight="1"/>
    <row r="22" spans="2:4" ht="15.6" customHeight="1"/>
    <row r="23" spans="2:4" ht="15.6" customHeight="1"/>
    <row r="24" spans="2:4" ht="15.6" customHeight="1"/>
    <row r="25" spans="2:4" ht="15.6" customHeight="1"/>
    <row r="26" spans="2:4" ht="15.6" customHeight="1"/>
    <row r="27" spans="2:4" ht="15.6" customHeight="1"/>
    <row r="28" spans="2:4" ht="15.6" customHeight="1"/>
    <row r="29" spans="2:4" ht="15.6" customHeight="1"/>
    <row r="30" spans="2:4" ht="15.6" customHeight="1"/>
    <row r="31" spans="2:4" ht="15.6" customHeight="1"/>
    <row r="32" spans="2:4" ht="15.6" customHeight="1"/>
    <row r="33" s="141" customFormat="1" ht="15.6" customHeight="1"/>
    <row r="34" s="141" customFormat="1" ht="15.6" customHeight="1"/>
    <row r="35" s="141" customFormat="1" ht="15.6" customHeight="1"/>
    <row r="36" s="141" customFormat="1" ht="15.6" customHeight="1"/>
    <row r="37" s="141" customFormat="1" ht="15.6" customHeight="1"/>
    <row r="38" s="141" customFormat="1" ht="15.6" customHeight="1"/>
    <row r="39" s="141" customFormat="1" ht="15.6" customHeight="1"/>
    <row r="40" s="141" customFormat="1" ht="15.6" customHeight="1"/>
    <row r="41" s="141" customFormat="1" ht="15.6" customHeight="1"/>
    <row r="42" s="141" customFormat="1" ht="15.6" customHeight="1"/>
    <row r="43" s="141" customFormat="1" ht="15.6" customHeight="1"/>
    <row r="44" s="141" customFormat="1" ht="15.6" customHeight="1"/>
    <row r="45" s="141" customFormat="1" ht="15.6" customHeight="1"/>
    <row r="46" s="141" customFormat="1" ht="15.6" customHeight="1"/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CBF9-09AF-410A-B252-A9DFB14DC6DD}">
  <sheetPr>
    <tabColor rgb="FF00B050"/>
  </sheetPr>
  <dimension ref="B1:F224"/>
  <sheetViews>
    <sheetView showGridLines="0" zoomScale="80" zoomScaleNormal="80" workbookViewId="0"/>
  </sheetViews>
  <sheetFormatPr defaultColWidth="10.25" defaultRowHeight="13.8"/>
  <cols>
    <col min="1" max="1" width="3" style="61" customWidth="1"/>
    <col min="2" max="2" width="28.875" style="61" bestFit="1" customWidth="1"/>
    <col min="3" max="4" width="20.25" style="61" customWidth="1"/>
    <col min="5" max="7" width="34.375" style="61" customWidth="1"/>
    <col min="8" max="8" width="15" style="61" customWidth="1"/>
    <col min="9" max="9" width="16.25" style="61" customWidth="1"/>
    <col min="10" max="10" width="14.125" style="61" customWidth="1"/>
    <col min="11" max="11" width="16.75" style="61" customWidth="1"/>
    <col min="12" max="16384" width="10.25" style="61"/>
  </cols>
  <sheetData>
    <row r="1" spans="2:6" s="1" customFormat="1" ht="18">
      <c r="B1" s="103"/>
      <c r="C1" s="104"/>
    </row>
    <row r="2" spans="2:6" s="1" customFormat="1">
      <c r="C2" s="34"/>
    </row>
    <row r="3" spans="2:6" s="1" customFormat="1">
      <c r="C3" s="34"/>
      <c r="F3"/>
    </row>
    <row r="4" spans="2:6" s="1" customFormat="1">
      <c r="C4" s="34"/>
      <c r="F4"/>
    </row>
    <row r="5" spans="2:6" s="1" customFormat="1">
      <c r="B5" s="105"/>
      <c r="C5" s="106"/>
      <c r="D5" s="105"/>
      <c r="E5" s="105"/>
      <c r="F5"/>
    </row>
    <row r="6" spans="2:6" s="1" customFormat="1">
      <c r="C6" s="34"/>
    </row>
    <row r="7" spans="2:6" s="1" customFormat="1" ht="49.95" customHeight="1">
      <c r="B7" s="359" t="s">
        <v>0</v>
      </c>
      <c r="C7" s="360"/>
      <c r="D7" s="360"/>
      <c r="E7" s="361"/>
    </row>
    <row r="8" spans="2:6" s="1" customFormat="1" ht="15.6">
      <c r="B8" s="406" t="s">
        <v>1</v>
      </c>
      <c r="C8" s="407"/>
      <c r="D8" s="407"/>
      <c r="E8" s="408"/>
    </row>
    <row r="9" spans="2:6" s="1" customFormat="1" ht="15.6">
      <c r="B9" s="409" t="s">
        <v>2</v>
      </c>
      <c r="C9" s="410"/>
      <c r="D9" s="410"/>
      <c r="E9" s="411"/>
    </row>
    <row r="10" spans="2:6" s="1" customFormat="1" ht="15.6">
      <c r="B10" s="113"/>
      <c r="C10" s="114"/>
      <c r="D10" s="113"/>
    </row>
    <row r="11" spans="2:6" s="1" customFormat="1" ht="18" customHeight="1">
      <c r="B11" s="412" t="s">
        <v>954</v>
      </c>
      <c r="C11" s="413"/>
      <c r="D11" s="413"/>
      <c r="E11" s="414"/>
    </row>
    <row r="12" spans="2:6" s="1" customFormat="1" ht="18" customHeight="1">
      <c r="B12" s="415" t="s">
        <v>1016</v>
      </c>
      <c r="C12" s="416"/>
      <c r="D12" s="416"/>
      <c r="E12" s="417"/>
    </row>
    <row r="13" spans="2:6" s="1" customFormat="1" ht="18" customHeight="1">
      <c r="B13" s="418" t="s">
        <v>4</v>
      </c>
      <c r="C13" s="419"/>
      <c r="D13" s="419"/>
      <c r="E13" s="420"/>
    </row>
    <row r="14" spans="2:6">
      <c r="B14" s="1"/>
      <c r="C14" s="34"/>
      <c r="D14" s="1"/>
      <c r="E14" s="1"/>
    </row>
    <row r="15" spans="2:6" ht="18">
      <c r="B15" s="405" t="s">
        <v>955</v>
      </c>
      <c r="C15" s="405"/>
      <c r="D15" s="405"/>
      <c r="E15" s="405"/>
    </row>
    <row r="16" spans="2:6" ht="26.4">
      <c r="B16" s="251" t="s">
        <v>956</v>
      </c>
      <c r="C16" s="252" t="s">
        <v>957</v>
      </c>
      <c r="D16" s="252" t="s">
        <v>958</v>
      </c>
      <c r="E16" s="252" t="s">
        <v>959</v>
      </c>
    </row>
    <row r="17" spans="2:6" ht="14.4">
      <c r="B17" s="253" t="s">
        <v>960</v>
      </c>
      <c r="C17" s="254">
        <v>7.3000000000000009E-2</v>
      </c>
      <c r="D17" s="254"/>
      <c r="E17" s="254"/>
    </row>
    <row r="18" spans="2:6" ht="14.4">
      <c r="B18" s="253" t="s">
        <v>960</v>
      </c>
      <c r="C18" s="254">
        <v>3.1000000000000139E-2</v>
      </c>
      <c r="D18" s="254"/>
      <c r="E18" s="254"/>
    </row>
    <row r="19" spans="2:6" ht="14.4">
      <c r="B19" s="253" t="s">
        <v>960</v>
      </c>
      <c r="C19" s="254"/>
      <c r="D19" s="254"/>
      <c r="E19" s="254">
        <v>16.999999999999904</v>
      </c>
      <c r="F19" s="267"/>
    </row>
    <row r="20" spans="2:6" ht="14.4">
      <c r="B20" s="253" t="s">
        <v>960</v>
      </c>
      <c r="C20" s="254">
        <v>2.3000000000000131E-2</v>
      </c>
      <c r="D20" s="254"/>
      <c r="E20" s="254">
        <v>0</v>
      </c>
      <c r="F20" s="267"/>
    </row>
    <row r="21" spans="2:6" ht="14.4">
      <c r="B21" s="253" t="s">
        <v>960</v>
      </c>
      <c r="C21" s="254">
        <v>3.8999999999999702E-2</v>
      </c>
      <c r="D21" s="254"/>
      <c r="E21" s="254">
        <v>0</v>
      </c>
      <c r="F21" s="267"/>
    </row>
    <row r="22" spans="2:6" ht="14.4">
      <c r="B22" s="253" t="s">
        <v>960</v>
      </c>
      <c r="C22" s="254"/>
      <c r="D22" s="254"/>
      <c r="E22" s="254">
        <v>11.000000000000121</v>
      </c>
      <c r="F22" s="267"/>
    </row>
    <row r="23" spans="2:6" ht="14.4">
      <c r="B23" s="253" t="s">
        <v>960</v>
      </c>
      <c r="C23" s="254">
        <v>1.699999999999946E-2</v>
      </c>
      <c r="D23" s="254"/>
      <c r="E23" s="254">
        <v>0</v>
      </c>
      <c r="F23" s="267"/>
    </row>
    <row r="24" spans="2:6" ht="14.4">
      <c r="B24" s="253" t="s">
        <v>960</v>
      </c>
      <c r="C24" s="254">
        <v>3.8000000000000256E-2</v>
      </c>
      <c r="D24" s="254"/>
      <c r="E24" s="254">
        <v>0</v>
      </c>
      <c r="F24" s="267"/>
    </row>
    <row r="25" spans="2:6" ht="14.4">
      <c r="B25" s="253" t="s">
        <v>960</v>
      </c>
      <c r="C25" s="254"/>
      <c r="D25" s="254"/>
      <c r="E25" s="254">
        <v>11.000000000000121</v>
      </c>
      <c r="F25" s="267"/>
    </row>
    <row r="26" spans="2:6" ht="14.4">
      <c r="B26" s="253" t="s">
        <v>960</v>
      </c>
      <c r="C26" s="254">
        <v>2.7000000000000135E-2</v>
      </c>
      <c r="D26" s="254"/>
      <c r="E26" s="254">
        <v>0</v>
      </c>
      <c r="F26" s="267"/>
    </row>
    <row r="27" spans="2:6" ht="14.4">
      <c r="B27" s="253" t="s">
        <v>960</v>
      </c>
      <c r="C27" s="254">
        <v>0.31199999999999939</v>
      </c>
      <c r="D27" s="254"/>
      <c r="E27" s="254">
        <v>0</v>
      </c>
      <c r="F27" s="267"/>
    </row>
    <row r="28" spans="2:6" ht="14.4">
      <c r="B28" s="253" t="s">
        <v>960</v>
      </c>
      <c r="C28" s="254">
        <v>5.3999999999998494E-2</v>
      </c>
      <c r="D28" s="254"/>
      <c r="E28" s="254">
        <v>0</v>
      </c>
      <c r="F28" s="267"/>
    </row>
    <row r="29" spans="2:6" ht="14.4">
      <c r="B29" s="253" t="s">
        <v>960</v>
      </c>
      <c r="C29" s="254"/>
      <c r="D29" s="254"/>
      <c r="E29" s="254">
        <v>10.999999999999233</v>
      </c>
      <c r="F29" s="267"/>
    </row>
    <row r="30" spans="2:6" ht="14.4">
      <c r="B30" s="253" t="s">
        <v>960</v>
      </c>
      <c r="C30" s="254">
        <v>3.3000000000001251E-2</v>
      </c>
      <c r="D30" s="254"/>
      <c r="E30" s="254">
        <v>0</v>
      </c>
      <c r="F30" s="267"/>
    </row>
    <row r="31" spans="2:6" ht="14.4">
      <c r="B31" s="253" t="s">
        <v>960</v>
      </c>
      <c r="C31" s="254">
        <v>0</v>
      </c>
      <c r="D31" s="254"/>
      <c r="E31" s="254">
        <v>0</v>
      </c>
      <c r="F31" s="267"/>
    </row>
    <row r="32" spans="2:6" ht="14.4">
      <c r="B32" s="253" t="s">
        <v>961</v>
      </c>
      <c r="C32" s="254">
        <v>6.9000000000002615E-2</v>
      </c>
      <c r="D32" s="254"/>
      <c r="E32" s="254">
        <v>0</v>
      </c>
      <c r="F32" s="267"/>
    </row>
    <row r="33" spans="2:6" ht="14.4">
      <c r="B33" s="253" t="s">
        <v>961</v>
      </c>
      <c r="C33" s="254">
        <v>1.0339999999999989</v>
      </c>
      <c r="D33" s="254"/>
      <c r="E33" s="254">
        <v>0</v>
      </c>
      <c r="F33" s="267"/>
    </row>
    <row r="34" spans="2:6" ht="14.4">
      <c r="B34" s="253" t="s">
        <v>961</v>
      </c>
      <c r="C34" s="254">
        <v>0.2759999999999998</v>
      </c>
      <c r="D34" s="254"/>
      <c r="E34" s="254">
        <v>0</v>
      </c>
      <c r="F34" s="267"/>
    </row>
    <row r="35" spans="2:6" ht="14.4">
      <c r="B35" s="253" t="s">
        <v>961</v>
      </c>
      <c r="C35" s="254">
        <v>0.4220000000000006</v>
      </c>
      <c r="D35" s="254"/>
      <c r="E35" s="254">
        <v>0</v>
      </c>
      <c r="F35" s="267"/>
    </row>
    <row r="36" spans="2:6" ht="14.4">
      <c r="B36" s="253" t="s">
        <v>961</v>
      </c>
      <c r="C36" s="254">
        <v>0.18000000000000327</v>
      </c>
      <c r="D36" s="254"/>
      <c r="E36" s="254">
        <v>0</v>
      </c>
      <c r="F36" s="267"/>
    </row>
    <row r="37" spans="2:6" ht="14.4">
      <c r="B37" s="253" t="s">
        <v>961</v>
      </c>
      <c r="C37" s="254">
        <v>0.34199999999999875</v>
      </c>
      <c r="D37" s="254"/>
      <c r="E37" s="254">
        <v>0</v>
      </c>
      <c r="F37" s="267"/>
    </row>
    <row r="38" spans="2:6" ht="14.4">
      <c r="B38" s="253" t="s">
        <v>961</v>
      </c>
      <c r="C38" s="254">
        <v>0.4220000000000006</v>
      </c>
      <c r="D38" s="254"/>
      <c r="E38" s="254">
        <v>0</v>
      </c>
      <c r="F38" s="267"/>
    </row>
    <row r="39" spans="2:6" ht="14.4">
      <c r="B39" s="253" t="s">
        <v>961</v>
      </c>
      <c r="C39" s="254">
        <v>0.19500000000000028</v>
      </c>
      <c r="D39" s="254"/>
      <c r="E39" s="254">
        <v>0</v>
      </c>
      <c r="F39" s="267"/>
    </row>
    <row r="40" spans="2:6" ht="14.4">
      <c r="B40" s="253" t="s">
        <v>961</v>
      </c>
      <c r="C40" s="254">
        <v>0.58500000000000085</v>
      </c>
      <c r="D40" s="254"/>
      <c r="E40" s="254">
        <v>0</v>
      </c>
      <c r="F40" s="267"/>
    </row>
    <row r="41" spans="2:6" ht="14.4">
      <c r="B41" s="253" t="s">
        <v>961</v>
      </c>
      <c r="C41" s="254">
        <v>0.28299999999999415</v>
      </c>
      <c r="D41" s="254"/>
      <c r="E41" s="254">
        <v>0</v>
      </c>
      <c r="F41" s="267"/>
    </row>
    <row r="42" spans="2:6" ht="14.4">
      <c r="B42" s="253" t="s">
        <v>961</v>
      </c>
      <c r="C42" s="254">
        <v>0.24699999999999989</v>
      </c>
      <c r="D42" s="254"/>
      <c r="E42" s="254">
        <v>0</v>
      </c>
      <c r="F42" s="267"/>
    </row>
    <row r="43" spans="2:6" ht="14.4">
      <c r="B43" s="253" t="s">
        <v>961</v>
      </c>
      <c r="C43" s="254">
        <v>0.21399999999999864</v>
      </c>
      <c r="D43" s="254"/>
      <c r="E43" s="254">
        <v>0</v>
      </c>
      <c r="F43" s="267"/>
    </row>
    <row r="44" spans="2:6" ht="14.4">
      <c r="B44" s="253" t="s">
        <v>961</v>
      </c>
      <c r="C44" s="254">
        <v>0.64700000000000557</v>
      </c>
      <c r="D44" s="254"/>
      <c r="E44" s="254">
        <v>0</v>
      </c>
      <c r="F44" s="267"/>
    </row>
    <row r="45" spans="2:6" ht="14.4">
      <c r="B45" s="253" t="s">
        <v>961</v>
      </c>
      <c r="C45" s="254">
        <v>0.47000000000001307</v>
      </c>
      <c r="D45" s="254"/>
      <c r="E45" s="254">
        <v>0</v>
      </c>
      <c r="F45" s="267"/>
    </row>
    <row r="46" spans="2:6" ht="14.4">
      <c r="B46" s="253" t="s">
        <v>961</v>
      </c>
      <c r="C46" s="254">
        <v>0.27700000000000102</v>
      </c>
      <c r="D46" s="254"/>
      <c r="E46" s="254">
        <v>0</v>
      </c>
      <c r="F46" s="267"/>
    </row>
    <row r="47" spans="2:6" ht="14.4">
      <c r="B47" s="253" t="s">
        <v>961</v>
      </c>
      <c r="C47" s="254">
        <v>0.32600000000000762</v>
      </c>
      <c r="D47" s="254"/>
      <c r="E47" s="254">
        <v>0</v>
      </c>
      <c r="F47" s="267"/>
    </row>
    <row r="48" spans="2:6" ht="14.4">
      <c r="B48" s="253" t="s">
        <v>961</v>
      </c>
      <c r="C48" s="254">
        <v>0.11899999999999977</v>
      </c>
      <c r="D48" s="254"/>
      <c r="E48" s="254">
        <v>0</v>
      </c>
      <c r="F48" s="267"/>
    </row>
    <row r="49" spans="2:6" ht="14.4">
      <c r="B49" s="253" t="s">
        <v>961</v>
      </c>
      <c r="C49" s="254">
        <v>0.11700000000000443</v>
      </c>
      <c r="D49" s="254"/>
      <c r="E49" s="254">
        <v>0</v>
      </c>
      <c r="F49" s="267"/>
    </row>
    <row r="50" spans="2:6" ht="14.4">
      <c r="B50" s="253" t="s">
        <v>961</v>
      </c>
      <c r="C50" s="254">
        <v>0.24099999999999966</v>
      </c>
      <c r="D50" s="254"/>
      <c r="E50" s="254">
        <v>0</v>
      </c>
      <c r="F50" s="267"/>
    </row>
    <row r="51" spans="2:6" ht="14.4">
      <c r="B51" s="253" t="s">
        <v>961</v>
      </c>
      <c r="C51" s="254">
        <v>0.12300000000000466</v>
      </c>
      <c r="D51" s="254"/>
      <c r="E51" s="254">
        <v>0</v>
      </c>
      <c r="F51" s="267"/>
    </row>
    <row r="52" spans="2:6" ht="14.4">
      <c r="B52" s="253" t="s">
        <v>961</v>
      </c>
      <c r="C52" s="254">
        <v>0.20000000000000284</v>
      </c>
      <c r="D52" s="254"/>
      <c r="E52" s="254">
        <v>0</v>
      </c>
      <c r="F52" s="267"/>
    </row>
    <row r="53" spans="2:6" ht="14.4">
      <c r="B53" s="253" t="s">
        <v>961</v>
      </c>
      <c r="C53" s="254">
        <v>5.5999999999997385E-2</v>
      </c>
      <c r="D53" s="254"/>
      <c r="E53" s="254">
        <v>0</v>
      </c>
      <c r="F53" s="267"/>
    </row>
    <row r="54" spans="2:6" ht="14.4">
      <c r="B54" s="253" t="s">
        <v>961</v>
      </c>
      <c r="C54" s="254">
        <v>0.17900000000000205</v>
      </c>
      <c r="D54" s="254"/>
      <c r="E54" s="254">
        <v>0</v>
      </c>
      <c r="F54" s="267"/>
    </row>
    <row r="55" spans="2:6" ht="14.4">
      <c r="B55" s="253" t="s">
        <v>961</v>
      </c>
      <c r="C55" s="254">
        <v>4.9000000000006594E-2</v>
      </c>
      <c r="D55" s="254"/>
      <c r="E55" s="254">
        <v>0</v>
      </c>
      <c r="F55" s="267"/>
    </row>
    <row r="56" spans="2:6" ht="14.4">
      <c r="B56" s="253" t="s">
        <v>961</v>
      </c>
      <c r="C56" s="254">
        <v>0.242999999999995</v>
      </c>
      <c r="D56" s="254"/>
      <c r="E56" s="254">
        <v>0</v>
      </c>
      <c r="F56" s="267"/>
    </row>
    <row r="57" spans="2:6" ht="14.4">
      <c r="B57" s="253" t="s">
        <v>961</v>
      </c>
      <c r="C57" s="254">
        <v>1.078000000000003</v>
      </c>
      <c r="D57" s="254"/>
      <c r="E57" s="254">
        <v>0</v>
      </c>
      <c r="F57" s="267"/>
    </row>
    <row r="58" spans="2:6" ht="14.4">
      <c r="B58" s="253" t="s">
        <v>961</v>
      </c>
      <c r="C58" s="254"/>
      <c r="D58" s="254"/>
      <c r="E58" s="254">
        <v>30.999999999991701</v>
      </c>
      <c r="F58" s="267"/>
    </row>
    <row r="59" spans="2:6" ht="14.4">
      <c r="B59" s="253" t="s">
        <v>961</v>
      </c>
      <c r="C59" s="254">
        <v>0.10099999999999909</v>
      </c>
      <c r="D59" s="254"/>
      <c r="E59" s="254">
        <v>0</v>
      </c>
      <c r="F59" s="267"/>
    </row>
    <row r="60" spans="2:6" ht="14.4">
      <c r="B60" s="253" t="s">
        <v>961</v>
      </c>
      <c r="C60" s="254">
        <v>0</v>
      </c>
      <c r="D60" s="254"/>
      <c r="E60" s="254">
        <v>0</v>
      </c>
      <c r="F60" s="267"/>
    </row>
    <row r="61" spans="2:6" ht="14.4">
      <c r="B61" s="253" t="s">
        <v>961</v>
      </c>
      <c r="C61" s="254">
        <v>0</v>
      </c>
      <c r="D61" s="254"/>
      <c r="E61" s="254">
        <v>0</v>
      </c>
      <c r="F61" s="267"/>
    </row>
    <row r="62" spans="2:6" ht="14.4">
      <c r="B62" s="253" t="s">
        <v>961</v>
      </c>
      <c r="C62" s="254">
        <v>0</v>
      </c>
      <c r="D62" s="254"/>
      <c r="E62" s="254">
        <v>0</v>
      </c>
      <c r="F62" s="267"/>
    </row>
    <row r="63" spans="2:6" ht="14.4">
      <c r="B63" s="253" t="s">
        <v>962</v>
      </c>
      <c r="C63" s="254">
        <v>0.10099999999999909</v>
      </c>
      <c r="D63" s="254"/>
      <c r="E63" s="254">
        <v>0</v>
      </c>
      <c r="F63" s="267"/>
    </row>
    <row r="64" spans="2:6" ht="14.4">
      <c r="B64" s="253" t="s">
        <v>962</v>
      </c>
      <c r="C64" s="254">
        <v>4.7000000000011255E-2</v>
      </c>
      <c r="D64" s="254"/>
      <c r="E64" s="254">
        <v>0</v>
      </c>
      <c r="F64" s="267"/>
    </row>
    <row r="65" spans="2:6" ht="14.4">
      <c r="B65" s="253" t="s">
        <v>962</v>
      </c>
      <c r="C65" s="254">
        <v>0.94799999999999329</v>
      </c>
      <c r="D65" s="254"/>
      <c r="E65" s="254">
        <v>0</v>
      </c>
      <c r="F65" s="267"/>
    </row>
    <row r="66" spans="2:6" ht="14.4">
      <c r="B66" s="253" t="s">
        <v>962</v>
      </c>
      <c r="C66" s="254">
        <v>0.61459999999999582</v>
      </c>
      <c r="D66" s="254"/>
      <c r="E66" s="254">
        <v>0</v>
      </c>
      <c r="F66" s="267"/>
    </row>
    <row r="67" spans="2:6" ht="14.4">
      <c r="B67" s="253" t="s">
        <v>962</v>
      </c>
      <c r="C67" s="254">
        <v>4.8000000000001819E-2</v>
      </c>
      <c r="D67" s="254"/>
      <c r="E67" s="254">
        <v>0</v>
      </c>
      <c r="F67" s="267"/>
    </row>
    <row r="68" spans="2:6" ht="14.4">
      <c r="B68" s="253" t="s">
        <v>962</v>
      </c>
      <c r="C68" s="254">
        <v>0.1939999999999884</v>
      </c>
      <c r="D68" s="254"/>
      <c r="E68" s="254">
        <v>0</v>
      </c>
      <c r="F68" s="267"/>
    </row>
    <row r="69" spans="2:6" ht="14.4">
      <c r="B69" s="253" t="s">
        <v>962</v>
      </c>
      <c r="C69" s="254">
        <v>4.6999999999997044E-2</v>
      </c>
      <c r="D69" s="254"/>
      <c r="E69" s="254">
        <v>0</v>
      </c>
      <c r="F69" s="267"/>
    </row>
    <row r="70" spans="2:6" ht="14.4">
      <c r="B70" s="253" t="s">
        <v>962</v>
      </c>
      <c r="C70" s="254">
        <v>0.7459999999999809</v>
      </c>
      <c r="D70" s="254"/>
      <c r="E70" s="254">
        <v>0</v>
      </c>
      <c r="F70" s="267"/>
    </row>
    <row r="71" spans="2:6" ht="14.4">
      <c r="B71" s="253" t="s">
        <v>962</v>
      </c>
      <c r="C71" s="254">
        <v>0.13999999999998636</v>
      </c>
      <c r="D71" s="254"/>
      <c r="E71" s="254">
        <v>0</v>
      </c>
      <c r="F71" s="267"/>
    </row>
    <row r="72" spans="2:6" ht="14.4">
      <c r="B72" s="253" t="s">
        <v>962</v>
      </c>
      <c r="C72" s="254">
        <v>5.1999999999992497E-2</v>
      </c>
      <c r="D72" s="254"/>
      <c r="E72" s="254">
        <v>0</v>
      </c>
      <c r="F72" s="267"/>
    </row>
    <row r="73" spans="2:6" ht="14.4">
      <c r="B73" s="253" t="s">
        <v>963</v>
      </c>
      <c r="C73" s="254">
        <v>0.54099999999999682</v>
      </c>
      <c r="D73" s="254"/>
      <c r="E73" s="254">
        <v>0</v>
      </c>
      <c r="F73" s="267"/>
    </row>
    <row r="74" spans="2:6" ht="14.4">
      <c r="B74" s="253" t="s">
        <v>963</v>
      </c>
      <c r="C74" s="254">
        <v>0.60199999999997544</v>
      </c>
      <c r="D74" s="254"/>
      <c r="E74" s="254">
        <v>0</v>
      </c>
      <c r="F74" s="267"/>
    </row>
    <row r="75" spans="2:6" ht="14.4">
      <c r="B75" s="253" t="s">
        <v>963</v>
      </c>
      <c r="C75" s="254">
        <v>0.16799999999997794</v>
      </c>
      <c r="D75" s="254"/>
      <c r="E75" s="254">
        <v>0</v>
      </c>
      <c r="F75" s="267"/>
    </row>
    <row r="76" spans="2:6" ht="14.4">
      <c r="B76" s="253" t="s">
        <v>963</v>
      </c>
      <c r="C76" s="254">
        <v>0.22100000000000364</v>
      </c>
      <c r="D76" s="254"/>
      <c r="E76" s="254">
        <v>0</v>
      </c>
      <c r="F76" s="267"/>
    </row>
    <row r="77" spans="2:6" ht="14.4">
      <c r="B77" s="253" t="s">
        <v>963</v>
      </c>
      <c r="C77" s="254">
        <v>0.15399999999999636</v>
      </c>
      <c r="D77" s="254"/>
      <c r="E77" s="254">
        <v>0</v>
      </c>
      <c r="F77" s="267"/>
    </row>
    <row r="78" spans="2:6" ht="14.4">
      <c r="B78" s="253" t="s">
        <v>963</v>
      </c>
      <c r="C78" s="254">
        <v>0.21800000000001774</v>
      </c>
      <c r="D78" s="254"/>
      <c r="E78" s="254">
        <v>0</v>
      </c>
      <c r="F78" s="267"/>
    </row>
    <row r="79" spans="2:6" ht="14.4">
      <c r="B79" s="253" t="s">
        <v>963</v>
      </c>
      <c r="C79" s="254">
        <v>0.46000000000000796</v>
      </c>
      <c r="D79" s="254"/>
      <c r="E79" s="254">
        <v>0</v>
      </c>
      <c r="F79" s="267"/>
    </row>
    <row r="80" spans="2:6" ht="14.4">
      <c r="B80" s="253" t="s">
        <v>963</v>
      </c>
      <c r="C80" s="254">
        <v>0.17500000000001137</v>
      </c>
      <c r="D80" s="254"/>
      <c r="E80" s="254">
        <v>0</v>
      </c>
      <c r="F80" s="267"/>
    </row>
    <row r="81" spans="2:6" ht="14.4">
      <c r="B81" s="253" t="s">
        <v>963</v>
      </c>
      <c r="C81" s="254">
        <v>0.1769999999999925</v>
      </c>
      <c r="D81" s="254"/>
      <c r="E81" s="254">
        <v>0</v>
      </c>
      <c r="F81" s="267"/>
    </row>
    <row r="82" spans="2:6" ht="14.4">
      <c r="B82" s="253" t="s">
        <v>963</v>
      </c>
      <c r="C82" s="254">
        <v>0.93000000000000682</v>
      </c>
      <c r="D82" s="254"/>
      <c r="E82" s="254">
        <v>0</v>
      </c>
      <c r="F82" s="267"/>
    </row>
    <row r="83" spans="2:6" ht="14.4">
      <c r="B83" s="253" t="s">
        <v>963</v>
      </c>
      <c r="C83" s="254">
        <v>0.3189999999999884</v>
      </c>
      <c r="D83" s="254"/>
      <c r="E83" s="254">
        <v>0</v>
      </c>
      <c r="F83" s="267"/>
    </row>
    <row r="84" spans="2:6" ht="14.4">
      <c r="B84" s="253" t="s">
        <v>963</v>
      </c>
      <c r="C84" s="254">
        <v>0.49799999999999045</v>
      </c>
      <c r="D84" s="254"/>
      <c r="E84" s="254">
        <v>0</v>
      </c>
      <c r="F84" s="267"/>
    </row>
    <row r="85" spans="2:6" ht="14.4">
      <c r="B85" s="253" t="s">
        <v>963</v>
      </c>
      <c r="C85" s="254">
        <v>7.9999999999984084E-2</v>
      </c>
      <c r="D85" s="254"/>
      <c r="E85" s="254">
        <v>0</v>
      </c>
      <c r="F85" s="267"/>
    </row>
    <row r="86" spans="2:6" ht="14.4">
      <c r="B86" s="253" t="s">
        <v>963</v>
      </c>
      <c r="C86" s="254">
        <v>0.23499999999998522</v>
      </c>
      <c r="D86" s="254"/>
      <c r="E86" s="254">
        <v>0</v>
      </c>
      <c r="F86" s="267"/>
    </row>
    <row r="87" spans="2:6" ht="14.4">
      <c r="B87" s="253" t="s">
        <v>963</v>
      </c>
      <c r="C87" s="254">
        <v>0.26099999999999568</v>
      </c>
      <c r="D87" s="254"/>
      <c r="E87" s="254">
        <v>0</v>
      </c>
      <c r="F87" s="267"/>
    </row>
    <row r="88" spans="2:6" ht="14.4">
      <c r="B88" s="253" t="s">
        <v>963</v>
      </c>
      <c r="C88" s="254">
        <v>0.52600000000001046</v>
      </c>
      <c r="D88" s="254"/>
      <c r="E88" s="254">
        <v>0</v>
      </c>
      <c r="F88" s="267"/>
    </row>
    <row r="89" spans="2:6" ht="14.4">
      <c r="B89" s="253" t="s">
        <v>963</v>
      </c>
      <c r="C89" s="254">
        <v>0.38800000000000523</v>
      </c>
      <c r="D89" s="254"/>
      <c r="E89" s="254">
        <v>0</v>
      </c>
      <c r="F89" s="267"/>
    </row>
    <row r="90" spans="2:6" ht="14.4">
      <c r="B90" s="253" t="s">
        <v>963</v>
      </c>
      <c r="C90" s="254">
        <v>0.42300000000000182</v>
      </c>
      <c r="D90" s="254"/>
      <c r="E90" s="254">
        <v>0</v>
      </c>
      <c r="F90" s="267"/>
    </row>
    <row r="91" spans="2:6" ht="14.4">
      <c r="B91" s="253" t="s">
        <v>963</v>
      </c>
      <c r="C91" s="254">
        <v>0.71700000000001296</v>
      </c>
      <c r="D91" s="254"/>
      <c r="E91" s="254">
        <v>0</v>
      </c>
      <c r="F91" s="267"/>
    </row>
    <row r="92" spans="2:6" ht="14.4">
      <c r="B92" s="253" t="s">
        <v>963</v>
      </c>
      <c r="C92" s="254">
        <v>0.79499999999998749</v>
      </c>
      <c r="D92" s="254"/>
      <c r="E92" s="254">
        <v>0</v>
      </c>
      <c r="F92" s="267"/>
    </row>
    <row r="93" spans="2:6" ht="14.4">
      <c r="B93" s="253" t="s">
        <v>963</v>
      </c>
      <c r="C93" s="254">
        <v>0.42300000000000182</v>
      </c>
      <c r="D93" s="254"/>
      <c r="E93" s="254">
        <v>0</v>
      </c>
      <c r="F93" s="267"/>
    </row>
    <row r="94" spans="2:6" ht="14.4">
      <c r="B94" s="253" t="s">
        <v>964</v>
      </c>
      <c r="C94" s="254">
        <v>0.41700000000000159</v>
      </c>
      <c r="D94" s="254"/>
      <c r="E94" s="254">
        <v>0</v>
      </c>
      <c r="F94" s="267"/>
    </row>
    <row r="95" spans="2:6" ht="14.4">
      <c r="B95" s="253" t="s">
        <v>964</v>
      </c>
      <c r="C95" s="254"/>
      <c r="D95" s="254"/>
      <c r="E95" s="254">
        <v>126.00000000000477</v>
      </c>
      <c r="F95" s="267"/>
    </row>
    <row r="96" spans="2:6" ht="14.4">
      <c r="B96" s="253" t="s">
        <v>964</v>
      </c>
      <c r="C96" s="254">
        <v>6.2999999999988177E-2</v>
      </c>
      <c r="D96" s="254"/>
      <c r="E96" s="254">
        <v>0</v>
      </c>
      <c r="F96" s="267"/>
    </row>
    <row r="97" spans="2:6" ht="14.4">
      <c r="B97" s="253" t="s">
        <v>964</v>
      </c>
      <c r="C97" s="254">
        <v>8.2999999999998408E-2</v>
      </c>
      <c r="D97" s="254"/>
      <c r="E97" s="254">
        <v>0</v>
      </c>
      <c r="F97" s="267"/>
    </row>
    <row r="98" spans="2:6" ht="14.4">
      <c r="B98" s="253" t="s">
        <v>964</v>
      </c>
      <c r="C98" s="254">
        <v>7.8999999999979309E-2</v>
      </c>
      <c r="D98" s="254"/>
      <c r="E98" s="254">
        <v>0</v>
      </c>
      <c r="F98" s="267"/>
    </row>
    <row r="99" spans="2:6" ht="14.4">
      <c r="B99" s="253" t="s">
        <v>964</v>
      </c>
      <c r="C99" s="254">
        <v>0.77899999999999636</v>
      </c>
      <c r="D99" s="254"/>
      <c r="E99" s="254">
        <v>0</v>
      </c>
      <c r="F99" s="267"/>
    </row>
    <row r="100" spans="2:6" ht="14.4">
      <c r="B100" s="253" t="s">
        <v>964</v>
      </c>
      <c r="C100" s="254">
        <v>8.4000000000003183E-2</v>
      </c>
      <c r="D100" s="254"/>
      <c r="E100" s="254">
        <v>0</v>
      </c>
      <c r="F100" s="267"/>
    </row>
    <row r="101" spans="2:6" ht="14.4">
      <c r="B101" s="253" t="s">
        <v>964</v>
      </c>
      <c r="C101" s="254">
        <v>0.19999999999998863</v>
      </c>
      <c r="D101" s="254"/>
      <c r="E101" s="254">
        <v>0</v>
      </c>
      <c r="F101" s="267"/>
    </row>
    <row r="102" spans="2:6" ht="14.4">
      <c r="B102" s="253" t="s">
        <v>964</v>
      </c>
      <c r="C102" s="254">
        <v>8.1999999999993634E-2</v>
      </c>
      <c r="D102" s="254"/>
      <c r="E102" s="254">
        <v>0</v>
      </c>
      <c r="F102" s="267"/>
    </row>
    <row r="103" spans="2:6" ht="14.4">
      <c r="B103" s="253" t="s">
        <v>964</v>
      </c>
      <c r="C103" s="254">
        <v>0.21099999999998431</v>
      </c>
      <c r="D103" s="254"/>
      <c r="E103" s="254">
        <v>0</v>
      </c>
      <c r="F103" s="267"/>
    </row>
    <row r="104" spans="2:6" ht="14.4">
      <c r="B104" s="253" t="s">
        <v>964</v>
      </c>
      <c r="C104" s="254"/>
      <c r="D104" s="254"/>
      <c r="E104" s="254">
        <v>27.000000000015234</v>
      </c>
      <c r="F104" s="267"/>
    </row>
    <row r="105" spans="2:6" ht="14.4">
      <c r="B105" s="253" t="s">
        <v>964</v>
      </c>
      <c r="C105" s="254">
        <v>0.18500000000000227</v>
      </c>
      <c r="D105" s="254"/>
      <c r="E105" s="254">
        <v>0</v>
      </c>
      <c r="F105" s="267"/>
    </row>
    <row r="106" spans="2:6" ht="14.4">
      <c r="B106" s="253" t="s">
        <v>964</v>
      </c>
      <c r="C106" s="254">
        <v>0.59600000000000364</v>
      </c>
      <c r="D106" s="254"/>
      <c r="E106" s="254">
        <v>0</v>
      </c>
      <c r="F106" s="267"/>
    </row>
    <row r="107" spans="2:6" ht="14.4">
      <c r="B107" s="253" t="s">
        <v>965</v>
      </c>
      <c r="C107" s="254">
        <v>0.90500000000000114</v>
      </c>
      <c r="D107" s="254"/>
      <c r="E107" s="254">
        <v>0</v>
      </c>
      <c r="F107" s="267"/>
    </row>
    <row r="108" spans="2:6" ht="14.4">
      <c r="B108" s="253" t="s">
        <v>965</v>
      </c>
      <c r="C108" s="254">
        <v>0.40700000000001069</v>
      </c>
      <c r="D108" s="254"/>
      <c r="E108" s="254">
        <v>0</v>
      </c>
      <c r="F108" s="267"/>
    </row>
    <row r="109" spans="2:6" ht="14.4">
      <c r="B109" s="253" t="s">
        <v>965</v>
      </c>
      <c r="C109" s="254">
        <v>0.61299999999999955</v>
      </c>
      <c r="D109" s="254"/>
      <c r="E109" s="254">
        <v>0</v>
      </c>
      <c r="F109" s="267"/>
    </row>
    <row r="110" spans="2:6" ht="14.4">
      <c r="B110" s="253" t="s">
        <v>965</v>
      </c>
      <c r="C110" s="254">
        <v>0.29400000000001114</v>
      </c>
      <c r="D110" s="254"/>
      <c r="E110" s="254">
        <v>0</v>
      </c>
      <c r="F110" s="267"/>
    </row>
    <row r="111" spans="2:6" ht="14.4">
      <c r="B111" s="253" t="s">
        <v>965</v>
      </c>
      <c r="C111" s="254">
        <v>0.47800000000000864</v>
      </c>
      <c r="D111" s="254"/>
      <c r="E111" s="254">
        <v>0</v>
      </c>
      <c r="F111" s="267"/>
    </row>
    <row r="112" spans="2:6" ht="14.4">
      <c r="B112" s="253" t="s">
        <v>965</v>
      </c>
      <c r="C112" s="254">
        <v>0.43099999999998317</v>
      </c>
      <c r="D112" s="254"/>
      <c r="E112" s="254">
        <v>0</v>
      </c>
      <c r="F112" s="267"/>
    </row>
    <row r="113" spans="2:6" ht="14.4">
      <c r="B113" s="253" t="s">
        <v>965</v>
      </c>
      <c r="C113" s="254">
        <v>0.15800000000001546</v>
      </c>
      <c r="D113" s="254"/>
      <c r="E113" s="254">
        <v>0</v>
      </c>
      <c r="F113" s="267"/>
    </row>
    <row r="114" spans="2:6" ht="14.4">
      <c r="B114" s="253" t="s">
        <v>965</v>
      </c>
      <c r="C114" s="254">
        <v>0.10599999999999454</v>
      </c>
      <c r="D114" s="254"/>
      <c r="E114" s="254">
        <v>0</v>
      </c>
      <c r="F114" s="267"/>
    </row>
    <row r="115" spans="2:6" ht="14.4">
      <c r="B115" s="253" t="s">
        <v>965</v>
      </c>
      <c r="C115" s="254"/>
      <c r="D115" s="254"/>
      <c r="E115" s="254">
        <v>27.000000000015234</v>
      </c>
      <c r="F115" s="267"/>
    </row>
    <row r="116" spans="2:6" ht="14.4">
      <c r="B116" s="253" t="s">
        <v>965</v>
      </c>
      <c r="C116" s="254">
        <v>0.20099999999999341</v>
      </c>
      <c r="D116" s="254"/>
      <c r="E116" s="254">
        <v>0</v>
      </c>
      <c r="F116" s="267"/>
    </row>
    <row r="117" spans="2:6" ht="14.4">
      <c r="B117" s="253" t="s">
        <v>966</v>
      </c>
      <c r="C117" s="254">
        <v>0</v>
      </c>
      <c r="D117" s="254"/>
      <c r="E117" s="254">
        <v>0</v>
      </c>
      <c r="F117" s="267"/>
    </row>
    <row r="118" spans="2:6" ht="14.4">
      <c r="B118" s="253" t="s">
        <v>967</v>
      </c>
      <c r="C118" s="254">
        <v>0</v>
      </c>
      <c r="D118" s="254"/>
      <c r="E118" s="254">
        <v>0</v>
      </c>
      <c r="F118" s="267"/>
    </row>
    <row r="119" spans="2:6" ht="14.4">
      <c r="B119" s="253"/>
      <c r="C119" s="254"/>
      <c r="D119" s="254"/>
      <c r="E119" s="254">
        <v>0</v>
      </c>
      <c r="F119" s="267"/>
    </row>
    <row r="120" spans="2:6" ht="14.4">
      <c r="B120" s="253" t="s">
        <v>968</v>
      </c>
      <c r="C120" s="254">
        <v>4.2999999999999261E-2</v>
      </c>
      <c r="D120" s="254"/>
      <c r="E120" s="254">
        <v>0</v>
      </c>
      <c r="F120" s="267"/>
    </row>
    <row r="121" spans="2:6" ht="14.4">
      <c r="B121" s="253" t="s">
        <v>968</v>
      </c>
      <c r="C121" s="254"/>
      <c r="D121" s="254"/>
      <c r="E121" s="254">
        <v>10.000000000001563</v>
      </c>
      <c r="F121" s="267"/>
    </row>
    <row r="122" spans="2:6" ht="14.4">
      <c r="B122" s="253" t="s">
        <v>968</v>
      </c>
      <c r="C122" s="254">
        <v>2.2999999999999687E-2</v>
      </c>
      <c r="D122" s="254"/>
      <c r="E122" s="254">
        <v>0</v>
      </c>
      <c r="F122" s="267"/>
    </row>
    <row r="123" spans="2:6" ht="14.4">
      <c r="B123" s="253" t="s">
        <v>968</v>
      </c>
      <c r="C123" s="254">
        <v>3.6999999999999922E-2</v>
      </c>
      <c r="D123" s="254"/>
      <c r="E123" s="254">
        <v>0</v>
      </c>
      <c r="F123" s="267"/>
    </row>
    <row r="124" spans="2:6" ht="14.4">
      <c r="B124" s="253" t="s">
        <v>968</v>
      </c>
      <c r="C124" s="254"/>
      <c r="D124" s="254"/>
      <c r="E124" s="254">
        <v>9.9999999999997868</v>
      </c>
      <c r="F124" s="267"/>
    </row>
    <row r="125" spans="2:6" ht="14.4">
      <c r="B125" s="253" t="s">
        <v>968</v>
      </c>
      <c r="C125" s="254">
        <v>2.1000000000000796E-2</v>
      </c>
      <c r="D125" s="254"/>
      <c r="E125" s="254">
        <v>0</v>
      </c>
      <c r="F125" s="267"/>
    </row>
    <row r="126" spans="2:6" ht="14.4">
      <c r="B126" s="253" t="s">
        <v>968</v>
      </c>
      <c r="C126" s="254">
        <v>3.2999999999999474E-2</v>
      </c>
      <c r="D126" s="254"/>
      <c r="E126" s="254">
        <v>0</v>
      </c>
      <c r="F126" s="267"/>
    </row>
    <row r="127" spans="2:6" ht="14.4">
      <c r="B127" s="253" t="s">
        <v>968</v>
      </c>
      <c r="C127" s="254"/>
      <c r="D127" s="254"/>
      <c r="E127" s="254">
        <v>11.000000000000121</v>
      </c>
      <c r="F127" s="267"/>
    </row>
    <row r="128" spans="2:6" ht="14.4">
      <c r="B128" s="253" t="s">
        <v>968</v>
      </c>
      <c r="C128" s="254">
        <v>1.7000000000000348E-2</v>
      </c>
      <c r="D128" s="254"/>
      <c r="E128" s="254">
        <v>0</v>
      </c>
      <c r="F128" s="267"/>
    </row>
    <row r="129" spans="2:6" ht="14.4">
      <c r="B129" s="253" t="s">
        <v>968</v>
      </c>
      <c r="C129" s="254">
        <v>3.7999999999999812E-2</v>
      </c>
      <c r="D129" s="254"/>
      <c r="E129" s="254">
        <v>0</v>
      </c>
      <c r="F129" s="267"/>
    </row>
    <row r="130" spans="2:6" ht="14.4">
      <c r="B130" s="253" t="s">
        <v>968</v>
      </c>
      <c r="C130" s="254"/>
      <c r="D130" s="254"/>
      <c r="E130" s="254">
        <v>16.000000000000014</v>
      </c>
      <c r="F130" s="267"/>
    </row>
    <row r="131" spans="2:6" ht="14.4">
      <c r="B131" s="253" t="s">
        <v>968</v>
      </c>
      <c r="C131" s="254">
        <v>1.7000000000000348E-2</v>
      </c>
      <c r="D131" s="254"/>
      <c r="E131" s="254">
        <v>0</v>
      </c>
      <c r="F131" s="267"/>
    </row>
    <row r="132" spans="2:6" ht="14.4">
      <c r="B132" s="253" t="s">
        <v>968</v>
      </c>
      <c r="C132" s="254">
        <v>1.6000000000000014E-2</v>
      </c>
      <c r="D132" s="254"/>
      <c r="E132" s="254">
        <v>0</v>
      </c>
      <c r="F132" s="267"/>
    </row>
    <row r="133" spans="2:6" ht="14.4">
      <c r="B133" s="253" t="s">
        <v>968</v>
      </c>
      <c r="C133" s="254"/>
      <c r="D133" s="254"/>
      <c r="E133" s="254">
        <v>10.999999999999954</v>
      </c>
      <c r="F133" s="267"/>
    </row>
    <row r="134" spans="2:6" ht="14.4">
      <c r="B134" s="253" t="s">
        <v>968</v>
      </c>
      <c r="C134" s="254">
        <v>1.5000000000000013E-2</v>
      </c>
      <c r="D134" s="254"/>
      <c r="E134" s="254">
        <v>0</v>
      </c>
      <c r="F134" s="267"/>
    </row>
    <row r="135" spans="2:6" ht="14.4">
      <c r="B135" s="253" t="s">
        <v>969</v>
      </c>
      <c r="C135" s="254">
        <v>0.50699999999999079</v>
      </c>
      <c r="D135" s="254"/>
      <c r="E135" s="254">
        <v>0</v>
      </c>
      <c r="F135" s="267"/>
    </row>
    <row r="136" spans="2:6" ht="14.4">
      <c r="B136" s="253" t="s">
        <v>969</v>
      </c>
      <c r="C136" s="254">
        <v>0.23499999999999943</v>
      </c>
      <c r="D136" s="254"/>
      <c r="E136" s="254">
        <v>0</v>
      </c>
      <c r="F136" s="267"/>
    </row>
    <row r="137" spans="2:6" ht="14.4">
      <c r="B137" s="253" t="s">
        <v>969</v>
      </c>
      <c r="C137" s="254">
        <v>5.1000000000001933E-2</v>
      </c>
      <c r="D137" s="254"/>
      <c r="E137" s="254">
        <v>0</v>
      </c>
      <c r="F137" s="267"/>
    </row>
    <row r="138" spans="2:6" ht="14.4">
      <c r="B138" s="253" t="s">
        <v>969</v>
      </c>
      <c r="C138" s="254">
        <v>0.17200000000001125</v>
      </c>
      <c r="D138" s="254"/>
      <c r="E138" s="254">
        <v>0</v>
      </c>
      <c r="F138" s="267"/>
    </row>
    <row r="139" spans="2:6" ht="14.4">
      <c r="B139" s="253" t="s">
        <v>969</v>
      </c>
      <c r="C139" s="254">
        <v>5.499999999999261E-2</v>
      </c>
      <c r="D139" s="254"/>
      <c r="E139" s="254">
        <v>0</v>
      </c>
      <c r="F139" s="267"/>
    </row>
    <row r="140" spans="2:6" ht="14.4">
      <c r="B140" s="253" t="s">
        <v>969</v>
      </c>
      <c r="C140" s="254">
        <v>0.20000000000000284</v>
      </c>
      <c r="D140" s="254"/>
      <c r="E140" s="254">
        <v>0</v>
      </c>
      <c r="F140" s="267"/>
    </row>
    <row r="141" spans="2:6" ht="14.4">
      <c r="B141" s="253" t="s">
        <v>969</v>
      </c>
      <c r="C141" s="254">
        <v>0.11899999999999977</v>
      </c>
      <c r="D141" s="254"/>
      <c r="E141" s="254">
        <v>0</v>
      </c>
      <c r="F141" s="267"/>
    </row>
    <row r="142" spans="2:6" ht="14.4">
      <c r="B142" s="253" t="s">
        <v>969</v>
      </c>
      <c r="C142" s="254">
        <v>0.23700000000000898</v>
      </c>
      <c r="D142" s="254"/>
      <c r="E142" s="254">
        <v>0</v>
      </c>
      <c r="F142" s="267"/>
    </row>
    <row r="143" spans="2:6" ht="14.4">
      <c r="B143" s="253" t="s">
        <v>969</v>
      </c>
      <c r="C143" s="254">
        <v>0.125</v>
      </c>
      <c r="D143" s="254"/>
      <c r="E143" s="254">
        <v>0</v>
      </c>
      <c r="F143" s="267"/>
    </row>
    <row r="144" spans="2:6" ht="14.4">
      <c r="B144" s="253" t="s">
        <v>969</v>
      </c>
      <c r="C144" s="254">
        <v>0.12300000000000466</v>
      </c>
      <c r="D144" s="254"/>
      <c r="E144" s="254">
        <v>0</v>
      </c>
      <c r="F144" s="267"/>
    </row>
    <row r="145" spans="2:6" ht="14.4">
      <c r="B145" s="253" t="s">
        <v>969</v>
      </c>
      <c r="C145" s="254">
        <v>0.33100000000000307</v>
      </c>
      <c r="D145" s="254"/>
      <c r="E145" s="254">
        <v>0</v>
      </c>
      <c r="F145" s="267"/>
    </row>
    <row r="146" spans="2:6" ht="14.4">
      <c r="B146" s="253" t="s">
        <v>969</v>
      </c>
      <c r="C146" s="254">
        <v>0.2739999999999867</v>
      </c>
      <c r="D146" s="254"/>
      <c r="E146" s="254">
        <v>0</v>
      </c>
      <c r="F146" s="267"/>
    </row>
    <row r="147" spans="2:6" ht="14.4">
      <c r="B147" s="253" t="s">
        <v>969</v>
      </c>
      <c r="C147" s="254">
        <v>0.4719999999999942</v>
      </c>
      <c r="D147" s="254"/>
      <c r="E147" s="254">
        <v>0</v>
      </c>
      <c r="F147" s="267"/>
    </row>
    <row r="148" spans="2:6" ht="14.4">
      <c r="B148" s="253" t="s">
        <v>969</v>
      </c>
      <c r="C148" s="254">
        <v>6.2000000000011823E-2</v>
      </c>
      <c r="D148" s="254"/>
      <c r="E148" s="254">
        <v>0</v>
      </c>
      <c r="F148" s="267"/>
    </row>
    <row r="149" spans="2:6" ht="14.4">
      <c r="B149" s="253" t="s">
        <v>969</v>
      </c>
      <c r="C149" s="254">
        <v>0.21500000000000341</v>
      </c>
      <c r="D149" s="254"/>
      <c r="E149" s="254">
        <v>0</v>
      </c>
      <c r="F149" s="267"/>
    </row>
    <row r="150" spans="2:6" ht="14.4">
      <c r="B150" s="253" t="s">
        <v>969</v>
      </c>
      <c r="C150" s="254">
        <v>0.35499999999999687</v>
      </c>
      <c r="D150" s="254"/>
      <c r="E150" s="254">
        <v>0</v>
      </c>
      <c r="F150" s="267"/>
    </row>
    <row r="151" spans="2:6" ht="14.4">
      <c r="B151" s="253" t="s">
        <v>969</v>
      </c>
      <c r="C151" s="254">
        <v>0.20300000000000296</v>
      </c>
      <c r="D151" s="254"/>
      <c r="E151" s="254">
        <v>0</v>
      </c>
      <c r="F151" s="267"/>
    </row>
    <row r="152" spans="2:6" ht="14.4">
      <c r="B152" s="253" t="s">
        <v>969</v>
      </c>
      <c r="C152" s="254">
        <v>0.44900000000000517</v>
      </c>
      <c r="D152" s="254"/>
      <c r="E152" s="254">
        <v>0</v>
      </c>
      <c r="F152" s="267"/>
    </row>
    <row r="153" spans="2:6" ht="14.4">
      <c r="B153" s="253" t="s">
        <v>969</v>
      </c>
      <c r="C153" s="254">
        <v>0.20299999999999585</v>
      </c>
      <c r="D153" s="254"/>
      <c r="E153" s="254">
        <v>0</v>
      </c>
      <c r="F153" s="267"/>
    </row>
    <row r="154" spans="2:6" ht="14.4">
      <c r="B154" s="253" t="s">
        <v>969</v>
      </c>
      <c r="C154" s="254">
        <v>0.25</v>
      </c>
      <c r="D154" s="254"/>
      <c r="E154" s="254">
        <v>0</v>
      </c>
      <c r="F154" s="267"/>
    </row>
    <row r="155" spans="2:6" ht="14.4">
      <c r="B155" s="253" t="s">
        <v>969</v>
      </c>
      <c r="C155" s="254">
        <v>0.12400000000000233</v>
      </c>
      <c r="D155" s="254"/>
      <c r="E155" s="254">
        <v>0</v>
      </c>
      <c r="F155" s="267"/>
    </row>
    <row r="156" spans="2:6" ht="14.4">
      <c r="B156" s="253" t="s">
        <v>969</v>
      </c>
      <c r="C156" s="254">
        <v>0.32000000000000028</v>
      </c>
      <c r="D156" s="254"/>
      <c r="E156" s="254">
        <v>0</v>
      </c>
      <c r="F156" s="267"/>
    </row>
    <row r="157" spans="2:6" ht="14.4">
      <c r="B157" s="253" t="s">
        <v>969</v>
      </c>
      <c r="C157" s="254">
        <v>0.27700000000000102</v>
      </c>
      <c r="D157" s="254"/>
      <c r="E157" s="254">
        <v>0</v>
      </c>
      <c r="F157" s="267"/>
    </row>
    <row r="158" spans="2:6" ht="14.4">
      <c r="B158" s="253" t="s">
        <v>969</v>
      </c>
      <c r="C158" s="254">
        <v>0.88600000000000279</v>
      </c>
      <c r="D158" s="254"/>
      <c r="E158" s="254">
        <v>0</v>
      </c>
      <c r="F158" s="267"/>
    </row>
    <row r="159" spans="2:6" ht="14.4">
      <c r="B159" s="253" t="s">
        <v>969</v>
      </c>
      <c r="C159" s="254">
        <v>1.019999999999996</v>
      </c>
      <c r="D159" s="254"/>
      <c r="E159" s="254">
        <v>0</v>
      </c>
      <c r="F159" s="267"/>
    </row>
    <row r="160" spans="2:6" ht="14.4">
      <c r="B160" s="253" t="s">
        <v>969</v>
      </c>
      <c r="C160" s="254">
        <v>0.18400000000000105</v>
      </c>
      <c r="D160" s="254"/>
      <c r="E160" s="254">
        <v>0</v>
      </c>
      <c r="F160" s="267"/>
    </row>
    <row r="161" spans="2:6" ht="14.4">
      <c r="B161" s="253" t="s">
        <v>969</v>
      </c>
      <c r="C161" s="254">
        <v>0.52699999999999747</v>
      </c>
      <c r="D161" s="254"/>
      <c r="E161" s="254">
        <v>0</v>
      </c>
      <c r="F161" s="267"/>
    </row>
    <row r="162" spans="2:6" ht="14.4">
      <c r="B162" s="253" t="s">
        <v>969</v>
      </c>
      <c r="C162" s="254">
        <v>0.41900000000000048</v>
      </c>
      <c r="D162" s="254"/>
      <c r="E162" s="254">
        <v>0</v>
      </c>
      <c r="F162" s="267"/>
    </row>
    <row r="163" spans="2:6" ht="14.4">
      <c r="B163" s="253" t="s">
        <v>969</v>
      </c>
      <c r="C163" s="254">
        <v>0.27799999999999869</v>
      </c>
      <c r="D163" s="254"/>
      <c r="E163" s="254">
        <v>0</v>
      </c>
      <c r="F163" s="267"/>
    </row>
    <row r="164" spans="2:6" ht="14.4">
      <c r="B164" s="253" t="s">
        <v>969</v>
      </c>
      <c r="C164" s="254">
        <v>0.45700000000000074</v>
      </c>
      <c r="D164" s="254"/>
      <c r="E164" s="254">
        <v>0</v>
      </c>
      <c r="F164" s="267"/>
    </row>
    <row r="165" spans="2:6" ht="14.4">
      <c r="B165" s="253" t="s">
        <v>969</v>
      </c>
      <c r="C165" s="254">
        <v>7.4999999999999289E-2</v>
      </c>
      <c r="D165" s="254"/>
      <c r="E165" s="254">
        <v>0</v>
      </c>
      <c r="F165" s="267"/>
    </row>
    <row r="166" spans="2:6" ht="14.4">
      <c r="B166" s="253" t="s">
        <v>970</v>
      </c>
      <c r="C166" s="254">
        <v>5.1000000000016144E-2</v>
      </c>
      <c r="D166" s="254"/>
      <c r="E166" s="254">
        <v>0</v>
      </c>
      <c r="F166" s="267"/>
    </row>
    <row r="167" spans="2:6" ht="14.4">
      <c r="B167" s="253" t="s">
        <v>970</v>
      </c>
      <c r="C167" s="254">
        <v>0.125</v>
      </c>
      <c r="D167" s="254"/>
      <c r="E167" s="254">
        <v>0</v>
      </c>
      <c r="F167" s="267"/>
    </row>
    <row r="168" spans="2:6" ht="14.4">
      <c r="B168" s="253" t="s">
        <v>970</v>
      </c>
      <c r="C168" s="254">
        <v>0.61400000000000432</v>
      </c>
      <c r="D168" s="254"/>
      <c r="E168" s="254">
        <v>0</v>
      </c>
      <c r="F168" s="267"/>
    </row>
    <row r="169" spans="2:6" ht="14.4">
      <c r="B169" s="253" t="s">
        <v>970</v>
      </c>
      <c r="C169" s="254">
        <v>5.0000000000011369E-2</v>
      </c>
      <c r="D169" s="254"/>
      <c r="E169" s="254">
        <v>0</v>
      </c>
      <c r="F169" s="267"/>
    </row>
    <row r="170" spans="2:6" ht="14.4">
      <c r="B170" s="253" t="s">
        <v>970</v>
      </c>
      <c r="C170" s="254">
        <v>0.13899999999998158</v>
      </c>
      <c r="D170" s="254"/>
      <c r="E170" s="254">
        <v>0</v>
      </c>
      <c r="F170" s="267"/>
    </row>
    <row r="171" spans="2:6" ht="14.4">
      <c r="B171" s="253" t="s">
        <v>970</v>
      </c>
      <c r="C171" s="254">
        <v>5.1000000000001933E-2</v>
      </c>
      <c r="D171" s="254"/>
      <c r="E171" s="254">
        <v>0</v>
      </c>
      <c r="F171" s="267"/>
    </row>
    <row r="172" spans="2:6" ht="14.4">
      <c r="B172" s="253" t="s">
        <v>970</v>
      </c>
      <c r="C172" s="254">
        <v>0.42500000000001137</v>
      </c>
      <c r="D172" s="254"/>
      <c r="E172" s="254">
        <v>0</v>
      </c>
      <c r="F172" s="267"/>
    </row>
    <row r="173" spans="2:6" ht="14.4">
      <c r="B173" s="253" t="s">
        <v>970</v>
      </c>
      <c r="C173" s="254">
        <v>8.5999999999998522E-2</v>
      </c>
      <c r="D173" s="254"/>
      <c r="E173" s="254">
        <v>0</v>
      </c>
      <c r="F173" s="267"/>
    </row>
    <row r="174" spans="2:6" ht="14.4">
      <c r="B174" s="253" t="s">
        <v>970</v>
      </c>
      <c r="C174" s="254"/>
      <c r="D174" s="254"/>
      <c r="E174" s="254">
        <v>28.000000000005798</v>
      </c>
      <c r="F174" s="267"/>
    </row>
    <row r="175" spans="2:6" ht="14.4">
      <c r="B175" s="253" t="s">
        <v>970</v>
      </c>
      <c r="C175" s="254">
        <v>0.50699999999999079</v>
      </c>
      <c r="D175" s="254"/>
      <c r="E175" s="254">
        <v>0</v>
      </c>
      <c r="F175" s="267"/>
    </row>
    <row r="176" spans="2:6" ht="14.4">
      <c r="B176" s="253" t="s">
        <v>971</v>
      </c>
      <c r="C176" s="254">
        <v>0.40699999999998226</v>
      </c>
      <c r="D176" s="254"/>
      <c r="E176" s="254">
        <v>0</v>
      </c>
      <c r="F176" s="267"/>
    </row>
    <row r="177" spans="2:6" ht="14.4">
      <c r="B177" s="253" t="s">
        <v>971</v>
      </c>
      <c r="C177" s="254">
        <v>0.71999999999999886</v>
      </c>
      <c r="D177" s="254"/>
      <c r="E177" s="254">
        <v>0</v>
      </c>
      <c r="F177" s="267"/>
    </row>
    <row r="178" spans="2:6" ht="14.4">
      <c r="B178" s="253" t="s">
        <v>971</v>
      </c>
      <c r="C178" s="254">
        <v>0.25200000000000955</v>
      </c>
      <c r="D178" s="254"/>
      <c r="E178" s="254">
        <v>0</v>
      </c>
      <c r="F178" s="267"/>
    </row>
    <row r="179" spans="2:6" ht="14.4">
      <c r="B179" s="253" t="s">
        <v>971</v>
      </c>
      <c r="C179" s="254">
        <v>0.45900000000000318</v>
      </c>
      <c r="D179" s="254"/>
      <c r="E179" s="254">
        <v>0</v>
      </c>
      <c r="F179" s="267"/>
    </row>
    <row r="180" spans="2:6" ht="14.4">
      <c r="B180" s="253" t="s">
        <v>971</v>
      </c>
      <c r="C180" s="254">
        <v>0.26200000000000045</v>
      </c>
      <c r="D180" s="254"/>
      <c r="E180" s="254">
        <v>0</v>
      </c>
      <c r="F180" s="267"/>
    </row>
    <row r="181" spans="2:6" ht="14.4">
      <c r="B181" s="253" t="s">
        <v>971</v>
      </c>
      <c r="C181" s="254">
        <v>0.26399999999998158</v>
      </c>
      <c r="D181" s="254"/>
      <c r="E181" s="254">
        <v>0</v>
      </c>
      <c r="F181" s="267"/>
    </row>
    <row r="182" spans="2:6" ht="14.4">
      <c r="B182" s="253" t="s">
        <v>971</v>
      </c>
      <c r="C182" s="254">
        <v>0.23199999999999932</v>
      </c>
      <c r="D182" s="254"/>
      <c r="E182" s="254">
        <v>0</v>
      </c>
      <c r="F182" s="267"/>
    </row>
    <row r="183" spans="2:6" ht="14.4">
      <c r="B183" s="253" t="s">
        <v>971</v>
      </c>
      <c r="C183" s="254">
        <v>7.9999999999984084E-2</v>
      </c>
      <c r="D183" s="254"/>
      <c r="E183" s="254">
        <v>0</v>
      </c>
      <c r="F183" s="267"/>
    </row>
    <row r="184" spans="2:6" ht="14.4">
      <c r="B184" s="253" t="s">
        <v>971</v>
      </c>
      <c r="C184" s="254">
        <v>0.49499999999997613</v>
      </c>
      <c r="D184" s="254"/>
      <c r="E184" s="254">
        <v>0</v>
      </c>
      <c r="F184" s="267"/>
    </row>
    <row r="185" spans="2:6" ht="14.4">
      <c r="B185" s="253" t="s">
        <v>971</v>
      </c>
      <c r="C185" s="254">
        <v>0.98399999999998045</v>
      </c>
      <c r="D185" s="254"/>
      <c r="E185" s="254">
        <v>0</v>
      </c>
      <c r="F185" s="267"/>
    </row>
    <row r="186" spans="2:6" ht="14.4">
      <c r="B186" s="253" t="s">
        <v>971</v>
      </c>
      <c r="C186" s="254">
        <v>0.91700000000000159</v>
      </c>
      <c r="D186" s="254"/>
      <c r="E186" s="254">
        <v>0</v>
      </c>
      <c r="F186" s="267"/>
    </row>
    <row r="187" spans="2:6" ht="14.4">
      <c r="B187" s="253" t="s">
        <v>971</v>
      </c>
      <c r="C187" s="254">
        <v>0.40599999999997749</v>
      </c>
      <c r="D187" s="254"/>
      <c r="E187" s="254">
        <v>0</v>
      </c>
      <c r="F187" s="267"/>
    </row>
    <row r="188" spans="2:6" ht="14.4">
      <c r="B188" s="253" t="s">
        <v>971</v>
      </c>
      <c r="C188" s="254">
        <v>0.46399999999999864</v>
      </c>
      <c r="D188" s="254"/>
      <c r="E188" s="254">
        <v>0</v>
      </c>
      <c r="F188" s="267"/>
    </row>
    <row r="189" spans="2:6" ht="14.4">
      <c r="B189" s="253" t="s">
        <v>971</v>
      </c>
      <c r="C189" s="254">
        <v>0.60099999999999909</v>
      </c>
      <c r="D189" s="254"/>
      <c r="E189" s="254">
        <v>0</v>
      </c>
      <c r="F189" s="267"/>
    </row>
    <row r="190" spans="2:6" ht="14.4">
      <c r="B190" s="253" t="s">
        <v>971</v>
      </c>
      <c r="C190" s="254">
        <v>0.22400000000001796</v>
      </c>
      <c r="D190" s="254"/>
      <c r="E190" s="254">
        <v>0</v>
      </c>
      <c r="F190" s="267"/>
    </row>
    <row r="191" spans="2:6" ht="14.4">
      <c r="B191" s="253" t="s">
        <v>971</v>
      </c>
      <c r="C191" s="254">
        <v>0.15899999999999181</v>
      </c>
      <c r="D191" s="254"/>
      <c r="E191" s="254">
        <v>0</v>
      </c>
      <c r="F191" s="267"/>
    </row>
    <row r="192" spans="2:6" ht="14.4">
      <c r="B192" s="253" t="s">
        <v>971</v>
      </c>
      <c r="C192" s="254">
        <v>0.60699999999999932</v>
      </c>
      <c r="D192" s="254"/>
      <c r="E192" s="254">
        <v>0</v>
      </c>
      <c r="F192" s="267"/>
    </row>
    <row r="193" spans="2:6" ht="14.4">
      <c r="B193" s="253" t="s">
        <v>971</v>
      </c>
      <c r="C193" s="254">
        <v>0</v>
      </c>
      <c r="D193" s="254"/>
      <c r="E193" s="254">
        <v>0</v>
      </c>
      <c r="F193" s="267"/>
    </row>
    <row r="194" spans="2:6" ht="14.4">
      <c r="B194" s="253" t="s">
        <v>971</v>
      </c>
      <c r="C194" s="254">
        <v>0</v>
      </c>
      <c r="D194" s="254"/>
      <c r="E194" s="254">
        <v>0</v>
      </c>
      <c r="F194" s="267"/>
    </row>
    <row r="195" spans="2:6" ht="14.4">
      <c r="B195" s="253" t="s">
        <v>971</v>
      </c>
      <c r="C195" s="254">
        <v>0</v>
      </c>
      <c r="D195" s="254"/>
      <c r="E195" s="254">
        <v>0</v>
      </c>
      <c r="F195" s="267"/>
    </row>
    <row r="196" spans="2:6" ht="14.4">
      <c r="B196" s="253" t="s">
        <v>971</v>
      </c>
      <c r="C196" s="254">
        <v>0</v>
      </c>
      <c r="D196" s="254"/>
      <c r="E196" s="254">
        <v>0</v>
      </c>
      <c r="F196" s="267"/>
    </row>
    <row r="197" spans="2:6" ht="14.4">
      <c r="B197" s="253" t="s">
        <v>972</v>
      </c>
      <c r="C197" s="254">
        <v>0.37000000000000455</v>
      </c>
      <c r="D197" s="254"/>
      <c r="E197" s="254">
        <v>0</v>
      </c>
      <c r="F197" s="267"/>
    </row>
    <row r="198" spans="2:6" ht="14.4">
      <c r="B198" s="253" t="s">
        <v>972</v>
      </c>
      <c r="C198" s="254">
        <v>0.18500000000000227</v>
      </c>
      <c r="D198" s="254"/>
      <c r="E198" s="254">
        <v>0</v>
      </c>
      <c r="F198" s="267"/>
    </row>
    <row r="199" spans="2:6" ht="14.4">
      <c r="B199" s="253" t="s">
        <v>972</v>
      </c>
      <c r="C199" s="254"/>
      <c r="D199" s="254"/>
      <c r="E199" s="254">
        <v>27.000000000015234</v>
      </c>
      <c r="F199" s="267"/>
    </row>
    <row r="200" spans="2:6" ht="14.4">
      <c r="B200" s="253" t="s">
        <v>972</v>
      </c>
      <c r="C200" s="254">
        <v>0.20399999999997931</v>
      </c>
      <c r="D200" s="254"/>
      <c r="E200" s="254">
        <v>0</v>
      </c>
      <c r="F200" s="267"/>
    </row>
    <row r="201" spans="2:6" ht="14.4">
      <c r="B201" s="253" t="s">
        <v>972</v>
      </c>
      <c r="C201" s="254">
        <v>7.8000000000002956E-2</v>
      </c>
      <c r="D201" s="254"/>
      <c r="E201" s="254">
        <v>0</v>
      </c>
      <c r="F201" s="267"/>
    </row>
    <row r="202" spans="2:6" ht="14.4">
      <c r="B202" s="253" t="s">
        <v>972</v>
      </c>
      <c r="C202" s="254">
        <v>0.46500000000000341</v>
      </c>
      <c r="D202" s="254"/>
      <c r="E202" s="254">
        <v>0</v>
      </c>
      <c r="F202" s="267"/>
    </row>
    <row r="203" spans="2:6" ht="14.4">
      <c r="B203" s="253" t="s">
        <v>972</v>
      </c>
      <c r="C203" s="254">
        <v>0.2020000000000266</v>
      </c>
      <c r="D203" s="254"/>
      <c r="E203" s="254">
        <v>0</v>
      </c>
      <c r="F203" s="267"/>
    </row>
    <row r="204" spans="2:6" ht="14.4">
      <c r="B204" s="253" t="s">
        <v>972</v>
      </c>
      <c r="C204" s="254">
        <v>8.0999999999988859E-2</v>
      </c>
      <c r="D204" s="254"/>
      <c r="E204" s="254">
        <v>0</v>
      </c>
      <c r="F204" s="267"/>
    </row>
    <row r="205" spans="2:6" ht="14.4">
      <c r="B205" s="253" t="s">
        <v>972</v>
      </c>
      <c r="C205" s="254">
        <v>8.4000000000003183E-2</v>
      </c>
      <c r="D205" s="254"/>
      <c r="E205" s="254">
        <v>0</v>
      </c>
      <c r="F205" s="267"/>
    </row>
    <row r="206" spans="2:6" ht="14.4">
      <c r="B206" s="253" t="s">
        <v>972</v>
      </c>
      <c r="C206" s="254">
        <v>8.2999999999998408E-2</v>
      </c>
      <c r="D206" s="254"/>
      <c r="E206" s="254">
        <v>0</v>
      </c>
      <c r="F206" s="267"/>
    </row>
    <row r="207" spans="2:6" ht="14.4">
      <c r="B207" s="253" t="s">
        <v>972</v>
      </c>
      <c r="C207" s="254">
        <v>6.7999999999983629E-2</v>
      </c>
      <c r="D207" s="254"/>
      <c r="E207" s="254">
        <v>0</v>
      </c>
      <c r="F207" s="267"/>
    </row>
    <row r="208" spans="2:6" ht="14.4">
      <c r="B208" s="253" t="s">
        <v>972</v>
      </c>
      <c r="C208" s="254"/>
      <c r="D208" s="254"/>
      <c r="E208" s="254">
        <v>127.00000000000955</v>
      </c>
      <c r="F208" s="267"/>
    </row>
    <row r="209" spans="2:6" ht="14.4">
      <c r="B209" s="253" t="s">
        <v>972</v>
      </c>
      <c r="C209" s="254">
        <v>0.40699999999998226</v>
      </c>
      <c r="D209" s="254"/>
      <c r="E209" s="254">
        <v>0</v>
      </c>
      <c r="F209" s="267"/>
    </row>
    <row r="210" spans="2:6" ht="14.4">
      <c r="B210" s="253" t="s">
        <v>973</v>
      </c>
      <c r="C210" s="254">
        <v>0.20099999999999341</v>
      </c>
      <c r="D210" s="254"/>
      <c r="E210" s="254">
        <v>0</v>
      </c>
      <c r="F210" s="267"/>
    </row>
    <row r="211" spans="2:6" ht="14.4">
      <c r="B211" s="253" t="s">
        <v>973</v>
      </c>
      <c r="C211" s="254"/>
      <c r="D211" s="254"/>
      <c r="E211" s="254">
        <v>36.000000000001364</v>
      </c>
      <c r="F211" s="267"/>
    </row>
    <row r="212" spans="2:6" ht="14.4">
      <c r="B212" s="253" t="s">
        <v>973</v>
      </c>
      <c r="C212" s="254">
        <v>9.3999999999994088E-2</v>
      </c>
      <c r="D212" s="254"/>
      <c r="E212" s="254">
        <v>0</v>
      </c>
      <c r="F212" s="267"/>
    </row>
    <row r="213" spans="2:6" ht="14.4">
      <c r="B213" s="253" t="s">
        <v>973</v>
      </c>
      <c r="C213" s="254">
        <v>0.47399999999998954</v>
      </c>
      <c r="D213" s="254"/>
      <c r="E213" s="254">
        <v>0</v>
      </c>
      <c r="F213" s="267"/>
    </row>
    <row r="214" spans="2:6" ht="14.4">
      <c r="B214" s="253" t="s">
        <v>973</v>
      </c>
      <c r="C214" s="254">
        <v>0.29899999999997817</v>
      </c>
      <c r="D214" s="254"/>
      <c r="E214" s="254">
        <v>0</v>
      </c>
      <c r="F214" s="267"/>
    </row>
    <row r="215" spans="2:6" ht="14.4">
      <c r="B215" s="253" t="s">
        <v>973</v>
      </c>
      <c r="C215" s="254">
        <v>0.41399999999998727</v>
      </c>
      <c r="D215" s="254"/>
      <c r="E215" s="254">
        <v>0</v>
      </c>
      <c r="F215" s="267"/>
    </row>
    <row r="216" spans="2:6" ht="14.4">
      <c r="B216" s="253" t="s">
        <v>973</v>
      </c>
      <c r="C216" s="254">
        <v>0.61500000000000909</v>
      </c>
      <c r="D216" s="254"/>
      <c r="E216" s="254">
        <v>0</v>
      </c>
      <c r="F216" s="267"/>
    </row>
    <row r="217" spans="2:6" ht="14.4">
      <c r="B217" s="253" t="s">
        <v>973</v>
      </c>
      <c r="C217" s="254">
        <v>0</v>
      </c>
      <c r="D217" s="254"/>
      <c r="E217" s="254">
        <v>0</v>
      </c>
      <c r="F217" s="267"/>
    </row>
    <row r="218" spans="2:6" ht="14.4">
      <c r="B218" s="253" t="s">
        <v>973</v>
      </c>
      <c r="C218" s="254">
        <v>0</v>
      </c>
      <c r="D218" s="254"/>
      <c r="E218" s="254">
        <v>0</v>
      </c>
      <c r="F218" s="267"/>
    </row>
    <row r="219" spans="2:6" ht="14.4">
      <c r="B219" s="253" t="s">
        <v>973</v>
      </c>
      <c r="C219" s="254">
        <v>0</v>
      </c>
      <c r="D219" s="254"/>
      <c r="E219" s="254">
        <v>0</v>
      </c>
      <c r="F219" s="267"/>
    </row>
    <row r="220" spans="2:6" ht="14.4">
      <c r="B220" s="253" t="s">
        <v>974</v>
      </c>
      <c r="C220" s="254">
        <v>0</v>
      </c>
      <c r="D220" s="254"/>
      <c r="E220" s="254">
        <v>0</v>
      </c>
      <c r="F220" s="267"/>
    </row>
    <row r="221" spans="2:6" ht="14.4">
      <c r="B221" s="253" t="s">
        <v>975</v>
      </c>
      <c r="C221" s="254">
        <v>0</v>
      </c>
      <c r="D221" s="254"/>
      <c r="E221" s="254">
        <v>0</v>
      </c>
      <c r="F221" s="267"/>
    </row>
    <row r="222" spans="2:6" ht="14.4">
      <c r="B222" s="253"/>
      <c r="C222" s="254"/>
      <c r="D222" s="254"/>
      <c r="E222" s="254"/>
    </row>
    <row r="223" spans="2:6" ht="14.4">
      <c r="C223" s="255">
        <f>(SUM(C17:C222)/1)</f>
        <v>50.132599999999755</v>
      </c>
      <c r="D223" s="255">
        <f>SUM(D17:D222)</f>
        <v>0</v>
      </c>
      <c r="E223" s="255">
        <f>SUM(E17:E222)</f>
        <v>537.00000000005957</v>
      </c>
    </row>
    <row r="224" spans="2:6" ht="14.4">
      <c r="C224" s="62" t="s">
        <v>826</v>
      </c>
      <c r="D224" s="62" t="s">
        <v>123</v>
      </c>
      <c r="E224" s="62" t="s">
        <v>976</v>
      </c>
    </row>
  </sheetData>
  <mergeCells count="7">
    <mergeCell ref="B15:E15"/>
    <mergeCell ref="B7:E7"/>
    <mergeCell ref="B8:E8"/>
    <mergeCell ref="B9:E9"/>
    <mergeCell ref="B11:E11"/>
    <mergeCell ref="B12:E12"/>
    <mergeCell ref="B13:E13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EB67-6998-416F-9E2D-549C9828DA68}">
  <sheetPr>
    <tabColor rgb="FF00B050"/>
  </sheetPr>
  <dimension ref="B1:N34"/>
  <sheetViews>
    <sheetView showGridLines="0" zoomScale="80" zoomScaleNormal="80" workbookViewId="0"/>
  </sheetViews>
  <sheetFormatPr defaultRowHeight="13.8"/>
  <cols>
    <col min="1" max="1" width="5.375" customWidth="1"/>
    <col min="2" max="2" width="13.125" bestFit="1" customWidth="1"/>
    <col min="3" max="3" width="62.125" bestFit="1" customWidth="1"/>
    <col min="4" max="8" width="12.625" customWidth="1"/>
    <col min="9" max="11" width="12.625" style="65" customWidth="1"/>
    <col min="12" max="12" width="57.125" customWidth="1"/>
  </cols>
  <sheetData>
    <row r="1" spans="2:12" s="1" customFormat="1" ht="18">
      <c r="B1" s="103"/>
      <c r="C1" s="104"/>
    </row>
    <row r="2" spans="2:12" s="1" customFormat="1">
      <c r="C2" s="34"/>
    </row>
    <row r="3" spans="2:12" s="1" customFormat="1">
      <c r="C3" s="34"/>
      <c r="F3"/>
    </row>
    <row r="4" spans="2:12" s="1" customFormat="1">
      <c r="C4" s="34"/>
      <c r="F4"/>
    </row>
    <row r="5" spans="2:12" s="1" customFormat="1">
      <c r="B5" s="105"/>
      <c r="C5" s="106"/>
      <c r="D5" s="105"/>
      <c r="E5" s="105"/>
      <c r="F5"/>
    </row>
    <row r="6" spans="2:12" s="1" customFormat="1">
      <c r="C6" s="34"/>
    </row>
    <row r="7" spans="2:12" s="1" customFormat="1" ht="49.95" customHeight="1">
      <c r="B7" s="359" t="s">
        <v>0</v>
      </c>
      <c r="C7" s="360"/>
      <c r="D7" s="360"/>
      <c r="E7" s="361"/>
    </row>
    <row r="8" spans="2:12" s="1" customFormat="1" ht="15.6">
      <c r="B8" s="406" t="s">
        <v>1</v>
      </c>
      <c r="C8" s="407"/>
      <c r="D8" s="407"/>
      <c r="E8" s="408"/>
    </row>
    <row r="9" spans="2:12" s="1" customFormat="1" ht="15.6">
      <c r="B9" s="409" t="s">
        <v>2</v>
      </c>
      <c r="C9" s="410"/>
      <c r="D9" s="410"/>
      <c r="E9" s="411"/>
    </row>
    <row r="10" spans="2:12" s="1" customFormat="1" ht="15.6">
      <c r="B10" s="256"/>
      <c r="C10" s="256"/>
      <c r="D10" s="256"/>
    </row>
    <row r="11" spans="2:12" s="1" customFormat="1" ht="18" customHeight="1">
      <c r="B11" s="412" t="s">
        <v>977</v>
      </c>
      <c r="C11" s="413"/>
      <c r="D11" s="413"/>
      <c r="E11" s="414"/>
    </row>
    <row r="12" spans="2:12" s="1" customFormat="1" ht="18" customHeight="1">
      <c r="B12" s="415" t="s">
        <v>1016</v>
      </c>
      <c r="C12" s="416"/>
      <c r="D12" s="416"/>
      <c r="E12" s="417"/>
    </row>
    <row r="13" spans="2:12" s="1" customFormat="1" ht="18" customHeight="1">
      <c r="B13" s="418" t="s">
        <v>4</v>
      </c>
      <c r="C13" s="419"/>
      <c r="D13" s="419"/>
      <c r="E13" s="420"/>
    </row>
    <row r="14" spans="2:12" s="257" customFormat="1" ht="13.2"/>
    <row r="15" spans="2:12" ht="14.4">
      <c r="B15" s="421" t="s">
        <v>978</v>
      </c>
      <c r="C15" s="422"/>
      <c r="D15" s="422"/>
      <c r="E15" s="422"/>
      <c r="F15" s="422"/>
      <c r="G15" s="422"/>
      <c r="H15" s="422"/>
      <c r="I15" s="422"/>
      <c r="J15" s="422"/>
      <c r="K15" s="422"/>
      <c r="L15" s="423"/>
    </row>
    <row r="16" spans="2:12" ht="28.8">
      <c r="B16" s="398" t="s">
        <v>979</v>
      </c>
      <c r="C16" s="398" t="s">
        <v>980</v>
      </c>
      <c r="D16" s="258" t="s">
        <v>981</v>
      </c>
      <c r="E16" s="258" t="s">
        <v>982</v>
      </c>
      <c r="F16" s="258" t="s">
        <v>983</v>
      </c>
      <c r="G16" s="258" t="s">
        <v>984</v>
      </c>
      <c r="H16" s="258" t="s">
        <v>985</v>
      </c>
      <c r="I16" s="424" t="s">
        <v>986</v>
      </c>
      <c r="J16" s="424" t="s">
        <v>987</v>
      </c>
      <c r="K16" s="424" t="s">
        <v>988</v>
      </c>
      <c r="L16" s="426" t="s">
        <v>989</v>
      </c>
    </row>
    <row r="17" spans="2:14" ht="14.4">
      <c r="B17" s="399"/>
      <c r="C17" s="399"/>
      <c r="D17" s="258" t="s">
        <v>990</v>
      </c>
      <c r="E17" s="258" t="s">
        <v>991</v>
      </c>
      <c r="F17" s="258" t="s">
        <v>990</v>
      </c>
      <c r="G17" s="258" t="s">
        <v>990</v>
      </c>
      <c r="H17" s="258" t="s">
        <v>991</v>
      </c>
      <c r="I17" s="425"/>
      <c r="J17" s="425"/>
      <c r="K17" s="425"/>
      <c r="L17" s="427"/>
    </row>
    <row r="18" spans="2:14" ht="14.4">
      <c r="B18" s="63" t="s">
        <v>992</v>
      </c>
      <c r="C18" s="63" t="s">
        <v>993</v>
      </c>
      <c r="D18" s="64">
        <v>15</v>
      </c>
      <c r="E18" s="64">
        <f>D18*G18</f>
        <v>195</v>
      </c>
      <c r="F18" s="101"/>
      <c r="G18" s="64">
        <v>13</v>
      </c>
      <c r="H18" s="64"/>
      <c r="I18" s="259"/>
      <c r="J18" s="259"/>
      <c r="K18" s="259"/>
      <c r="L18" s="63"/>
      <c r="N18" s="9"/>
    </row>
    <row r="19" spans="2:14" ht="14.4">
      <c r="B19" s="63" t="s">
        <v>992</v>
      </c>
      <c r="C19" s="63" t="s">
        <v>994</v>
      </c>
      <c r="D19" s="64">
        <v>15</v>
      </c>
      <c r="E19" s="64">
        <f t="shared" ref="E19:E26" si="0">D19*G19</f>
        <v>112.5</v>
      </c>
      <c r="F19" s="101"/>
      <c r="G19" s="64">
        <v>7.5</v>
      </c>
      <c r="H19" s="64"/>
      <c r="I19" s="259"/>
      <c r="J19" s="259"/>
      <c r="K19" s="259"/>
      <c r="L19" s="63"/>
      <c r="N19" s="9"/>
    </row>
    <row r="20" spans="2:14" ht="14.4">
      <c r="B20" s="63" t="s">
        <v>992</v>
      </c>
      <c r="C20" s="63" t="s">
        <v>995</v>
      </c>
      <c r="D20" s="64">
        <v>15</v>
      </c>
      <c r="E20" s="64">
        <f t="shared" si="0"/>
        <v>112.5</v>
      </c>
      <c r="F20" s="101"/>
      <c r="G20" s="64">
        <v>7.5</v>
      </c>
      <c r="H20" s="64"/>
      <c r="I20" s="259"/>
      <c r="J20" s="259"/>
      <c r="K20" s="259"/>
      <c r="L20" s="63"/>
      <c r="N20" s="9"/>
    </row>
    <row r="21" spans="2:14" ht="14.4">
      <c r="B21" s="63" t="s">
        <v>992</v>
      </c>
      <c r="C21" s="63" t="s">
        <v>996</v>
      </c>
      <c r="D21" s="64">
        <v>10</v>
      </c>
      <c r="E21" s="64">
        <f t="shared" si="0"/>
        <v>74</v>
      </c>
      <c r="F21" s="101"/>
      <c r="G21" s="64">
        <v>7.4</v>
      </c>
      <c r="H21" s="64"/>
      <c r="I21" s="259"/>
      <c r="J21" s="259"/>
      <c r="K21" s="259"/>
      <c r="L21" s="63"/>
      <c r="N21" s="9"/>
    </row>
    <row r="22" spans="2:14" ht="14.4">
      <c r="B22" s="63" t="s">
        <v>992</v>
      </c>
      <c r="C22" s="63" t="s">
        <v>997</v>
      </c>
      <c r="D22" s="64">
        <v>10</v>
      </c>
      <c r="E22" s="64">
        <f t="shared" si="0"/>
        <v>133</v>
      </c>
      <c r="F22" s="101"/>
      <c r="G22" s="64">
        <v>13.3</v>
      </c>
      <c r="H22" s="64"/>
      <c r="I22" s="259"/>
      <c r="J22" s="259"/>
      <c r="K22" s="259"/>
      <c r="L22" s="63"/>
      <c r="N22" s="9"/>
    </row>
    <row r="23" spans="2:14" ht="14.4">
      <c r="B23" s="63" t="s">
        <v>998</v>
      </c>
      <c r="C23" s="63" t="s">
        <v>999</v>
      </c>
      <c r="D23" s="64">
        <v>30</v>
      </c>
      <c r="E23" s="64">
        <f t="shared" si="0"/>
        <v>285</v>
      </c>
      <c r="F23" s="101"/>
      <c r="G23" s="64">
        <v>9.5</v>
      </c>
      <c r="H23" s="64"/>
      <c r="I23" s="259"/>
      <c r="J23" s="259"/>
      <c r="K23" s="259"/>
      <c r="L23" s="63"/>
      <c r="N23" s="9"/>
    </row>
    <row r="24" spans="2:14" ht="14.4">
      <c r="B24" s="63" t="s">
        <v>1000</v>
      </c>
      <c r="C24" s="63" t="s">
        <v>1001</v>
      </c>
      <c r="D24" s="64">
        <v>130</v>
      </c>
      <c r="E24" s="64">
        <f t="shared" si="0"/>
        <v>1794</v>
      </c>
      <c r="F24" s="101"/>
      <c r="G24" s="64">
        <v>13.8</v>
      </c>
      <c r="H24" s="64"/>
      <c r="I24" s="259"/>
      <c r="J24" s="259"/>
      <c r="K24" s="259"/>
      <c r="L24" s="63"/>
      <c r="N24" s="9"/>
    </row>
    <row r="25" spans="2:14" ht="14.4">
      <c r="B25" s="63" t="s">
        <v>1002</v>
      </c>
      <c r="C25" s="63" t="s">
        <v>1003</v>
      </c>
      <c r="D25" s="64">
        <v>30</v>
      </c>
      <c r="E25" s="64">
        <f t="shared" si="0"/>
        <v>312</v>
      </c>
      <c r="F25" s="101"/>
      <c r="G25" s="64">
        <v>10.4</v>
      </c>
      <c r="H25" s="64"/>
      <c r="I25" s="259"/>
      <c r="J25" s="259"/>
      <c r="K25" s="259"/>
      <c r="L25" s="63"/>
      <c r="N25" s="9"/>
    </row>
    <row r="26" spans="2:14" ht="14.4">
      <c r="B26" s="63" t="s">
        <v>1004</v>
      </c>
      <c r="C26" s="63" t="s">
        <v>1005</v>
      </c>
      <c r="D26" s="64">
        <v>30</v>
      </c>
      <c r="E26" s="64">
        <f t="shared" si="0"/>
        <v>318</v>
      </c>
      <c r="F26" s="101"/>
      <c r="G26" s="64">
        <v>10.6</v>
      </c>
      <c r="H26" s="64"/>
      <c r="I26" s="259"/>
      <c r="J26" s="259"/>
      <c r="K26" s="259"/>
      <c r="L26" s="63"/>
      <c r="N26" s="9"/>
    </row>
    <row r="27" spans="2:14" ht="14.4">
      <c r="B27" s="337"/>
      <c r="C27" s="260" t="s">
        <v>1006</v>
      </c>
      <c r="D27" s="261">
        <f>SUM(D18:D26)</f>
        <v>285</v>
      </c>
      <c r="E27" s="262">
        <f>SUM(E18:E26)</f>
        <v>3336</v>
      </c>
      <c r="F27" s="263"/>
      <c r="G27" s="263"/>
      <c r="H27" s="263"/>
      <c r="I27" s="338"/>
      <c r="J27" s="338"/>
      <c r="K27" s="338"/>
      <c r="L27" s="337"/>
    </row>
    <row r="28" spans="2:14" ht="14.4">
      <c r="B28" s="322"/>
      <c r="C28" s="322"/>
      <c r="D28" s="322"/>
      <c r="E28" s="322"/>
      <c r="F28" s="322"/>
      <c r="G28" s="322"/>
      <c r="H28" s="322"/>
      <c r="I28" s="339"/>
      <c r="J28" s="339"/>
      <c r="K28" s="339"/>
      <c r="L28" s="322"/>
    </row>
    <row r="29" spans="2:14" ht="14.4">
      <c r="B29" s="322"/>
      <c r="C29" s="322" t="s">
        <v>1007</v>
      </c>
      <c r="D29" s="322"/>
      <c r="E29" s="322"/>
      <c r="F29" s="322"/>
      <c r="G29" s="322"/>
      <c r="H29" s="322"/>
      <c r="I29" s="339"/>
      <c r="J29" s="339"/>
      <c r="K29" s="339"/>
      <c r="L29" s="322"/>
    </row>
    <row r="30" spans="2:14" ht="14.4">
      <c r="B30" s="322"/>
      <c r="C30" s="323" t="s">
        <v>1008</v>
      </c>
      <c r="D30" s="340">
        <f>D27/30</f>
        <v>9.5</v>
      </c>
      <c r="E30" s="322"/>
      <c r="F30" s="322"/>
      <c r="G30" s="322"/>
      <c r="H30" s="322"/>
      <c r="I30" s="339"/>
      <c r="J30" s="339"/>
      <c r="K30" s="339"/>
      <c r="L30" s="322"/>
    </row>
    <row r="31" spans="2:14" ht="14.4">
      <c r="B31" s="322"/>
      <c r="C31" s="322"/>
      <c r="D31" s="322"/>
      <c r="E31" s="322"/>
      <c r="F31" s="322"/>
      <c r="G31" s="322"/>
      <c r="H31" s="322"/>
      <c r="I31" s="339"/>
      <c r="J31" s="339"/>
      <c r="K31" s="339"/>
      <c r="L31" s="322"/>
    </row>
    <row r="32" spans="2:14" ht="14.4">
      <c r="B32" s="322"/>
      <c r="C32" s="323" t="s">
        <v>1009</v>
      </c>
      <c r="D32" s="341">
        <v>14</v>
      </c>
      <c r="E32" s="322"/>
      <c r="F32" s="322"/>
      <c r="G32" s="322"/>
      <c r="H32" s="322"/>
      <c r="I32" s="339"/>
      <c r="J32" s="339"/>
      <c r="K32" s="339"/>
      <c r="L32" s="322"/>
    </row>
    <row r="33" spans="2:12" ht="14.4">
      <c r="B33" s="322"/>
      <c r="C33" s="322"/>
      <c r="D33" s="322"/>
      <c r="E33" s="322"/>
      <c r="F33" s="322"/>
      <c r="G33" s="322"/>
      <c r="H33" s="322"/>
      <c r="I33" s="339"/>
      <c r="J33" s="339"/>
      <c r="K33" s="339"/>
      <c r="L33" s="322"/>
    </row>
    <row r="34" spans="2:12" ht="14.4">
      <c r="B34" s="322"/>
      <c r="C34" s="264" t="s">
        <v>1010</v>
      </c>
      <c r="D34" s="265">
        <f>D30*D32</f>
        <v>133</v>
      </c>
      <c r="E34" s="322"/>
      <c r="F34" s="322"/>
      <c r="G34" s="322"/>
      <c r="H34" s="322"/>
      <c r="I34" s="339"/>
      <c r="J34" s="339"/>
      <c r="K34" s="339"/>
      <c r="L34" s="322"/>
    </row>
  </sheetData>
  <mergeCells count="13">
    <mergeCell ref="B13:E13"/>
    <mergeCell ref="B15:L15"/>
    <mergeCell ref="B16:B17"/>
    <mergeCell ref="C16:C17"/>
    <mergeCell ref="I16:I17"/>
    <mergeCell ref="J16:J17"/>
    <mergeCell ref="K16:K17"/>
    <mergeCell ref="L16:L17"/>
    <mergeCell ref="B7:E7"/>
    <mergeCell ref="B8:E8"/>
    <mergeCell ref="B9:E9"/>
    <mergeCell ref="B11:E11"/>
    <mergeCell ref="B12:E12"/>
  </mergeCells>
  <phoneticPr fontId="72" type="noConversion"/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E992-EEFE-4201-8324-2420D4A87DE7}">
  <sheetPr>
    <tabColor rgb="FF00B050"/>
  </sheetPr>
  <dimension ref="B1:F34"/>
  <sheetViews>
    <sheetView showGridLines="0" zoomScale="80" zoomScaleNormal="80" workbookViewId="0"/>
  </sheetViews>
  <sheetFormatPr defaultColWidth="9.875" defaultRowHeight="15.6"/>
  <cols>
    <col min="1" max="1" width="3.625" customWidth="1"/>
    <col min="2" max="2" width="102" style="182" bestFit="1" customWidth="1"/>
    <col min="3" max="3" width="12.75" style="182" bestFit="1" customWidth="1"/>
    <col min="4" max="4" width="20.75" style="182" customWidth="1"/>
    <col min="5" max="5" width="17.625" style="182" customWidth="1"/>
    <col min="6" max="6" width="19.125" style="182" bestFit="1" customWidth="1"/>
  </cols>
  <sheetData>
    <row r="1" spans="2:6" s="1" customFormat="1" ht="18">
      <c r="B1" s="103"/>
      <c r="C1" s="104"/>
    </row>
    <row r="2" spans="2:6" s="1" customFormat="1" ht="13.8">
      <c r="C2" s="34"/>
    </row>
    <row r="3" spans="2:6" s="1" customFormat="1" ht="13.8">
      <c r="C3" s="34"/>
      <c r="F3"/>
    </row>
    <row r="4" spans="2:6" s="1" customFormat="1" ht="13.8">
      <c r="C4" s="34"/>
      <c r="F4"/>
    </row>
    <row r="5" spans="2:6" s="1" customFormat="1" ht="13.8">
      <c r="B5" s="144"/>
      <c r="C5" s="145"/>
      <c r="D5" s="144"/>
    </row>
    <row r="6" spans="2:6" s="1" customFormat="1" ht="13.8">
      <c r="C6" s="34"/>
    </row>
    <row r="7" spans="2:6" s="1" customFormat="1">
      <c r="B7" s="359" t="s">
        <v>0</v>
      </c>
      <c r="C7" s="360"/>
      <c r="D7" s="361"/>
    </row>
    <row r="8" spans="2:6" s="1" customFormat="1">
      <c r="B8" s="107" t="s">
        <v>1</v>
      </c>
      <c r="C8" s="108"/>
      <c r="D8" s="109"/>
    </row>
    <row r="9" spans="2:6" s="1" customFormat="1">
      <c r="B9" s="110" t="s">
        <v>2</v>
      </c>
      <c r="C9" s="111"/>
      <c r="D9" s="112"/>
    </row>
    <row r="10" spans="2:6" s="1" customFormat="1">
      <c r="B10" s="113"/>
      <c r="C10" s="114"/>
      <c r="D10" s="113"/>
    </row>
    <row r="11" spans="2:6" s="1" customFormat="1" ht="18">
      <c r="B11" s="115" t="s">
        <v>10</v>
      </c>
      <c r="C11" s="116"/>
      <c r="D11" s="117"/>
    </row>
    <row r="12" spans="2:6" s="1" customFormat="1" ht="18">
      <c r="B12" s="118" t="s">
        <v>1016</v>
      </c>
      <c r="C12" s="119"/>
      <c r="D12" s="120"/>
    </row>
    <row r="13" spans="2:6" s="1" customFormat="1" ht="18">
      <c r="B13" s="121" t="s">
        <v>4</v>
      </c>
      <c r="C13" s="122"/>
      <c r="D13" s="123"/>
    </row>
    <row r="15" spans="2:6" ht="14.4">
      <c r="B15" s="146" t="s">
        <v>11</v>
      </c>
      <c r="C15" s="147"/>
      <c r="D15" s="148"/>
      <c r="E15" s="149" t="s">
        <v>12</v>
      </c>
      <c r="F15" s="149" t="s">
        <v>13</v>
      </c>
    </row>
    <row r="16" spans="2:6" ht="13.8">
      <c r="B16" s="150" t="s">
        <v>14</v>
      </c>
      <c r="C16" s="151">
        <f>F16</f>
        <v>6.1570410962807604E-2</v>
      </c>
      <c r="D16" s="152" t="s">
        <v>15</v>
      </c>
      <c r="E16" s="153">
        <v>4.87E-2</v>
      </c>
      <c r="F16" s="153">
        <f>F33/E33*E16</f>
        <v>6.1570410962807604E-2</v>
      </c>
    </row>
    <row r="17" spans="2:6" ht="13.8">
      <c r="B17" s="154" t="s">
        <v>16</v>
      </c>
      <c r="C17" s="155"/>
      <c r="D17" s="156" t="s">
        <v>17</v>
      </c>
      <c r="E17" s="157">
        <v>8.0000000000000002E-3</v>
      </c>
      <c r="F17" s="157">
        <f>F$33/E$33*E17</f>
        <v>1.0114235887114185E-2</v>
      </c>
    </row>
    <row r="18" spans="2:6" ht="13.8">
      <c r="B18" s="154" t="s">
        <v>18</v>
      </c>
      <c r="C18" s="155">
        <f>E18</f>
        <v>2.5000000000000001E-3</v>
      </c>
      <c r="D18" s="158" t="s">
        <v>19</v>
      </c>
      <c r="E18" s="153">
        <v>2.5000000000000001E-3</v>
      </c>
      <c r="F18" s="153">
        <f>F$33/E$33*E18</f>
        <v>3.160698714723183E-3</v>
      </c>
    </row>
    <row r="19" spans="2:6" ht="13.8">
      <c r="B19" s="154" t="s">
        <v>20</v>
      </c>
      <c r="C19" s="155">
        <f>E19</f>
        <v>5.0000000000000001E-3</v>
      </c>
      <c r="D19" s="158" t="s">
        <v>21</v>
      </c>
      <c r="E19" s="159">
        <v>5.0000000000000001E-3</v>
      </c>
      <c r="F19" s="159">
        <f>F$33/E$33*E19</f>
        <v>6.3213974294463659E-3</v>
      </c>
    </row>
    <row r="20" spans="2:6" ht="14.4">
      <c r="B20" s="160"/>
      <c r="C20" s="161"/>
      <c r="D20" s="162" t="s">
        <v>22</v>
      </c>
      <c r="E20" s="163">
        <f>SUM(E16:E19)</f>
        <v>6.4200000000000007E-2</v>
      </c>
      <c r="F20" s="163">
        <f>F$33/E$33*E20</f>
        <v>8.1166742994091351E-2</v>
      </c>
    </row>
    <row r="21" spans="2:6" ht="14.4">
      <c r="B21" s="146" t="s">
        <v>23</v>
      </c>
      <c r="C21" s="147"/>
      <c r="D21" s="148"/>
      <c r="E21" s="149" t="s">
        <v>12</v>
      </c>
      <c r="F21" s="149" t="s">
        <v>13</v>
      </c>
    </row>
    <row r="22" spans="2:6" ht="13.8">
      <c r="B22" s="154" t="s">
        <v>23</v>
      </c>
      <c r="C22" s="155">
        <f>F22</f>
        <v>7.1937502747099646E-2</v>
      </c>
      <c r="D22" s="158" t="s">
        <v>24</v>
      </c>
      <c r="E22" s="159">
        <v>5.6899999999999999E-2</v>
      </c>
      <c r="F22" s="159">
        <f>F33/E33*E22</f>
        <v>7.1937502747099646E-2</v>
      </c>
    </row>
    <row r="23" spans="2:6" ht="14.4">
      <c r="B23" s="164"/>
      <c r="C23" s="161"/>
      <c r="D23" s="162" t="s">
        <v>22</v>
      </c>
      <c r="E23" s="163">
        <f>SUM(E22:E22)</f>
        <v>5.6899999999999999E-2</v>
      </c>
      <c r="F23" s="163">
        <f>SUM(F22:F22)</f>
        <v>7.1937502747099646E-2</v>
      </c>
    </row>
    <row r="24" spans="2:6" ht="14.4">
      <c r="B24" s="165" t="s">
        <v>25</v>
      </c>
      <c r="C24" s="166"/>
      <c r="D24" s="167"/>
      <c r="E24" s="168">
        <f>E23+E20</f>
        <v>0.12110000000000001</v>
      </c>
      <c r="F24" s="168">
        <f>F23+F20</f>
        <v>0.153104245741191</v>
      </c>
    </row>
    <row r="25" spans="2:6" ht="14.4">
      <c r="B25" s="146" t="s">
        <v>26</v>
      </c>
      <c r="C25" s="147"/>
      <c r="D25" s="148"/>
      <c r="E25" s="149" t="s">
        <v>12</v>
      </c>
      <c r="F25" s="149" t="s">
        <v>13</v>
      </c>
    </row>
    <row r="26" spans="2:6" ht="13.8">
      <c r="B26" s="154" t="s">
        <v>27</v>
      </c>
      <c r="C26" s="155">
        <f>E26</f>
        <v>6.4999999999999997E-3</v>
      </c>
      <c r="D26" s="158" t="s">
        <v>28</v>
      </c>
      <c r="E26" s="157">
        <v>6.4999999999999997E-3</v>
      </c>
      <c r="F26" s="157">
        <f>F$33/E$33*E26</f>
        <v>8.2178166582802751E-3</v>
      </c>
    </row>
    <row r="27" spans="2:6" ht="13.8">
      <c r="B27" s="154" t="s">
        <v>29</v>
      </c>
      <c r="C27" s="155">
        <f>E27</f>
        <v>0.03</v>
      </c>
      <c r="D27" s="158" t="s">
        <v>28</v>
      </c>
      <c r="E27" s="157">
        <v>0.03</v>
      </c>
      <c r="F27" s="157">
        <f>F$33/E$33*E27</f>
        <v>3.7928384576678194E-2</v>
      </c>
    </row>
    <row r="28" spans="2:6" ht="13.8">
      <c r="B28" s="154" t="s">
        <v>30</v>
      </c>
      <c r="C28" s="155">
        <f>E28</f>
        <v>5.1610070203705838E-2</v>
      </c>
      <c r="D28" s="158" t="s">
        <v>28</v>
      </c>
      <c r="E28" s="169">
        <f>'[1]Planilha Alíquota Municipal'!$O$13</f>
        <v>5.1610070203705838E-2</v>
      </c>
      <c r="F28" s="170">
        <f>F$33/E$33*E28</f>
        <v>6.5249553023850507E-2</v>
      </c>
    </row>
    <row r="29" spans="2:6" ht="14.4">
      <c r="B29" s="164"/>
      <c r="C29" s="161"/>
      <c r="D29" s="162" t="s">
        <v>22</v>
      </c>
      <c r="E29" s="163">
        <f>SUM(E26:E28)</f>
        <v>8.8110070203705843E-2</v>
      </c>
      <c r="F29" s="163">
        <f>SUM(F26:F28)</f>
        <v>0.11139575425880897</v>
      </c>
    </row>
    <row r="30" spans="2:6" ht="14.4">
      <c r="B30" s="154" t="s">
        <v>31</v>
      </c>
      <c r="C30" s="171"/>
      <c r="D30" s="158"/>
      <c r="E30" s="172">
        <f>E29+E24</f>
        <v>0.20921007020370586</v>
      </c>
      <c r="F30" s="172">
        <f>F29+F24</f>
        <v>0.26449999999999996</v>
      </c>
    </row>
    <row r="31" spans="2:6" ht="13.8">
      <c r="B31" s="154" t="s">
        <v>32</v>
      </c>
      <c r="C31" s="171"/>
      <c r="D31" s="158"/>
      <c r="E31" s="157">
        <f>E32-E30</f>
        <v>0.79078992979629414</v>
      </c>
      <c r="F31" s="157"/>
    </row>
    <row r="32" spans="2:6" ht="14.4">
      <c r="B32" s="173"/>
      <c r="C32" s="174"/>
      <c r="D32" s="175"/>
      <c r="E32" s="176">
        <v>1</v>
      </c>
      <c r="F32" s="157"/>
    </row>
    <row r="33" spans="2:6" ht="14.4">
      <c r="B33" s="177" t="s">
        <v>33</v>
      </c>
      <c r="C33" s="178"/>
      <c r="D33" s="179"/>
      <c r="E33" s="180">
        <f>E30</f>
        <v>0.20921007020370586</v>
      </c>
      <c r="F33" s="180">
        <f>TRUNC((1/(1-E33)-1),4)</f>
        <v>0.26450000000000001</v>
      </c>
    </row>
    <row r="34" spans="2:6" ht="14.4">
      <c r="B34" s="177" t="s">
        <v>34</v>
      </c>
      <c r="C34" s="178"/>
      <c r="D34" s="179"/>
      <c r="E34" s="181"/>
      <c r="F34" s="180">
        <v>0.15</v>
      </c>
    </row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6A2BF-C3C4-4764-B975-8E8E4D1BAD5F}">
  <sheetPr>
    <tabColor rgb="FF00B050"/>
  </sheetPr>
  <dimension ref="B1:AM42"/>
  <sheetViews>
    <sheetView showGridLines="0" tabSelected="1" zoomScale="80" zoomScaleNormal="80" workbookViewId="0"/>
  </sheetViews>
  <sheetFormatPr defaultColWidth="10" defaultRowHeight="13.8"/>
  <cols>
    <col min="1" max="1" width="3.625" style="1" customWidth="1"/>
    <col min="2" max="2" width="10.25" style="1" customWidth="1"/>
    <col min="3" max="3" width="76.75" style="1" customWidth="1"/>
    <col min="4" max="4" width="17.625" style="1" customWidth="1"/>
    <col min="5" max="5" width="7.125" style="1" customWidth="1"/>
    <col min="6" max="6" width="15.375" style="1" customWidth="1"/>
    <col min="7" max="7" width="15.25" style="1" bestFit="1" customWidth="1"/>
    <col min="8" max="33" width="14.375" style="1" bestFit="1" customWidth="1"/>
    <col min="34" max="34" width="15.75" style="1" bestFit="1" customWidth="1"/>
    <col min="35" max="35" width="14.375" style="1" bestFit="1" customWidth="1"/>
    <col min="36" max="36" width="17.25" style="1" customWidth="1"/>
    <col min="37" max="37" width="10" style="1"/>
    <col min="38" max="38" width="16.875" style="1" bestFit="1" customWidth="1"/>
    <col min="39" max="39" width="16.875" style="1" customWidth="1"/>
    <col min="40" max="16384" width="10" style="1"/>
  </cols>
  <sheetData>
    <row r="1" spans="2:36" ht="18">
      <c r="B1" s="103"/>
      <c r="C1" s="104"/>
    </row>
    <row r="2" spans="2:36">
      <c r="C2" s="34"/>
    </row>
    <row r="3" spans="2:36">
      <c r="C3" s="34"/>
      <c r="F3"/>
    </row>
    <row r="4" spans="2:36">
      <c r="C4" s="34"/>
      <c r="F4"/>
    </row>
    <row r="5" spans="2:36">
      <c r="B5" s="105"/>
      <c r="C5" s="106"/>
      <c r="D5" s="105"/>
    </row>
    <row r="6" spans="2:36">
      <c r="C6" s="34"/>
    </row>
    <row r="7" spans="2:36" ht="49.95" customHeight="1">
      <c r="B7" s="359" t="s">
        <v>0</v>
      </c>
      <c r="C7" s="360"/>
      <c r="D7" s="361"/>
    </row>
    <row r="8" spans="2:36" ht="15.6">
      <c r="B8" s="107" t="s">
        <v>1</v>
      </c>
      <c r="C8" s="108"/>
      <c r="D8" s="109"/>
    </row>
    <row r="9" spans="2:36" ht="15.6">
      <c r="B9" s="110" t="s">
        <v>2</v>
      </c>
      <c r="C9" s="111"/>
      <c r="D9" s="112"/>
    </row>
    <row r="10" spans="2:36" ht="15.6">
      <c r="B10" s="113"/>
      <c r="C10" s="114"/>
      <c r="D10" s="113"/>
    </row>
    <row r="11" spans="2:36" ht="18">
      <c r="B11" s="115" t="s">
        <v>35</v>
      </c>
      <c r="C11" s="116"/>
      <c r="D11" s="117"/>
    </row>
    <row r="12" spans="2:36" ht="18">
      <c r="B12" s="118" t="s">
        <v>1016</v>
      </c>
      <c r="C12" s="119"/>
      <c r="D12" s="120"/>
    </row>
    <row r="13" spans="2:36" ht="18">
      <c r="B13" s="121" t="s">
        <v>4</v>
      </c>
      <c r="C13" s="122"/>
      <c r="D13" s="123"/>
    </row>
    <row r="14" spans="2:36">
      <c r="C14" s="34"/>
    </row>
    <row r="15" spans="2:36" ht="13.95" customHeight="1">
      <c r="B15" s="363" t="s">
        <v>36</v>
      </c>
      <c r="C15" s="363" t="s">
        <v>37</v>
      </c>
      <c r="D15" s="183" t="s">
        <v>38</v>
      </c>
      <c r="E15" s="184" t="s">
        <v>39</v>
      </c>
      <c r="F15" s="365" t="s">
        <v>40</v>
      </c>
      <c r="G15" s="365" t="s">
        <v>41</v>
      </c>
      <c r="H15" s="365" t="s">
        <v>42</v>
      </c>
      <c r="I15" s="365" t="s">
        <v>43</v>
      </c>
      <c r="J15" s="365" t="s">
        <v>44</v>
      </c>
      <c r="K15" s="365" t="s">
        <v>45</v>
      </c>
      <c r="L15" s="362" t="s">
        <v>46</v>
      </c>
      <c r="M15" s="362" t="s">
        <v>47</v>
      </c>
      <c r="N15" s="362" t="s">
        <v>48</v>
      </c>
      <c r="O15" s="362" t="s">
        <v>49</v>
      </c>
      <c r="P15" s="362" t="s">
        <v>50</v>
      </c>
      <c r="Q15" s="362" t="s">
        <v>51</v>
      </c>
      <c r="R15" s="362" t="s">
        <v>52</v>
      </c>
      <c r="S15" s="362" t="s">
        <v>53</v>
      </c>
      <c r="T15" s="362" t="s">
        <v>54</v>
      </c>
      <c r="U15" s="362" t="s">
        <v>55</v>
      </c>
      <c r="V15" s="362" t="s">
        <v>56</v>
      </c>
      <c r="W15" s="362" t="s">
        <v>57</v>
      </c>
      <c r="X15" s="362" t="s">
        <v>58</v>
      </c>
      <c r="Y15" s="362" t="s">
        <v>59</v>
      </c>
      <c r="Z15" s="362" t="s">
        <v>60</v>
      </c>
      <c r="AA15" s="362" t="s">
        <v>61</v>
      </c>
      <c r="AB15" s="362" t="s">
        <v>62</v>
      </c>
      <c r="AC15" s="362" t="s">
        <v>63</v>
      </c>
      <c r="AD15" s="362" t="s">
        <v>64</v>
      </c>
      <c r="AE15" s="362" t="s">
        <v>65</v>
      </c>
      <c r="AF15" s="362" t="s">
        <v>66</v>
      </c>
      <c r="AG15" s="362" t="s">
        <v>67</v>
      </c>
      <c r="AH15" s="362" t="s">
        <v>68</v>
      </c>
      <c r="AI15" s="362" t="s">
        <v>69</v>
      </c>
      <c r="AJ15" s="367" t="s">
        <v>70</v>
      </c>
    </row>
    <row r="16" spans="2:36">
      <c r="B16" s="364"/>
      <c r="C16" s="364"/>
      <c r="D16" s="183" t="s">
        <v>71</v>
      </c>
      <c r="E16" s="184" t="s">
        <v>71</v>
      </c>
      <c r="F16" s="366"/>
      <c r="G16" s="366"/>
      <c r="H16" s="366"/>
      <c r="I16" s="366"/>
      <c r="J16" s="366"/>
      <c r="K16" s="366"/>
      <c r="L16" s="362"/>
      <c r="M16" s="362"/>
      <c r="N16" s="362"/>
      <c r="O16" s="362"/>
      <c r="P16" s="362"/>
      <c r="Q16" s="362"/>
      <c r="R16" s="362"/>
      <c r="S16" s="362"/>
      <c r="T16" s="362"/>
      <c r="U16" s="362"/>
      <c r="V16" s="362"/>
      <c r="W16" s="362"/>
      <c r="X16" s="362"/>
      <c r="Y16" s="362"/>
      <c r="Z16" s="362"/>
      <c r="AA16" s="362"/>
      <c r="AB16" s="362"/>
      <c r="AC16" s="362"/>
      <c r="AD16" s="362"/>
      <c r="AE16" s="362"/>
      <c r="AF16" s="362"/>
      <c r="AG16" s="362"/>
      <c r="AH16" s="362"/>
      <c r="AI16" s="362"/>
      <c r="AJ16" s="367"/>
    </row>
    <row r="17" spans="2:36" ht="18">
      <c r="B17" s="185" t="s">
        <v>72</v>
      </c>
      <c r="C17" s="186" t="s">
        <v>73</v>
      </c>
      <c r="D17" s="187"/>
      <c r="E17" s="187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7"/>
      <c r="AE17" s="187"/>
      <c r="AF17" s="187"/>
      <c r="AG17" s="187"/>
      <c r="AH17" s="187"/>
      <c r="AI17" s="187"/>
      <c r="AJ17" s="189"/>
    </row>
    <row r="18" spans="2:36" ht="13.95" customHeight="1">
      <c r="B18" s="368" t="s">
        <v>74</v>
      </c>
      <c r="C18" s="369" t="str">
        <f>+CONCATENATE("Programa - ",'MC Conservação Rotina'!C17)</f>
        <v>Programa - PAVIMENTO</v>
      </c>
      <c r="D18" s="370">
        <f>'MC Conservação Rotina'!AJ82</f>
        <v>49524610.468693197</v>
      </c>
      <c r="E18" s="190" t="s">
        <v>39</v>
      </c>
      <c r="F18" s="79">
        <f>+F19/$D18</f>
        <v>0</v>
      </c>
      <c r="G18" s="80">
        <f t="shared" ref="G18:AI18" si="0">+G19/$D18</f>
        <v>2.35312276953135E-2</v>
      </c>
      <c r="H18" s="80">
        <f t="shared" si="0"/>
        <v>2.5111975931015332E-2</v>
      </c>
      <c r="I18" s="80">
        <f t="shared" si="0"/>
        <v>2.6692724166717155E-2</v>
      </c>
      <c r="J18" s="80">
        <f t="shared" si="0"/>
        <v>2.8273472402418991E-2</v>
      </c>
      <c r="K18" s="80">
        <f t="shared" si="0"/>
        <v>3.0586053504216049E-2</v>
      </c>
      <c r="L18" s="80">
        <f t="shared" si="0"/>
        <v>3.1510373611302565E-2</v>
      </c>
      <c r="M18" s="80">
        <f t="shared" si="0"/>
        <v>3.3121275789308277E-2</v>
      </c>
      <c r="N18" s="80">
        <f t="shared" si="0"/>
        <v>3.3741373387877478E-2</v>
      </c>
      <c r="O18" s="80">
        <f t="shared" si="0"/>
        <v>3.3801681272485243E-2</v>
      </c>
      <c r="P18" s="80">
        <f t="shared" si="0"/>
        <v>3.3831835214789122E-2</v>
      </c>
      <c r="Q18" s="80">
        <f t="shared" si="0"/>
        <v>3.42190913608518E-2</v>
      </c>
      <c r="R18" s="80">
        <f t="shared" si="0"/>
        <v>3.4279399245459578E-2</v>
      </c>
      <c r="S18" s="80">
        <f t="shared" si="0"/>
        <v>3.4726539132765744E-2</v>
      </c>
      <c r="T18" s="80">
        <f t="shared" si="0"/>
        <v>3.4726539132765744E-2</v>
      </c>
      <c r="U18" s="80">
        <f t="shared" si="0"/>
        <v>3.4756693075069629E-2</v>
      </c>
      <c r="V18" s="80">
        <f t="shared" si="0"/>
        <v>3.4756693075069629E-2</v>
      </c>
      <c r="W18" s="80">
        <f t="shared" si="0"/>
        <v>3.4756693075069629E-2</v>
      </c>
      <c r="X18" s="80">
        <f t="shared" si="0"/>
        <v>3.4756693075069629E-2</v>
      </c>
      <c r="Y18" s="80">
        <f t="shared" si="0"/>
        <v>3.7073152059054343E-2</v>
      </c>
      <c r="Z18" s="80">
        <f t="shared" si="0"/>
        <v>3.7073152059054343E-2</v>
      </c>
      <c r="AA18" s="80">
        <f t="shared" si="0"/>
        <v>3.7073152059054343E-2</v>
      </c>
      <c r="AB18" s="80">
        <f t="shared" si="0"/>
        <v>3.7073152059054343E-2</v>
      </c>
      <c r="AC18" s="80">
        <f t="shared" si="0"/>
        <v>3.9218151088031124E-2</v>
      </c>
      <c r="AD18" s="80">
        <f t="shared" si="0"/>
        <v>3.9218151088031124E-2</v>
      </c>
      <c r="AE18" s="80">
        <f t="shared" si="0"/>
        <v>3.9218151088031124E-2</v>
      </c>
      <c r="AF18" s="80">
        <f t="shared" si="0"/>
        <v>3.9218151088031124E-2</v>
      </c>
      <c r="AG18" s="80">
        <f t="shared" si="0"/>
        <v>3.9218151088031124E-2</v>
      </c>
      <c r="AH18" s="80">
        <f t="shared" si="0"/>
        <v>3.9218151088031124E-2</v>
      </c>
      <c r="AI18" s="81">
        <f t="shared" si="0"/>
        <v>3.9218151088031124E-2</v>
      </c>
      <c r="AJ18" s="82">
        <f t="shared" ref="AJ18:AJ35" si="1">+SUM(F18:AI18)</f>
        <v>1.0000000000000009</v>
      </c>
    </row>
    <row r="19" spans="2:36" ht="13.95" customHeight="1">
      <c r="B19" s="368"/>
      <c r="C19" s="369"/>
      <c r="D19" s="370"/>
      <c r="E19" s="191" t="s">
        <v>75</v>
      </c>
      <c r="F19" s="83">
        <f>'MC Conservação Rotina'!F82</f>
        <v>0</v>
      </c>
      <c r="G19" s="192">
        <f>'MC Conservação Rotina'!G82</f>
        <v>1165374.8854605262</v>
      </c>
      <c r="H19" s="192">
        <f>'MC Conservação Rotina'!H82</f>
        <v>1243660.8260827335</v>
      </c>
      <c r="I19" s="192">
        <f>'MC Conservação Rotina'!I82</f>
        <v>1321946.7667049402</v>
      </c>
      <c r="J19" s="192">
        <f>'MC Conservação Rotina'!J82</f>
        <v>1400232.7073271477</v>
      </c>
      <c r="K19" s="192">
        <f>'MC Conservação Rotina'!K82</f>
        <v>1514762.3855709084</v>
      </c>
      <c r="L19" s="192">
        <f>'MC Conservação Rotina'!L82</f>
        <v>1560538.9788227489</v>
      </c>
      <c r="M19" s="192">
        <f>'MC Conservação Rotina'!M82</f>
        <v>1640318.2816916513</v>
      </c>
      <c r="N19" s="192">
        <f>'MC Conservação Rotina'!N82</f>
        <v>1671028.373713363</v>
      </c>
      <c r="O19" s="192">
        <f>'MC Conservação Rotina'!O82</f>
        <v>1674015.0982067534</v>
      </c>
      <c r="P19" s="192">
        <f>'MC Conservação Rotina'!P82</f>
        <v>1675508.4604534486</v>
      </c>
      <c r="Q19" s="192">
        <f>'MC Conservação Rotina'!Q82</f>
        <v>1694687.1702388101</v>
      </c>
      <c r="R19" s="192">
        <f>'MC Conservação Rotina'!R82</f>
        <v>1697673.894732201</v>
      </c>
      <c r="S19" s="192">
        <f>'MC Conservação Rotina'!S82</f>
        <v>1719818.3234760542</v>
      </c>
      <c r="T19" s="192">
        <f>'MC Conservação Rotina'!T82</f>
        <v>1719818.3234760542</v>
      </c>
      <c r="U19" s="192">
        <f>'MC Conservação Rotina'!U82</f>
        <v>1721311.6857227497</v>
      </c>
      <c r="V19" s="192">
        <f>'MC Conservação Rotina'!V82</f>
        <v>1721311.6857227497</v>
      </c>
      <c r="W19" s="192">
        <f>'MC Conservação Rotina'!W82</f>
        <v>1721311.6857227497</v>
      </c>
      <c r="X19" s="192">
        <f>'MC Conservação Rotina'!X82</f>
        <v>1721311.6857227497</v>
      </c>
      <c r="Y19" s="192">
        <f>'MC Conservação Rotina'!Y82</f>
        <v>1836033.4145712974</v>
      </c>
      <c r="Z19" s="192">
        <f>'MC Conservação Rotina'!Z82</f>
        <v>1836033.4145712974</v>
      </c>
      <c r="AA19" s="192">
        <f>'MC Conservação Rotina'!AA82</f>
        <v>1836033.4145712974</v>
      </c>
      <c r="AB19" s="192">
        <f>'MC Conservação Rotina'!AB82</f>
        <v>1836033.4145712974</v>
      </c>
      <c r="AC19" s="192">
        <f>'MC Conservação Rotina'!AC82</f>
        <v>1942263.6559370977</v>
      </c>
      <c r="AD19" s="192">
        <f>'MC Conservação Rotina'!AD82</f>
        <v>1942263.6559370977</v>
      </c>
      <c r="AE19" s="192">
        <f>'MC Conservação Rotina'!AE82</f>
        <v>1942263.6559370977</v>
      </c>
      <c r="AF19" s="192">
        <f>'MC Conservação Rotina'!AF82</f>
        <v>1942263.6559370977</v>
      </c>
      <c r="AG19" s="192">
        <f>'MC Conservação Rotina'!AG82</f>
        <v>1942263.6559370977</v>
      </c>
      <c r="AH19" s="192">
        <f>'MC Conservação Rotina'!AH82</f>
        <v>1942263.6559370977</v>
      </c>
      <c r="AI19" s="192">
        <f>'MC Conservação Rotina'!AI82</f>
        <v>1942263.6559370977</v>
      </c>
      <c r="AJ19" s="193">
        <f t="shared" si="1"/>
        <v>49524610.468693212</v>
      </c>
    </row>
    <row r="20" spans="2:36" ht="13.95" customHeight="1">
      <c r="B20" s="368" t="s">
        <v>76</v>
      </c>
      <c r="C20" s="369" t="str">
        <f>+CONCATENATE("Programa - ",'MC Conservação Rotina'!C30)</f>
        <v>Programa - ELEMENTOS DE PROTEÇÃO E SEGURANÇA</v>
      </c>
      <c r="D20" s="370">
        <f>'MC Conservação Rotina'!AJ99</f>
        <v>90772694.911474258</v>
      </c>
      <c r="E20" s="190" t="s">
        <v>39</v>
      </c>
      <c r="F20" s="79">
        <f>+F21/$D20</f>
        <v>0</v>
      </c>
      <c r="G20" s="80">
        <f t="shared" ref="G20:AI20" si="2">+G21/$D20</f>
        <v>3.2162917654761453E-2</v>
      </c>
      <c r="H20" s="80">
        <f t="shared" si="2"/>
        <v>3.2497764402580308E-2</v>
      </c>
      <c r="I20" s="80">
        <f t="shared" si="2"/>
        <v>3.283261115039917E-2</v>
      </c>
      <c r="J20" s="80">
        <f t="shared" si="2"/>
        <v>3.3167457898218032E-2</v>
      </c>
      <c r="K20" s="80">
        <f t="shared" si="2"/>
        <v>3.365732734327883E-2</v>
      </c>
      <c r="L20" s="80">
        <f t="shared" si="2"/>
        <v>3.3853124229089725E-2</v>
      </c>
      <c r="M20" s="80">
        <f t="shared" si="2"/>
        <v>3.4194358426400118E-2</v>
      </c>
      <c r="N20" s="80">
        <f t="shared" si="2"/>
        <v>3.4325712464647065E-2</v>
      </c>
      <c r="O20" s="80">
        <f t="shared" si="2"/>
        <v>3.4338487363630134E-2</v>
      </c>
      <c r="P20" s="80">
        <f t="shared" si="2"/>
        <v>3.4344874813121665E-2</v>
      </c>
      <c r="Q20" s="80">
        <f t="shared" si="2"/>
        <v>3.4426906510613559E-2</v>
      </c>
      <c r="R20" s="80">
        <f t="shared" si="2"/>
        <v>3.4439681409596627E-2</v>
      </c>
      <c r="S20" s="80">
        <f t="shared" si="2"/>
        <v>3.4534398160628192E-2</v>
      </c>
      <c r="T20" s="80">
        <f t="shared" si="2"/>
        <v>3.4534398160628192E-2</v>
      </c>
      <c r="U20" s="80">
        <f t="shared" si="2"/>
        <v>3.454078561011973E-2</v>
      </c>
      <c r="V20" s="80">
        <f t="shared" si="2"/>
        <v>3.454078561011973E-2</v>
      </c>
      <c r="W20" s="80">
        <f t="shared" si="2"/>
        <v>3.454078561011973E-2</v>
      </c>
      <c r="X20" s="80">
        <f t="shared" si="2"/>
        <v>3.454078561011973E-2</v>
      </c>
      <c r="Y20" s="80">
        <f t="shared" si="2"/>
        <v>3.5031476499234444E-2</v>
      </c>
      <c r="Z20" s="80">
        <f t="shared" si="2"/>
        <v>3.5031476499234444E-2</v>
      </c>
      <c r="AA20" s="80">
        <f t="shared" si="2"/>
        <v>3.5031476499234444E-2</v>
      </c>
      <c r="AB20" s="80">
        <f t="shared" si="2"/>
        <v>3.5031476499234444E-2</v>
      </c>
      <c r="AC20" s="80">
        <f t="shared" si="2"/>
        <v>3.5485847367855781E-2</v>
      </c>
      <c r="AD20" s="80">
        <f t="shared" si="2"/>
        <v>3.5485847367855781E-2</v>
      </c>
      <c r="AE20" s="80">
        <f t="shared" si="2"/>
        <v>3.5485847367855781E-2</v>
      </c>
      <c r="AF20" s="80">
        <f t="shared" si="2"/>
        <v>3.5485847367855781E-2</v>
      </c>
      <c r="AG20" s="80">
        <f t="shared" si="2"/>
        <v>3.5485847367855781E-2</v>
      </c>
      <c r="AH20" s="80">
        <f t="shared" si="2"/>
        <v>3.5485847367855781E-2</v>
      </c>
      <c r="AI20" s="81">
        <f t="shared" si="2"/>
        <v>3.5485847367855781E-2</v>
      </c>
      <c r="AJ20" s="82">
        <f t="shared" si="1"/>
        <v>1.0000000000000002</v>
      </c>
    </row>
    <row r="21" spans="2:36" ht="13.95" customHeight="1">
      <c r="B21" s="368"/>
      <c r="C21" s="369"/>
      <c r="D21" s="370"/>
      <c r="E21" s="191" t="s">
        <v>75</v>
      </c>
      <c r="F21" s="83">
        <f>'MC Conservação Rotina'!F99</f>
        <v>0</v>
      </c>
      <c r="G21" s="192">
        <f>'MC Conservação Rotina'!G99</f>
        <v>2919514.7117385305</v>
      </c>
      <c r="H21" s="192">
        <f>'MC Conservação Rotina'!H99</f>
        <v>2949909.653420391</v>
      </c>
      <c r="I21" s="192">
        <f>'MC Conservação Rotina'!I99</f>
        <v>2980304.5951022515</v>
      </c>
      <c r="J21" s="192">
        <f>'MC Conservação Rotina'!J99</f>
        <v>3010699.5367841125</v>
      </c>
      <c r="K21" s="192">
        <f>'MC Conservação Rotina'!K99</f>
        <v>3055166.3064670693</v>
      </c>
      <c r="L21" s="192">
        <f>'MC Conservação Rotina'!L99</f>
        <v>3072939.3174473988</v>
      </c>
      <c r="M21" s="192">
        <f>'MC Conservação Rotina'!M99</f>
        <v>3103914.0651332168</v>
      </c>
      <c r="N21" s="192">
        <f>'MC Conservação Rotina'!N99</f>
        <v>3115837.4251723974</v>
      </c>
      <c r="O21" s="192">
        <f>'MC Conservação Rotina'!O99</f>
        <v>3116997.037180312</v>
      </c>
      <c r="P21" s="192">
        <f>'MC Conservação Rotina'!P99</f>
        <v>3117576.843184269</v>
      </c>
      <c r="Q21" s="192">
        <f>'MC Conservação Rotina'!Q99</f>
        <v>3125023.0814337716</v>
      </c>
      <c r="R21" s="192">
        <f>'MC Conservação Rotina'!R99</f>
        <v>3126182.6934416862</v>
      </c>
      <c r="S21" s="192">
        <f>'MC Conservação Rotina'!S99</f>
        <v>3134780.3881860808</v>
      </c>
      <c r="T21" s="192">
        <f>'MC Conservação Rotina'!T99</f>
        <v>3134780.3881860808</v>
      </c>
      <c r="U21" s="192">
        <f>'MC Conservação Rotina'!U99</f>
        <v>3135360.1941900384</v>
      </c>
      <c r="V21" s="192">
        <f>'MC Conservação Rotina'!V99</f>
        <v>3135360.1941900384</v>
      </c>
      <c r="W21" s="192">
        <f>'MC Conservação Rotina'!W99</f>
        <v>3135360.1941900384</v>
      </c>
      <c r="X21" s="192">
        <f>'MC Conservação Rotina'!X99</f>
        <v>3135360.1941900384</v>
      </c>
      <c r="Y21" s="192">
        <f>'MC Conservação Rotina'!Y99</f>
        <v>3179901.5285634887</v>
      </c>
      <c r="Z21" s="192">
        <f>'MC Conservação Rotina'!Z99</f>
        <v>3179901.5285634887</v>
      </c>
      <c r="AA21" s="192">
        <f>'MC Conservação Rotina'!AA99</f>
        <v>3179901.5285634887</v>
      </c>
      <c r="AB21" s="192">
        <f>'MC Conservação Rotina'!AB99</f>
        <v>3179901.5285634887</v>
      </c>
      <c r="AC21" s="192">
        <f>'MC Conservação Rotina'!AC99</f>
        <v>3221145.9967975146</v>
      </c>
      <c r="AD21" s="192">
        <f>'MC Conservação Rotina'!AD99</f>
        <v>3221145.9967975146</v>
      </c>
      <c r="AE21" s="192">
        <f>'MC Conservação Rotina'!AE99</f>
        <v>3221145.9967975146</v>
      </c>
      <c r="AF21" s="192">
        <f>'MC Conservação Rotina'!AF99</f>
        <v>3221145.9967975146</v>
      </c>
      <c r="AG21" s="192">
        <f>'MC Conservação Rotina'!AG99</f>
        <v>3221145.9967975146</v>
      </c>
      <c r="AH21" s="192">
        <f>'MC Conservação Rotina'!AH99</f>
        <v>3221145.9967975146</v>
      </c>
      <c r="AI21" s="192">
        <f>'MC Conservação Rotina'!AI99</f>
        <v>3221145.9967975146</v>
      </c>
      <c r="AJ21" s="193">
        <f t="shared" si="1"/>
        <v>90772694.911474317</v>
      </c>
    </row>
    <row r="22" spans="2:36" ht="13.95" customHeight="1">
      <c r="B22" s="368" t="s">
        <v>77</v>
      </c>
      <c r="C22" s="369" t="str">
        <f>+CONCATENATE("Programa - ",'MC Conservação Rotina'!C43)</f>
        <v>Programa - OBRAS DE ARTES ESPECIAIS</v>
      </c>
      <c r="D22" s="370">
        <f>'MC Conservação Rotina'!AJ124</f>
        <v>587692.79321774968</v>
      </c>
      <c r="E22" s="190" t="s">
        <v>39</v>
      </c>
      <c r="F22" s="79">
        <f t="shared" ref="F22:AI22" si="3">+F23/$D22</f>
        <v>0</v>
      </c>
      <c r="G22" s="80">
        <f t="shared" si="3"/>
        <v>3.4482758620689662E-2</v>
      </c>
      <c r="H22" s="80">
        <f t="shared" si="3"/>
        <v>3.4482758620689662E-2</v>
      </c>
      <c r="I22" s="80">
        <f t="shared" si="3"/>
        <v>3.4482758620689662E-2</v>
      </c>
      <c r="J22" s="80">
        <f t="shared" si="3"/>
        <v>3.4482758620689662E-2</v>
      </c>
      <c r="K22" s="80">
        <f t="shared" si="3"/>
        <v>3.4482758620689662E-2</v>
      </c>
      <c r="L22" s="80">
        <f t="shared" si="3"/>
        <v>3.4482758620689662E-2</v>
      </c>
      <c r="M22" s="80">
        <f t="shared" si="3"/>
        <v>3.4482758620689662E-2</v>
      </c>
      <c r="N22" s="80">
        <f t="shared" si="3"/>
        <v>3.4482758620689662E-2</v>
      </c>
      <c r="O22" s="80">
        <f t="shared" si="3"/>
        <v>3.4482758620689662E-2</v>
      </c>
      <c r="P22" s="80">
        <f t="shared" si="3"/>
        <v>3.4482758620689662E-2</v>
      </c>
      <c r="Q22" s="80">
        <f t="shared" si="3"/>
        <v>3.4482758620689662E-2</v>
      </c>
      <c r="R22" s="80">
        <f t="shared" si="3"/>
        <v>3.4482758620689662E-2</v>
      </c>
      <c r="S22" s="80">
        <f t="shared" si="3"/>
        <v>3.4482758620689662E-2</v>
      </c>
      <c r="T22" s="80">
        <f t="shared" si="3"/>
        <v>3.4482758620689662E-2</v>
      </c>
      <c r="U22" s="80">
        <f t="shared" si="3"/>
        <v>3.4482758620689662E-2</v>
      </c>
      <c r="V22" s="80">
        <f t="shared" si="3"/>
        <v>3.4482758620689662E-2</v>
      </c>
      <c r="W22" s="80">
        <f t="shared" si="3"/>
        <v>3.4482758620689662E-2</v>
      </c>
      <c r="X22" s="80">
        <f t="shared" si="3"/>
        <v>3.4482758620689662E-2</v>
      </c>
      <c r="Y22" s="80">
        <f t="shared" si="3"/>
        <v>3.4482758620689662E-2</v>
      </c>
      <c r="Z22" s="80">
        <f t="shared" si="3"/>
        <v>3.4482758620689662E-2</v>
      </c>
      <c r="AA22" s="80">
        <f t="shared" si="3"/>
        <v>3.4482758620689662E-2</v>
      </c>
      <c r="AB22" s="80">
        <f t="shared" si="3"/>
        <v>3.4482758620689662E-2</v>
      </c>
      <c r="AC22" s="80">
        <f t="shared" si="3"/>
        <v>3.4482758620689662E-2</v>
      </c>
      <c r="AD22" s="80">
        <f t="shared" si="3"/>
        <v>3.4482758620689662E-2</v>
      </c>
      <c r="AE22" s="80">
        <f t="shared" si="3"/>
        <v>3.4482758620689662E-2</v>
      </c>
      <c r="AF22" s="80">
        <f t="shared" si="3"/>
        <v>3.4482758620689662E-2</v>
      </c>
      <c r="AG22" s="80">
        <f t="shared" si="3"/>
        <v>3.4482758620689662E-2</v>
      </c>
      <c r="AH22" s="80">
        <f t="shared" si="3"/>
        <v>3.4482758620689662E-2</v>
      </c>
      <c r="AI22" s="81">
        <f t="shared" si="3"/>
        <v>3.4482758620689662E-2</v>
      </c>
      <c r="AJ22" s="82">
        <f t="shared" si="1"/>
        <v>0.99999999999999956</v>
      </c>
    </row>
    <row r="23" spans="2:36" ht="13.95" customHeight="1">
      <c r="B23" s="368"/>
      <c r="C23" s="369"/>
      <c r="D23" s="370"/>
      <c r="E23" s="191" t="s">
        <v>75</v>
      </c>
      <c r="F23" s="83">
        <f>'MC Conservação Rotina'!F124</f>
        <v>0</v>
      </c>
      <c r="G23" s="192">
        <f>'MC Conservação Rotina'!G124</f>
        <v>20265.268731646545</v>
      </c>
      <c r="H23" s="192">
        <f>'MC Conservação Rotina'!H124</f>
        <v>20265.268731646545</v>
      </c>
      <c r="I23" s="192">
        <f>'MC Conservação Rotina'!I124</f>
        <v>20265.268731646545</v>
      </c>
      <c r="J23" s="192">
        <f>'MC Conservação Rotina'!J124</f>
        <v>20265.268731646545</v>
      </c>
      <c r="K23" s="192">
        <f>'MC Conservação Rotina'!K124</f>
        <v>20265.268731646545</v>
      </c>
      <c r="L23" s="192">
        <f>'MC Conservação Rotina'!L124</f>
        <v>20265.268731646545</v>
      </c>
      <c r="M23" s="192">
        <f>'MC Conservação Rotina'!M124</f>
        <v>20265.268731646545</v>
      </c>
      <c r="N23" s="192">
        <f>'MC Conservação Rotina'!N124</f>
        <v>20265.268731646545</v>
      </c>
      <c r="O23" s="192">
        <f>'MC Conservação Rotina'!O124</f>
        <v>20265.268731646545</v>
      </c>
      <c r="P23" s="192">
        <f>'MC Conservação Rotina'!P124</f>
        <v>20265.268731646545</v>
      </c>
      <c r="Q23" s="192">
        <f>'MC Conservação Rotina'!Q124</f>
        <v>20265.268731646545</v>
      </c>
      <c r="R23" s="192">
        <f>'MC Conservação Rotina'!R124</f>
        <v>20265.268731646545</v>
      </c>
      <c r="S23" s="192">
        <f>'MC Conservação Rotina'!S124</f>
        <v>20265.268731646545</v>
      </c>
      <c r="T23" s="192">
        <f>'MC Conservação Rotina'!T124</f>
        <v>20265.268731646545</v>
      </c>
      <c r="U23" s="192">
        <f>'MC Conservação Rotina'!U124</f>
        <v>20265.268731646545</v>
      </c>
      <c r="V23" s="192">
        <f>'MC Conservação Rotina'!V124</f>
        <v>20265.268731646545</v>
      </c>
      <c r="W23" s="192">
        <f>'MC Conservação Rotina'!W124</f>
        <v>20265.268731646545</v>
      </c>
      <c r="X23" s="192">
        <f>'MC Conservação Rotina'!X124</f>
        <v>20265.268731646545</v>
      </c>
      <c r="Y23" s="192">
        <f>'MC Conservação Rotina'!Y124</f>
        <v>20265.268731646545</v>
      </c>
      <c r="Z23" s="192">
        <f>'MC Conservação Rotina'!Z124</f>
        <v>20265.268731646545</v>
      </c>
      <c r="AA23" s="192">
        <f>'MC Conservação Rotina'!AA124</f>
        <v>20265.268731646545</v>
      </c>
      <c r="AB23" s="192">
        <f>'MC Conservação Rotina'!AB124</f>
        <v>20265.268731646545</v>
      </c>
      <c r="AC23" s="192">
        <f>'MC Conservação Rotina'!AC124</f>
        <v>20265.268731646545</v>
      </c>
      <c r="AD23" s="192">
        <f>'MC Conservação Rotina'!AD124</f>
        <v>20265.268731646545</v>
      </c>
      <c r="AE23" s="192">
        <f>'MC Conservação Rotina'!AE124</f>
        <v>20265.268731646545</v>
      </c>
      <c r="AF23" s="192">
        <f>'MC Conservação Rotina'!AF124</f>
        <v>20265.268731646545</v>
      </c>
      <c r="AG23" s="192">
        <f>'MC Conservação Rotina'!AG124</f>
        <v>20265.268731646545</v>
      </c>
      <c r="AH23" s="192">
        <f>'MC Conservação Rotina'!AH124</f>
        <v>20265.268731646545</v>
      </c>
      <c r="AI23" s="192">
        <f>'MC Conservação Rotina'!AI124</f>
        <v>20265.268731646545</v>
      </c>
      <c r="AJ23" s="193">
        <f t="shared" si="1"/>
        <v>587692.79321774968</v>
      </c>
    </row>
    <row r="24" spans="2:36" ht="13.95" customHeight="1">
      <c r="B24" s="368" t="s">
        <v>78</v>
      </c>
      <c r="C24" s="369" t="str">
        <f>+CONCATENATE("Programa - ",'MC Conservação Rotina'!C51)</f>
        <v>Programa - DRENAGEM E OAC</v>
      </c>
      <c r="D24" s="370">
        <f>'MC Conservação Rotina'!AJ133</f>
        <v>10998177.790466366</v>
      </c>
      <c r="E24" s="190" t="s">
        <v>39</v>
      </c>
      <c r="F24" s="79">
        <f t="shared" ref="F24:AI24" si="4">+F25/$D24</f>
        <v>0</v>
      </c>
      <c r="G24" s="80">
        <f t="shared" si="4"/>
        <v>2.4707998491324469E-2</v>
      </c>
      <c r="H24" s="80">
        <f t="shared" si="4"/>
        <v>2.6118891172374169E-2</v>
      </c>
      <c r="I24" s="80">
        <f t="shared" si="4"/>
        <v>2.7529783853423868E-2</v>
      </c>
      <c r="J24" s="80">
        <f t="shared" si="4"/>
        <v>2.8940676534473561E-2</v>
      </c>
      <c r="K24" s="80">
        <f t="shared" si="4"/>
        <v>3.10047647157333E-2</v>
      </c>
      <c r="L24" s="80">
        <f t="shared" si="4"/>
        <v>3.1829764196726812E-2</v>
      </c>
      <c r="M24" s="80">
        <f t="shared" si="4"/>
        <v>3.3267570699687221E-2</v>
      </c>
      <c r="N24" s="80">
        <f t="shared" si="4"/>
        <v>3.382103718068525E-2</v>
      </c>
      <c r="O24" s="80">
        <f t="shared" si="4"/>
        <v>3.3874864824506676E-2</v>
      </c>
      <c r="P24" s="80">
        <f t="shared" si="4"/>
        <v>3.3901778646417378E-2</v>
      </c>
      <c r="Q24" s="80">
        <f t="shared" si="4"/>
        <v>3.4247423101259208E-2</v>
      </c>
      <c r="R24" s="80">
        <f t="shared" si="4"/>
        <v>3.4301250745080628E-2</v>
      </c>
      <c r="S24" s="80">
        <f t="shared" si="4"/>
        <v>3.4700344275699416E-2</v>
      </c>
      <c r="T24" s="80">
        <f t="shared" si="4"/>
        <v>3.4700344275699416E-2</v>
      </c>
      <c r="U24" s="80">
        <f t="shared" si="4"/>
        <v>3.4727258097610111E-2</v>
      </c>
      <c r="V24" s="80">
        <f t="shared" si="4"/>
        <v>3.4727258097610111E-2</v>
      </c>
      <c r="W24" s="80">
        <f t="shared" si="4"/>
        <v>3.4727258097610111E-2</v>
      </c>
      <c r="X24" s="80">
        <f t="shared" si="4"/>
        <v>3.4727258097610111E-2</v>
      </c>
      <c r="Y24" s="80">
        <f t="shared" si="4"/>
        <v>3.6794807472419186E-2</v>
      </c>
      <c r="Z24" s="80">
        <f t="shared" si="4"/>
        <v>3.6794807472419186E-2</v>
      </c>
      <c r="AA24" s="80">
        <f t="shared" si="4"/>
        <v>3.6794807472419186E-2</v>
      </c>
      <c r="AB24" s="80">
        <f t="shared" si="4"/>
        <v>3.6794807472419186E-2</v>
      </c>
      <c r="AC24" s="80">
        <f t="shared" si="4"/>
        <v>3.8709320715255957E-2</v>
      </c>
      <c r="AD24" s="80">
        <f t="shared" si="4"/>
        <v>3.8709320715255957E-2</v>
      </c>
      <c r="AE24" s="80">
        <f t="shared" si="4"/>
        <v>3.8709320715255957E-2</v>
      </c>
      <c r="AF24" s="80">
        <f t="shared" si="4"/>
        <v>3.8709320715255957E-2</v>
      </c>
      <c r="AG24" s="80">
        <f t="shared" si="4"/>
        <v>3.8709320715255957E-2</v>
      </c>
      <c r="AH24" s="80">
        <f t="shared" si="4"/>
        <v>3.8709320715255957E-2</v>
      </c>
      <c r="AI24" s="81">
        <f t="shared" si="4"/>
        <v>3.8709320715255957E-2</v>
      </c>
      <c r="AJ24" s="82">
        <f t="shared" si="1"/>
        <v>1.0000000000000004</v>
      </c>
    </row>
    <row r="25" spans="2:36" ht="13.95" customHeight="1">
      <c r="B25" s="368"/>
      <c r="C25" s="369"/>
      <c r="D25" s="370"/>
      <c r="E25" s="191" t="s">
        <v>75</v>
      </c>
      <c r="F25" s="83">
        <f>'MC Conservação Rotina'!F133</f>
        <v>0</v>
      </c>
      <c r="G25" s="192">
        <f>'MC Conservação Rotina'!G133</f>
        <v>271742.96025416127</v>
      </c>
      <c r="H25" s="192">
        <f>'MC Conservação Rotina'!H133</f>
        <v>287260.20880361361</v>
      </c>
      <c r="I25" s="192">
        <f>'MC Conservação Rotina'!I133</f>
        <v>302777.45735306595</v>
      </c>
      <c r="J25" s="192">
        <f>'MC Conservação Rotina'!J133</f>
        <v>318294.70590251824</v>
      </c>
      <c r="K25" s="192">
        <f>'MC Conservação Rotina'!K133</f>
        <v>340995.9146952132</v>
      </c>
      <c r="L25" s="192">
        <f>'MC Conservação Rotina'!L133</f>
        <v>350069.40566422231</v>
      </c>
      <c r="M25" s="192">
        <f>'MC Conservação Rotina'!M133</f>
        <v>365882.65721206961</v>
      </c>
      <c r="N25" s="192">
        <f>'MC Conservação Rotina'!N133</f>
        <v>371969.77997114975</v>
      </c>
      <c r="O25" s="192">
        <f>'MC Conservação Rotina'!O133</f>
        <v>372561.78596793965</v>
      </c>
      <c r="P25" s="192">
        <f>'MC Conservação Rotina'!P133</f>
        <v>372857.78896633454</v>
      </c>
      <c r="Q25" s="192">
        <f>'MC Conservação Rotina'!Q133</f>
        <v>376659.24813297379</v>
      </c>
      <c r="R25" s="192">
        <f>'MC Conservação Rotina'!R133</f>
        <v>377251.25412976369</v>
      </c>
      <c r="S25" s="192">
        <f>'MC Conservação Rotina'!S133</f>
        <v>381640.55573453405</v>
      </c>
      <c r="T25" s="192">
        <f>'MC Conservação Rotina'!T133</f>
        <v>381640.55573453405</v>
      </c>
      <c r="U25" s="192">
        <f>'MC Conservação Rotina'!U133</f>
        <v>381936.55873292882</v>
      </c>
      <c r="V25" s="192">
        <f>'MC Conservação Rotina'!V133</f>
        <v>381936.55873292882</v>
      </c>
      <c r="W25" s="192">
        <f>'MC Conservação Rotina'!W133</f>
        <v>381936.55873292882</v>
      </c>
      <c r="X25" s="192">
        <f>'MC Conservação Rotina'!X133</f>
        <v>381936.55873292882</v>
      </c>
      <c r="Y25" s="192">
        <f>'MC Conservação Rotina'!Y133</f>
        <v>404675.83434764657</v>
      </c>
      <c r="Z25" s="192">
        <f>'MC Conservação Rotina'!Z133</f>
        <v>404675.83434764657</v>
      </c>
      <c r="AA25" s="192">
        <f>'MC Conservação Rotina'!AA133</f>
        <v>404675.83434764657</v>
      </c>
      <c r="AB25" s="192">
        <f>'MC Conservação Rotina'!AB133</f>
        <v>404675.83434764657</v>
      </c>
      <c r="AC25" s="192">
        <f>'MC Conservação Rotina'!AC133</f>
        <v>425731.99137456773</v>
      </c>
      <c r="AD25" s="192">
        <f>'MC Conservação Rotina'!AD133</f>
        <v>425731.99137456773</v>
      </c>
      <c r="AE25" s="192">
        <f>'MC Conservação Rotina'!AE133</f>
        <v>425731.99137456773</v>
      </c>
      <c r="AF25" s="192">
        <f>'MC Conservação Rotina'!AF133</f>
        <v>425731.99137456773</v>
      </c>
      <c r="AG25" s="192">
        <f>'MC Conservação Rotina'!AG133</f>
        <v>425731.99137456773</v>
      </c>
      <c r="AH25" s="192">
        <f>'MC Conservação Rotina'!AH133</f>
        <v>425731.99137456773</v>
      </c>
      <c r="AI25" s="192">
        <f>'MC Conservação Rotina'!AI133</f>
        <v>425731.99137456773</v>
      </c>
      <c r="AJ25" s="193">
        <f t="shared" si="1"/>
        <v>10998177.790466366</v>
      </c>
    </row>
    <row r="26" spans="2:36" ht="13.95" customHeight="1">
      <c r="B26" s="368" t="s">
        <v>79</v>
      </c>
      <c r="C26" s="369" t="str">
        <f>+CONCATENATE("Programa - ",'MC Conservação Rotina'!C58)</f>
        <v>Programa - TERRAPLENOS E ESTRUTURAS DE CONTENÇÃO</v>
      </c>
      <c r="D26" s="370">
        <f>'MC Conservação Rotina'!AJ142</f>
        <v>8121594.6759108519</v>
      </c>
      <c r="E26" s="190" t="s">
        <v>39</v>
      </c>
      <c r="F26" s="79">
        <f t="shared" ref="F26:AI26" si="5">+F27/$D26</f>
        <v>0</v>
      </c>
      <c r="G26" s="80">
        <f t="shared" si="5"/>
        <v>2.3531227695313489E-2</v>
      </c>
      <c r="H26" s="80">
        <f t="shared" si="5"/>
        <v>2.5111975931015336E-2</v>
      </c>
      <c r="I26" s="80">
        <f t="shared" si="5"/>
        <v>2.6692724166717152E-2</v>
      </c>
      <c r="J26" s="80">
        <f t="shared" si="5"/>
        <v>2.8273472402418988E-2</v>
      </c>
      <c r="K26" s="80">
        <f t="shared" si="5"/>
        <v>3.0586053504216046E-2</v>
      </c>
      <c r="L26" s="80">
        <f t="shared" si="5"/>
        <v>3.1510373611302558E-2</v>
      </c>
      <c r="M26" s="80">
        <f t="shared" si="5"/>
        <v>3.3121275789308284E-2</v>
      </c>
      <c r="N26" s="80">
        <f t="shared" si="5"/>
        <v>3.3741373387877471E-2</v>
      </c>
      <c r="O26" s="80">
        <f t="shared" si="5"/>
        <v>3.3801681272485236E-2</v>
      </c>
      <c r="P26" s="80">
        <f t="shared" si="5"/>
        <v>3.3831835214789122E-2</v>
      </c>
      <c r="Q26" s="80">
        <f t="shared" si="5"/>
        <v>3.42190913608518E-2</v>
      </c>
      <c r="R26" s="80">
        <f t="shared" si="5"/>
        <v>3.4279399245459571E-2</v>
      </c>
      <c r="S26" s="80">
        <f t="shared" si="5"/>
        <v>3.4726539132765744E-2</v>
      </c>
      <c r="T26" s="80">
        <f t="shared" si="5"/>
        <v>3.4726539132765744E-2</v>
      </c>
      <c r="U26" s="80">
        <f t="shared" si="5"/>
        <v>3.4756693075069615E-2</v>
      </c>
      <c r="V26" s="80">
        <f t="shared" si="5"/>
        <v>3.4756693075069615E-2</v>
      </c>
      <c r="W26" s="80">
        <f t="shared" si="5"/>
        <v>3.4756693075069615E-2</v>
      </c>
      <c r="X26" s="80">
        <f t="shared" si="5"/>
        <v>3.4756693075069615E-2</v>
      </c>
      <c r="Y26" s="80">
        <f t="shared" si="5"/>
        <v>3.7073152059054343E-2</v>
      </c>
      <c r="Z26" s="80">
        <f t="shared" si="5"/>
        <v>3.7073152059054343E-2</v>
      </c>
      <c r="AA26" s="80">
        <f t="shared" si="5"/>
        <v>3.7073152059054343E-2</v>
      </c>
      <c r="AB26" s="80">
        <f t="shared" si="5"/>
        <v>3.7073152059054343E-2</v>
      </c>
      <c r="AC26" s="80">
        <f t="shared" si="5"/>
        <v>3.9218151088031124E-2</v>
      </c>
      <c r="AD26" s="80">
        <f t="shared" si="5"/>
        <v>3.9218151088031124E-2</v>
      </c>
      <c r="AE26" s="80">
        <f t="shared" si="5"/>
        <v>3.9218151088031124E-2</v>
      </c>
      <c r="AF26" s="80">
        <f t="shared" si="5"/>
        <v>3.9218151088031124E-2</v>
      </c>
      <c r="AG26" s="80">
        <f t="shared" si="5"/>
        <v>3.9218151088031124E-2</v>
      </c>
      <c r="AH26" s="80">
        <f t="shared" si="5"/>
        <v>3.9218151088031124E-2</v>
      </c>
      <c r="AI26" s="81">
        <f t="shared" si="5"/>
        <v>3.9218151088031124E-2</v>
      </c>
      <c r="AJ26" s="82">
        <f t="shared" si="1"/>
        <v>1.0000000000000004</v>
      </c>
    </row>
    <row r="27" spans="2:36" ht="13.95" customHeight="1">
      <c r="B27" s="368"/>
      <c r="C27" s="369"/>
      <c r="D27" s="370"/>
      <c r="E27" s="191" t="s">
        <v>75</v>
      </c>
      <c r="F27" s="83">
        <f>'MC Conservação Rotina'!F142</f>
        <v>0</v>
      </c>
      <c r="G27" s="192">
        <f>'MC Conservação Rotina'!G142</f>
        <v>191111.09356790403</v>
      </c>
      <c r="H27" s="192">
        <f>'MC Conservação Rotina'!H142</f>
        <v>203949.2900229356</v>
      </c>
      <c r="I27" s="192">
        <f>'MC Conservação Rotina'!I142</f>
        <v>216787.48647796694</v>
      </c>
      <c r="J27" s="192">
        <f>'MC Conservação Rotina'!J142</f>
        <v>229625.68293299846</v>
      </c>
      <c r="K27" s="192">
        <f>'MC Conservação Rotina'!K142</f>
        <v>248407.52929696548</v>
      </c>
      <c r="L27" s="192">
        <f>'MC Conservação Rotina'!L142</f>
        <v>255914.48255751666</v>
      </c>
      <c r="M27" s="192">
        <f>'MC Conservação Rotina'!M142</f>
        <v>268997.57710982114</v>
      </c>
      <c r="N27" s="192">
        <f>'MC Conservação Rotina'!N142</f>
        <v>274033.75846490578</v>
      </c>
      <c r="O27" s="192">
        <f>'MC Conservação Rotina'!O142</f>
        <v>274523.55465945165</v>
      </c>
      <c r="P27" s="192">
        <f>'MC Conservação Rotina'!P142</f>
        <v>274768.45275672461</v>
      </c>
      <c r="Q27" s="192">
        <f>'MC Conservação Rotina'!Q142</f>
        <v>277913.59021080099</v>
      </c>
      <c r="R27" s="192">
        <f>'MC Conservação Rotina'!R142</f>
        <v>278403.38640534692</v>
      </c>
      <c r="S27" s="192">
        <f>'MC Conservação Rotina'!S142</f>
        <v>282034.87533348013</v>
      </c>
      <c r="T27" s="192">
        <f>'MC Conservação Rotina'!T142</f>
        <v>282034.87533348013</v>
      </c>
      <c r="U27" s="192">
        <f>'MC Conservação Rotina'!U142</f>
        <v>282279.77343075298</v>
      </c>
      <c r="V27" s="192">
        <f>'MC Conservação Rotina'!V142</f>
        <v>282279.77343075298</v>
      </c>
      <c r="W27" s="192">
        <f>'MC Conservação Rotina'!W142</f>
        <v>282279.77343075298</v>
      </c>
      <c r="X27" s="192">
        <f>'MC Conservação Rotina'!X142</f>
        <v>282279.77343075298</v>
      </c>
      <c r="Y27" s="192">
        <f>'MC Conservação Rotina'!Y142</f>
        <v>301093.11438204919</v>
      </c>
      <c r="Z27" s="192">
        <f>'MC Conservação Rotina'!Z142</f>
        <v>301093.11438204919</v>
      </c>
      <c r="AA27" s="192">
        <f>'MC Conservação Rotina'!AA142</f>
        <v>301093.11438204919</v>
      </c>
      <c r="AB27" s="192">
        <f>'MC Conservação Rotina'!AB142</f>
        <v>301093.11438204919</v>
      </c>
      <c r="AC27" s="192">
        <f>'MC Conservação Rotina'!AC142</f>
        <v>318513.92707562097</v>
      </c>
      <c r="AD27" s="192">
        <f>'MC Conservação Rotina'!AD142</f>
        <v>318513.92707562097</v>
      </c>
      <c r="AE27" s="192">
        <f>'MC Conservação Rotina'!AE142</f>
        <v>318513.92707562097</v>
      </c>
      <c r="AF27" s="192">
        <f>'MC Conservação Rotina'!AF142</f>
        <v>318513.92707562097</v>
      </c>
      <c r="AG27" s="192">
        <f>'MC Conservação Rotina'!AG142</f>
        <v>318513.92707562097</v>
      </c>
      <c r="AH27" s="192">
        <f>'MC Conservação Rotina'!AH142</f>
        <v>318513.92707562097</v>
      </c>
      <c r="AI27" s="192">
        <f>'MC Conservação Rotina'!AI142</f>
        <v>318513.92707562097</v>
      </c>
      <c r="AJ27" s="193">
        <f t="shared" si="1"/>
        <v>8121594.6759108519</v>
      </c>
    </row>
    <row r="28" spans="2:36" ht="13.95" customHeight="1">
      <c r="B28" s="368" t="s">
        <v>80</v>
      </c>
      <c r="C28" s="369" t="str">
        <f>+CONCATENATE("Programa - ",'MC Conservação Rotina'!C63)</f>
        <v>Programa - FAIXA DE DOMÍNIO</v>
      </c>
      <c r="D28" s="370">
        <f>'MC Conservação Rotina'!AJ151</f>
        <v>60146486.450581238</v>
      </c>
      <c r="E28" s="190" t="s">
        <v>39</v>
      </c>
      <c r="F28" s="79">
        <f t="shared" ref="F28:AI28" si="6">+F29/$D28</f>
        <v>0</v>
      </c>
      <c r="G28" s="80">
        <f t="shared" si="6"/>
        <v>3.0116991479840975E-2</v>
      </c>
      <c r="H28" s="80">
        <f t="shared" si="6"/>
        <v>3.074714585985102E-2</v>
      </c>
      <c r="I28" s="80">
        <f t="shared" si="6"/>
        <v>3.1377300239861065E-2</v>
      </c>
      <c r="J28" s="80">
        <f t="shared" si="6"/>
        <v>3.2007454619871117E-2</v>
      </c>
      <c r="K28" s="80">
        <f t="shared" si="6"/>
        <v>3.2929421054112909E-2</v>
      </c>
      <c r="L28" s="80">
        <f t="shared" si="6"/>
        <v>3.3297858923546475E-2</v>
      </c>
      <c r="M28" s="80">
        <f t="shared" si="6"/>
        <v>3.3940033964651194E-2</v>
      </c>
      <c r="N28" s="80">
        <f t="shared" si="6"/>
        <v>3.4187195629620276E-2</v>
      </c>
      <c r="O28" s="80">
        <f t="shared" si="6"/>
        <v>3.421130888222558E-2</v>
      </c>
      <c r="P28" s="80">
        <f t="shared" si="6"/>
        <v>3.4223293578112261E-2</v>
      </c>
      <c r="Q28" s="80">
        <f t="shared" si="6"/>
        <v>3.4377670569410219E-2</v>
      </c>
      <c r="R28" s="80">
        <f t="shared" si="6"/>
        <v>3.4401747856807538E-2</v>
      </c>
      <c r="S28" s="80">
        <f t="shared" si="6"/>
        <v>3.457996112326045E-2</v>
      </c>
      <c r="T28" s="80">
        <f t="shared" si="6"/>
        <v>3.4579925158052485E-2</v>
      </c>
      <c r="U28" s="80">
        <f t="shared" si="6"/>
        <v>3.459198178435513E-2</v>
      </c>
      <c r="V28" s="80">
        <f t="shared" si="6"/>
        <v>3.4591945819147152E-2</v>
      </c>
      <c r="W28" s="80">
        <f t="shared" si="6"/>
        <v>3.4591945819147152E-2</v>
      </c>
      <c r="X28" s="80">
        <f t="shared" si="6"/>
        <v>3.4591945819147152E-2</v>
      </c>
      <c r="Y28" s="80">
        <f t="shared" si="6"/>
        <v>3.551538621395707E-2</v>
      </c>
      <c r="Z28" s="80">
        <f t="shared" si="6"/>
        <v>3.551538621395707E-2</v>
      </c>
      <c r="AA28" s="80">
        <f t="shared" si="6"/>
        <v>3.551538621395707E-2</v>
      </c>
      <c r="AB28" s="80">
        <f t="shared" si="6"/>
        <v>3.551538621395707E-2</v>
      </c>
      <c r="AC28" s="80">
        <f t="shared" si="6"/>
        <v>3.6370475280450253E-2</v>
      </c>
      <c r="AD28" s="80">
        <f t="shared" si="6"/>
        <v>3.6370475280450253E-2</v>
      </c>
      <c r="AE28" s="80">
        <f t="shared" si="6"/>
        <v>3.6370475280450253E-2</v>
      </c>
      <c r="AF28" s="80">
        <f t="shared" si="6"/>
        <v>3.6370475280450253E-2</v>
      </c>
      <c r="AG28" s="80">
        <f t="shared" si="6"/>
        <v>3.6370475280450253E-2</v>
      </c>
      <c r="AH28" s="80">
        <f t="shared" si="6"/>
        <v>3.6370475280450253E-2</v>
      </c>
      <c r="AI28" s="81">
        <f t="shared" si="6"/>
        <v>3.6370475280450253E-2</v>
      </c>
      <c r="AJ28" s="82">
        <f t="shared" si="1"/>
        <v>1.0000000000000002</v>
      </c>
    </row>
    <row r="29" spans="2:36" ht="13.95" customHeight="1">
      <c r="B29" s="368"/>
      <c r="C29" s="369"/>
      <c r="D29" s="370"/>
      <c r="E29" s="191" t="s">
        <v>75</v>
      </c>
      <c r="F29" s="83">
        <f>'MC Conservação Rotina'!F151</f>
        <v>0</v>
      </c>
      <c r="G29" s="192">
        <f>'MC Conservação Rotina'!G151</f>
        <v>1811431.2199745257</v>
      </c>
      <c r="H29" s="192">
        <f>'MC Conservação Rotina'!H151</f>
        <v>1849332.7918535743</v>
      </c>
      <c r="I29" s="192">
        <f>'MC Conservação Rotina'!I151</f>
        <v>1887234.3637326229</v>
      </c>
      <c r="J29" s="192">
        <f>'MC Conservação Rotina'!J151</f>
        <v>1925135.935611672</v>
      </c>
      <c r="K29" s="192">
        <f>'MC Conservação Rotina'!K151</f>
        <v>1980588.9772566864</v>
      </c>
      <c r="L29" s="192">
        <f>'MC Conservação Rotina'!L151</f>
        <v>2002749.2205784535</v>
      </c>
      <c r="M29" s="192">
        <f>'MC Conservação Rotina'!M151</f>
        <v>2041373.7929871599</v>
      </c>
      <c r="N29" s="192">
        <f>'MC Conservação Rotina'!N151</f>
        <v>2056239.6987203262</v>
      </c>
      <c r="O29" s="192">
        <f>'MC Conservação Rotina'!O151</f>
        <v>2057690.0261414303</v>
      </c>
      <c r="P29" s="192">
        <f>'MC Conservação Rotina'!P151</f>
        <v>2058410.8634901932</v>
      </c>
      <c r="Q29" s="192">
        <f>'MC Conservação Rotina'!Q151</f>
        <v>2067696.0971055771</v>
      </c>
      <c r="R29" s="192">
        <f>'MC Conservação Rotina'!R151</f>
        <v>2069144.2613457865</v>
      </c>
      <c r="S29" s="192">
        <f>'MC Conservação Rotina'!S151</f>
        <v>2079863.1631618105</v>
      </c>
      <c r="T29" s="192">
        <f>'MC Conservação Rotina'!T151</f>
        <v>2079860.999980917</v>
      </c>
      <c r="U29" s="192">
        <f>'MC Conservação Rotina'!U151</f>
        <v>2080586.163691469</v>
      </c>
      <c r="V29" s="192">
        <f>'MC Conservação Rotina'!V151</f>
        <v>2080584.0005105743</v>
      </c>
      <c r="W29" s="192">
        <f>'MC Conservação Rotina'!W151</f>
        <v>2080584.0005105743</v>
      </c>
      <c r="X29" s="192">
        <f>'MC Conservação Rotina'!X151</f>
        <v>2080584.0005105743</v>
      </c>
      <c r="Y29" s="192">
        <f>'MC Conservação Rotina'!Y151</f>
        <v>2136125.6957049286</v>
      </c>
      <c r="Z29" s="192">
        <f>'MC Conservação Rotina'!Z151</f>
        <v>2136125.6957049286</v>
      </c>
      <c r="AA29" s="192">
        <f>'MC Conservação Rotina'!AA151</f>
        <v>2136125.6957049286</v>
      </c>
      <c r="AB29" s="192">
        <f>'MC Conservação Rotina'!AB151</f>
        <v>2136125.6957049286</v>
      </c>
      <c r="AC29" s="192">
        <f>'MC Conservação Rotina'!AC151</f>
        <v>2187556.2986568008</v>
      </c>
      <c r="AD29" s="192">
        <f>'MC Conservação Rotina'!AD151</f>
        <v>2187556.2986568008</v>
      </c>
      <c r="AE29" s="192">
        <f>'MC Conservação Rotina'!AE151</f>
        <v>2187556.2986568008</v>
      </c>
      <c r="AF29" s="192">
        <f>'MC Conservação Rotina'!AF151</f>
        <v>2187556.2986568008</v>
      </c>
      <c r="AG29" s="192">
        <f>'MC Conservação Rotina'!AG151</f>
        <v>2187556.2986568008</v>
      </c>
      <c r="AH29" s="192">
        <f>'MC Conservação Rotina'!AH151</f>
        <v>2187556.2986568008</v>
      </c>
      <c r="AI29" s="192">
        <f>'MC Conservação Rotina'!AI151</f>
        <v>2187556.2986568008</v>
      </c>
      <c r="AJ29" s="193">
        <f t="shared" si="1"/>
        <v>60146486.450581238</v>
      </c>
    </row>
    <row r="30" spans="2:36" ht="13.95" customHeight="1">
      <c r="B30" s="368" t="s">
        <v>81</v>
      </c>
      <c r="C30" s="369" t="str">
        <f>+CONCATENATE("Programa - ",'MC Conservação Rotina'!C71)</f>
        <v>Programa - EDIFICAÇÕES E INSTALAÇÕES OPERACIONAIS</v>
      </c>
      <c r="D30" s="370">
        <f>'MC Conservação Rotina'!AJ160</f>
        <v>2754199.0086624715</v>
      </c>
      <c r="E30" s="190" t="s">
        <v>39</v>
      </c>
      <c r="F30" s="79">
        <f t="shared" ref="F30:AI30" si="7">+F31/$D30</f>
        <v>0</v>
      </c>
      <c r="G30" s="80">
        <f t="shared" si="7"/>
        <v>3.4482758620689669E-2</v>
      </c>
      <c r="H30" s="80">
        <f t="shared" si="7"/>
        <v>3.4482758620689669E-2</v>
      </c>
      <c r="I30" s="80">
        <f t="shared" si="7"/>
        <v>3.4482758620689669E-2</v>
      </c>
      <c r="J30" s="80">
        <f t="shared" si="7"/>
        <v>3.4482758620689669E-2</v>
      </c>
      <c r="K30" s="80">
        <f t="shared" si="7"/>
        <v>3.4482758620689669E-2</v>
      </c>
      <c r="L30" s="80">
        <f t="shared" si="7"/>
        <v>3.4482758620689669E-2</v>
      </c>
      <c r="M30" s="80">
        <f t="shared" si="7"/>
        <v>3.4482758620689669E-2</v>
      </c>
      <c r="N30" s="80">
        <f t="shared" si="7"/>
        <v>3.4482758620689669E-2</v>
      </c>
      <c r="O30" s="80">
        <f t="shared" si="7"/>
        <v>3.4482758620689669E-2</v>
      </c>
      <c r="P30" s="80">
        <f t="shared" si="7"/>
        <v>3.4482758620689669E-2</v>
      </c>
      <c r="Q30" s="80">
        <f t="shared" si="7"/>
        <v>3.4482758620689669E-2</v>
      </c>
      <c r="R30" s="80">
        <f t="shared" si="7"/>
        <v>3.4482758620689669E-2</v>
      </c>
      <c r="S30" s="80">
        <f t="shared" si="7"/>
        <v>3.4482758620689669E-2</v>
      </c>
      <c r="T30" s="80">
        <f t="shared" si="7"/>
        <v>3.4482758620689669E-2</v>
      </c>
      <c r="U30" s="80">
        <f t="shared" si="7"/>
        <v>3.4482758620689669E-2</v>
      </c>
      <c r="V30" s="80">
        <f t="shared" si="7"/>
        <v>3.4482758620689669E-2</v>
      </c>
      <c r="W30" s="80">
        <f t="shared" si="7"/>
        <v>3.4482758620689669E-2</v>
      </c>
      <c r="X30" s="80">
        <f t="shared" si="7"/>
        <v>3.4482758620689669E-2</v>
      </c>
      <c r="Y30" s="80">
        <f t="shared" si="7"/>
        <v>3.4482758620689669E-2</v>
      </c>
      <c r="Z30" s="80">
        <f t="shared" si="7"/>
        <v>3.4482758620689669E-2</v>
      </c>
      <c r="AA30" s="80">
        <f t="shared" si="7"/>
        <v>3.4482758620689669E-2</v>
      </c>
      <c r="AB30" s="80">
        <f t="shared" si="7"/>
        <v>3.4482758620689669E-2</v>
      </c>
      <c r="AC30" s="80">
        <f t="shared" si="7"/>
        <v>3.4482758620689669E-2</v>
      </c>
      <c r="AD30" s="80">
        <f t="shared" si="7"/>
        <v>3.4482758620689669E-2</v>
      </c>
      <c r="AE30" s="80">
        <f t="shared" si="7"/>
        <v>3.4482758620689669E-2</v>
      </c>
      <c r="AF30" s="80">
        <f t="shared" si="7"/>
        <v>3.4482758620689669E-2</v>
      </c>
      <c r="AG30" s="80">
        <f t="shared" si="7"/>
        <v>3.4482758620689669E-2</v>
      </c>
      <c r="AH30" s="80">
        <f t="shared" si="7"/>
        <v>3.4482758620689669E-2</v>
      </c>
      <c r="AI30" s="81">
        <f t="shared" si="7"/>
        <v>3.4482758620689669E-2</v>
      </c>
      <c r="AJ30" s="82">
        <f t="shared" si="1"/>
        <v>1.0000000000000011</v>
      </c>
    </row>
    <row r="31" spans="2:36" ht="13.95" customHeight="1">
      <c r="B31" s="368"/>
      <c r="C31" s="369"/>
      <c r="D31" s="370"/>
      <c r="E31" s="191" t="s">
        <v>75</v>
      </c>
      <c r="F31" s="83">
        <f>'MC Conservação Rotina'!F160</f>
        <v>0</v>
      </c>
      <c r="G31" s="192">
        <f>'MC Conservação Rotina'!G160</f>
        <v>94972.379609050782</v>
      </c>
      <c r="H31" s="192">
        <f>'MC Conservação Rotina'!H160</f>
        <v>94972.379609050782</v>
      </c>
      <c r="I31" s="192">
        <f>'MC Conservação Rotina'!I160</f>
        <v>94972.379609050782</v>
      </c>
      <c r="J31" s="192">
        <f>'MC Conservação Rotina'!J160</f>
        <v>94972.379609050782</v>
      </c>
      <c r="K31" s="192">
        <f>'MC Conservação Rotina'!K160</f>
        <v>94972.379609050782</v>
      </c>
      <c r="L31" s="192">
        <f>'MC Conservação Rotina'!L160</f>
        <v>94972.379609050782</v>
      </c>
      <c r="M31" s="192">
        <f>'MC Conservação Rotina'!M160</f>
        <v>94972.379609050782</v>
      </c>
      <c r="N31" s="192">
        <f>'MC Conservação Rotina'!N160</f>
        <v>94972.379609050782</v>
      </c>
      <c r="O31" s="192">
        <f>'MC Conservação Rotina'!O160</f>
        <v>94972.379609050782</v>
      </c>
      <c r="P31" s="192">
        <f>'MC Conservação Rotina'!P160</f>
        <v>94972.379609050782</v>
      </c>
      <c r="Q31" s="192">
        <f>'MC Conservação Rotina'!Q160</f>
        <v>94972.379609050782</v>
      </c>
      <c r="R31" s="192">
        <f>'MC Conservação Rotina'!R160</f>
        <v>94972.379609050782</v>
      </c>
      <c r="S31" s="192">
        <f>'MC Conservação Rotina'!S160</f>
        <v>94972.379609050782</v>
      </c>
      <c r="T31" s="192">
        <f>'MC Conservação Rotina'!T160</f>
        <v>94972.379609050782</v>
      </c>
      <c r="U31" s="192">
        <f>'MC Conservação Rotina'!U160</f>
        <v>94972.379609050782</v>
      </c>
      <c r="V31" s="192">
        <f>'MC Conservação Rotina'!V160</f>
        <v>94972.379609050782</v>
      </c>
      <c r="W31" s="192">
        <f>'MC Conservação Rotina'!W160</f>
        <v>94972.379609050782</v>
      </c>
      <c r="X31" s="192">
        <f>'MC Conservação Rotina'!X160</f>
        <v>94972.379609050782</v>
      </c>
      <c r="Y31" s="192">
        <f>'MC Conservação Rotina'!Y160</f>
        <v>94972.379609050782</v>
      </c>
      <c r="Z31" s="192">
        <f>'MC Conservação Rotina'!Z160</f>
        <v>94972.379609050782</v>
      </c>
      <c r="AA31" s="192">
        <f>'MC Conservação Rotina'!AA160</f>
        <v>94972.379609050782</v>
      </c>
      <c r="AB31" s="192">
        <f>'MC Conservação Rotina'!AB160</f>
        <v>94972.379609050782</v>
      </c>
      <c r="AC31" s="192">
        <f>'MC Conservação Rotina'!AC160</f>
        <v>94972.379609050782</v>
      </c>
      <c r="AD31" s="192">
        <f>'MC Conservação Rotina'!AD160</f>
        <v>94972.379609050782</v>
      </c>
      <c r="AE31" s="192">
        <f>'MC Conservação Rotina'!AE160</f>
        <v>94972.379609050782</v>
      </c>
      <c r="AF31" s="192">
        <f>'MC Conservação Rotina'!AF160</f>
        <v>94972.379609050782</v>
      </c>
      <c r="AG31" s="192">
        <f>'MC Conservação Rotina'!AG160</f>
        <v>94972.379609050782</v>
      </c>
      <c r="AH31" s="192">
        <f>'MC Conservação Rotina'!AH160</f>
        <v>94972.379609050782</v>
      </c>
      <c r="AI31" s="192">
        <f>'MC Conservação Rotina'!AI160</f>
        <v>94972.379609050782</v>
      </c>
      <c r="AJ31" s="193">
        <f t="shared" si="1"/>
        <v>2754199.0086624715</v>
      </c>
    </row>
    <row r="32" spans="2:36" ht="13.95" customHeight="1">
      <c r="B32" s="368" t="s">
        <v>82</v>
      </c>
      <c r="C32" s="369" t="str">
        <f>+CONCATENATE("Programa - ",'MC Conservação Rotina'!C74)</f>
        <v>Programa - ILUMINAÇÃO</v>
      </c>
      <c r="D32" s="370">
        <f>'MC Conservação Rotina'!AJ169</f>
        <v>4195085.7671629572</v>
      </c>
      <c r="E32" s="190" t="s">
        <v>39</v>
      </c>
      <c r="F32" s="79">
        <f t="shared" ref="F32:AI32" si="8">+F33/$D32</f>
        <v>0</v>
      </c>
      <c r="G32" s="80">
        <f t="shared" si="8"/>
        <v>3.4482758620689634E-2</v>
      </c>
      <c r="H32" s="80">
        <f t="shared" si="8"/>
        <v>3.4482758620689634E-2</v>
      </c>
      <c r="I32" s="80">
        <f t="shared" si="8"/>
        <v>3.4482758620689634E-2</v>
      </c>
      <c r="J32" s="80">
        <f t="shared" si="8"/>
        <v>3.4482758620689634E-2</v>
      </c>
      <c r="K32" s="80">
        <f t="shared" si="8"/>
        <v>3.4482758620689634E-2</v>
      </c>
      <c r="L32" s="80">
        <f t="shared" si="8"/>
        <v>3.4482758620689634E-2</v>
      </c>
      <c r="M32" s="80">
        <f t="shared" si="8"/>
        <v>3.4482758620689634E-2</v>
      </c>
      <c r="N32" s="80">
        <f t="shared" si="8"/>
        <v>3.4482758620689634E-2</v>
      </c>
      <c r="O32" s="80">
        <f t="shared" si="8"/>
        <v>3.4482758620689634E-2</v>
      </c>
      <c r="P32" s="80">
        <f t="shared" si="8"/>
        <v>3.4482758620689634E-2</v>
      </c>
      <c r="Q32" s="80">
        <f t="shared" si="8"/>
        <v>3.4482758620689634E-2</v>
      </c>
      <c r="R32" s="80">
        <f t="shared" si="8"/>
        <v>3.4482758620689634E-2</v>
      </c>
      <c r="S32" s="80">
        <f t="shared" si="8"/>
        <v>3.4482758620689634E-2</v>
      </c>
      <c r="T32" s="80">
        <f t="shared" si="8"/>
        <v>3.4482758620689634E-2</v>
      </c>
      <c r="U32" s="80">
        <f t="shared" si="8"/>
        <v>3.4482758620689634E-2</v>
      </c>
      <c r="V32" s="80">
        <f t="shared" si="8"/>
        <v>3.4482758620689634E-2</v>
      </c>
      <c r="W32" s="80">
        <f t="shared" si="8"/>
        <v>3.4482758620689634E-2</v>
      </c>
      <c r="X32" s="80">
        <f t="shared" si="8"/>
        <v>3.4482758620689634E-2</v>
      </c>
      <c r="Y32" s="80">
        <f t="shared" si="8"/>
        <v>3.4482758620689634E-2</v>
      </c>
      <c r="Z32" s="80">
        <f t="shared" si="8"/>
        <v>3.4482758620689634E-2</v>
      </c>
      <c r="AA32" s="80">
        <f t="shared" si="8"/>
        <v>3.4482758620689634E-2</v>
      </c>
      <c r="AB32" s="80">
        <f t="shared" si="8"/>
        <v>3.4482758620689634E-2</v>
      </c>
      <c r="AC32" s="80">
        <f t="shared" si="8"/>
        <v>3.4482758620689634E-2</v>
      </c>
      <c r="AD32" s="80">
        <f t="shared" si="8"/>
        <v>3.4482758620689634E-2</v>
      </c>
      <c r="AE32" s="80">
        <f t="shared" si="8"/>
        <v>3.4482758620689634E-2</v>
      </c>
      <c r="AF32" s="80">
        <f t="shared" si="8"/>
        <v>3.4482758620689634E-2</v>
      </c>
      <c r="AG32" s="80">
        <f t="shared" si="8"/>
        <v>3.4482758620689634E-2</v>
      </c>
      <c r="AH32" s="80">
        <f t="shared" si="8"/>
        <v>3.4482758620689634E-2</v>
      </c>
      <c r="AI32" s="81">
        <f t="shared" si="8"/>
        <v>3.4482758620689634E-2</v>
      </c>
      <c r="AJ32" s="82">
        <f t="shared" si="1"/>
        <v>0.999999999999999</v>
      </c>
    </row>
    <row r="33" spans="2:39" ht="13.95" customHeight="1">
      <c r="B33" s="368"/>
      <c r="C33" s="369"/>
      <c r="D33" s="370"/>
      <c r="E33" s="191" t="s">
        <v>75</v>
      </c>
      <c r="F33" s="83">
        <f>'MC Conservação Rotina'!F169</f>
        <v>0</v>
      </c>
      <c r="G33" s="192">
        <f>'MC Conservação Rotina'!G169</f>
        <v>144658.12990217085</v>
      </c>
      <c r="H33" s="192">
        <f>'MC Conservação Rotina'!H169</f>
        <v>144658.12990217085</v>
      </c>
      <c r="I33" s="192">
        <f>'MC Conservação Rotina'!I169</f>
        <v>144658.12990217085</v>
      </c>
      <c r="J33" s="192">
        <f>'MC Conservação Rotina'!J169</f>
        <v>144658.12990217085</v>
      </c>
      <c r="K33" s="192">
        <f>'MC Conservação Rotina'!K169</f>
        <v>144658.12990217085</v>
      </c>
      <c r="L33" s="192">
        <f>'MC Conservação Rotina'!L169</f>
        <v>144658.12990217085</v>
      </c>
      <c r="M33" s="192">
        <f>'MC Conservação Rotina'!M169</f>
        <v>144658.12990217085</v>
      </c>
      <c r="N33" s="192">
        <f>'MC Conservação Rotina'!N169</f>
        <v>144658.12990217085</v>
      </c>
      <c r="O33" s="192">
        <f>'MC Conservação Rotina'!O169</f>
        <v>144658.12990217085</v>
      </c>
      <c r="P33" s="192">
        <f>'MC Conservação Rotina'!P169</f>
        <v>144658.12990217085</v>
      </c>
      <c r="Q33" s="192">
        <f>'MC Conservação Rotina'!Q169</f>
        <v>144658.12990217085</v>
      </c>
      <c r="R33" s="192">
        <f>'MC Conservação Rotina'!R169</f>
        <v>144658.12990217085</v>
      </c>
      <c r="S33" s="192">
        <f>'MC Conservação Rotina'!S169</f>
        <v>144658.12990217085</v>
      </c>
      <c r="T33" s="192">
        <f>'MC Conservação Rotina'!T169</f>
        <v>144658.12990217085</v>
      </c>
      <c r="U33" s="192">
        <f>'MC Conservação Rotina'!U169</f>
        <v>144658.12990217085</v>
      </c>
      <c r="V33" s="192">
        <f>'MC Conservação Rotina'!V169</f>
        <v>144658.12990217085</v>
      </c>
      <c r="W33" s="192">
        <f>'MC Conservação Rotina'!W169</f>
        <v>144658.12990217085</v>
      </c>
      <c r="X33" s="192">
        <f>'MC Conservação Rotina'!X169</f>
        <v>144658.12990217085</v>
      </c>
      <c r="Y33" s="192">
        <f>'MC Conservação Rotina'!Y169</f>
        <v>144658.12990217085</v>
      </c>
      <c r="Z33" s="192">
        <f>'MC Conservação Rotina'!Z169</f>
        <v>144658.12990217085</v>
      </c>
      <c r="AA33" s="192">
        <f>'MC Conservação Rotina'!AA169</f>
        <v>144658.12990217085</v>
      </c>
      <c r="AB33" s="192">
        <f>'MC Conservação Rotina'!AB169</f>
        <v>144658.12990217085</v>
      </c>
      <c r="AC33" s="192">
        <f>'MC Conservação Rotina'!AC169</f>
        <v>144658.12990217085</v>
      </c>
      <c r="AD33" s="192">
        <f>'MC Conservação Rotina'!AD169</f>
        <v>144658.12990217085</v>
      </c>
      <c r="AE33" s="192">
        <f>'MC Conservação Rotina'!AE169</f>
        <v>144658.12990217085</v>
      </c>
      <c r="AF33" s="192">
        <f>'MC Conservação Rotina'!AF169</f>
        <v>144658.12990217085</v>
      </c>
      <c r="AG33" s="192">
        <f>'MC Conservação Rotina'!AG169</f>
        <v>144658.12990217085</v>
      </c>
      <c r="AH33" s="192">
        <f>'MC Conservação Rotina'!AH169</f>
        <v>144658.12990217085</v>
      </c>
      <c r="AI33" s="192">
        <f>'MC Conservação Rotina'!AI169</f>
        <v>144658.12990217085</v>
      </c>
      <c r="AJ33" s="193">
        <f t="shared" si="1"/>
        <v>4195085.7671629572</v>
      </c>
      <c r="AL33"/>
    </row>
    <row r="34" spans="2:39" ht="13.95" customHeight="1">
      <c r="B34" s="371"/>
      <c r="C34" s="369" t="s">
        <v>83</v>
      </c>
      <c r="D34" s="370">
        <f>+SUM(D18:D33)</f>
        <v>227100541.86616907</v>
      </c>
      <c r="E34" s="190" t="s">
        <v>39</v>
      </c>
      <c r="F34" s="79">
        <f t="shared" ref="F34:AI34" si="9">+F35/$D34</f>
        <v>0</v>
      </c>
      <c r="G34" s="80">
        <f t="shared" si="9"/>
        <v>2.9145992320613448E-2</v>
      </c>
      <c r="H34" s="80">
        <f t="shared" si="9"/>
        <v>2.9916302676326698E-2</v>
      </c>
      <c r="I34" s="80">
        <f t="shared" si="9"/>
        <v>3.0686613032039942E-2</v>
      </c>
      <c r="J34" s="80">
        <f t="shared" si="9"/>
        <v>3.1456923387753195E-2</v>
      </c>
      <c r="K34" s="80">
        <f t="shared" si="9"/>
        <v>3.2583880384972584E-2</v>
      </c>
      <c r="L34" s="80">
        <f t="shared" si="9"/>
        <v>3.3034298913008409E-2</v>
      </c>
      <c r="M34" s="80">
        <f t="shared" si="9"/>
        <v>3.381930350876422E-2</v>
      </c>
      <c r="N34" s="80">
        <f t="shared" si="9"/>
        <v>3.4121472148893064E-2</v>
      </c>
      <c r="O34" s="80">
        <f t="shared" si="9"/>
        <v>3.415087967940296E-2</v>
      </c>
      <c r="P34" s="80">
        <f t="shared" si="9"/>
        <v>3.4165564394233142E-2</v>
      </c>
      <c r="Q34" s="80">
        <f t="shared" si="9"/>
        <v>3.4354277190419329E-2</v>
      </c>
      <c r="R34" s="80">
        <f t="shared" si="9"/>
        <v>3.4383675195716848E-2</v>
      </c>
      <c r="S34" s="80">
        <f t="shared" si="9"/>
        <v>3.4601560258564187E-2</v>
      </c>
      <c r="T34" s="80">
        <f t="shared" si="9"/>
        <v>3.4601550733351805E-2</v>
      </c>
      <c r="U34" s="80">
        <f t="shared" si="9"/>
        <v>3.4616254498606759E-2</v>
      </c>
      <c r="V34" s="80">
        <f t="shared" si="9"/>
        <v>3.4616244973394369E-2</v>
      </c>
      <c r="W34" s="80">
        <f t="shared" si="9"/>
        <v>3.4616244973394369E-2</v>
      </c>
      <c r="X34" s="80">
        <f t="shared" si="9"/>
        <v>3.4616244973394369E-2</v>
      </c>
      <c r="Y34" s="80">
        <f t="shared" si="9"/>
        <v>3.5745072640980646E-2</v>
      </c>
      <c r="Z34" s="80">
        <f t="shared" si="9"/>
        <v>3.5745072640980646E-2</v>
      </c>
      <c r="AA34" s="80">
        <f t="shared" si="9"/>
        <v>3.5745072640980646E-2</v>
      </c>
      <c r="AB34" s="80">
        <f t="shared" si="9"/>
        <v>3.5745072640980646E-2</v>
      </c>
      <c r="AC34" s="80">
        <f t="shared" si="9"/>
        <v>3.6790346599032582E-2</v>
      </c>
      <c r="AD34" s="80">
        <f t="shared" si="9"/>
        <v>3.6790346599032582E-2</v>
      </c>
      <c r="AE34" s="80">
        <f t="shared" si="9"/>
        <v>3.6790346599032582E-2</v>
      </c>
      <c r="AF34" s="80">
        <f t="shared" si="9"/>
        <v>3.6790346599032582E-2</v>
      </c>
      <c r="AG34" s="80">
        <f t="shared" si="9"/>
        <v>3.6790346599032582E-2</v>
      </c>
      <c r="AH34" s="80">
        <f t="shared" si="9"/>
        <v>3.6790346599032582E-2</v>
      </c>
      <c r="AI34" s="81">
        <f t="shared" si="9"/>
        <v>3.6790346599032582E-2</v>
      </c>
      <c r="AJ34" s="82">
        <f t="shared" si="1"/>
        <v>1.0000000000000004</v>
      </c>
      <c r="AL34"/>
    </row>
    <row r="35" spans="2:39" ht="13.95" customHeight="1">
      <c r="B35" s="371"/>
      <c r="C35" s="369"/>
      <c r="D35" s="370"/>
      <c r="E35" s="191" t="s">
        <v>75</v>
      </c>
      <c r="F35" s="83">
        <f t="shared" ref="F35:AI35" si="10">+SUMIF($E$18:$E$33,"Valor",F18:F33)</f>
        <v>0</v>
      </c>
      <c r="G35" s="194">
        <f t="shared" si="10"/>
        <v>6619070.6492385166</v>
      </c>
      <c r="H35" s="194">
        <f t="shared" si="10"/>
        <v>6794008.5484261168</v>
      </c>
      <c r="I35" s="194">
        <f t="shared" si="10"/>
        <v>6968946.4476137161</v>
      </c>
      <c r="J35" s="194">
        <f t="shared" si="10"/>
        <v>7143884.3468013173</v>
      </c>
      <c r="K35" s="194">
        <f t="shared" si="10"/>
        <v>7399816.891529711</v>
      </c>
      <c r="L35" s="194">
        <f t="shared" si="10"/>
        <v>7502107.1833132086</v>
      </c>
      <c r="M35" s="194">
        <f t="shared" si="10"/>
        <v>7680382.1523767868</v>
      </c>
      <c r="N35" s="194">
        <f t="shared" si="10"/>
        <v>7749004.814285011</v>
      </c>
      <c r="O35" s="194">
        <f t="shared" si="10"/>
        <v>7755683.2803987544</v>
      </c>
      <c r="P35" s="194">
        <f t="shared" si="10"/>
        <v>7759018.1870938381</v>
      </c>
      <c r="Q35" s="194">
        <f t="shared" si="10"/>
        <v>7801874.9653648017</v>
      </c>
      <c r="R35" s="194">
        <f t="shared" si="10"/>
        <v>7808551.2682976527</v>
      </c>
      <c r="S35" s="194">
        <f t="shared" si="10"/>
        <v>7858033.0841348283</v>
      </c>
      <c r="T35" s="194">
        <f t="shared" si="10"/>
        <v>7858030.920953935</v>
      </c>
      <c r="U35" s="194">
        <f t="shared" si="10"/>
        <v>7861370.1540108072</v>
      </c>
      <c r="V35" s="194">
        <f t="shared" si="10"/>
        <v>7861367.990829912</v>
      </c>
      <c r="W35" s="194">
        <f t="shared" si="10"/>
        <v>7861367.990829912</v>
      </c>
      <c r="X35" s="194">
        <f t="shared" si="10"/>
        <v>7861367.990829912</v>
      </c>
      <c r="Y35" s="194">
        <f t="shared" si="10"/>
        <v>8117725.3658122793</v>
      </c>
      <c r="Z35" s="194">
        <f t="shared" si="10"/>
        <v>8117725.3658122793</v>
      </c>
      <c r="AA35" s="194">
        <f t="shared" si="10"/>
        <v>8117725.3658122793</v>
      </c>
      <c r="AB35" s="194">
        <f t="shared" si="10"/>
        <v>8117725.3658122793</v>
      </c>
      <c r="AC35" s="194">
        <f t="shared" si="10"/>
        <v>8355107.6480844701</v>
      </c>
      <c r="AD35" s="194">
        <f t="shared" si="10"/>
        <v>8355107.6480844701</v>
      </c>
      <c r="AE35" s="194">
        <f t="shared" si="10"/>
        <v>8355107.6480844701</v>
      </c>
      <c r="AF35" s="194">
        <f t="shared" si="10"/>
        <v>8355107.6480844701</v>
      </c>
      <c r="AG35" s="194">
        <f t="shared" si="10"/>
        <v>8355107.6480844701</v>
      </c>
      <c r="AH35" s="194">
        <f t="shared" si="10"/>
        <v>8355107.6480844701</v>
      </c>
      <c r="AI35" s="195">
        <f t="shared" si="10"/>
        <v>8355107.6480844701</v>
      </c>
      <c r="AJ35" s="193">
        <f t="shared" si="1"/>
        <v>227100541.86616904</v>
      </c>
      <c r="AL35" s="280">
        <v>209981206.66682309</v>
      </c>
      <c r="AM35" s="281">
        <f>AJ35-AL35</f>
        <v>17119335.199345946</v>
      </c>
    </row>
    <row r="36" spans="2:39">
      <c r="AL36"/>
    </row>
    <row r="37" spans="2:39" ht="14.4">
      <c r="D37" s="283" t="s">
        <v>84</v>
      </c>
      <c r="E37" s="284"/>
      <c r="F37" s="281">
        <f>+F35/'Ext Equiv'!E353</f>
        <v>0</v>
      </c>
      <c r="G37" s="281">
        <f>+G35/'Ext Equiv'!F353</f>
        <v>44740.04071136703</v>
      </c>
      <c r="H37" s="281">
        <f>+H35/'Ext Equiv'!G353</f>
        <v>43031.763767136566</v>
      </c>
      <c r="I37" s="281">
        <f>+I35/'Ext Equiv'!H353</f>
        <v>41525.815798309035</v>
      </c>
      <c r="J37" s="281">
        <f>+J35/'Ext Equiv'!I353</f>
        <v>40188.260629693694</v>
      </c>
      <c r="K37" s="281">
        <f>+K35/'Ext Equiv'!J353</f>
        <v>38480.568001631371</v>
      </c>
      <c r="L37" s="281">
        <f>+L35/'Ext Equiv'!K353</f>
        <v>37868.112329399315</v>
      </c>
      <c r="M37" s="281">
        <f>+M35/'Ext Equiv'!L353</f>
        <v>36882.446185170375</v>
      </c>
      <c r="N37" s="281">
        <f>+N35/'Ext Equiv'!M353</f>
        <v>36528.103056820721</v>
      </c>
      <c r="O37" s="281">
        <f>+O35/'Ext Equiv'!N353</f>
        <v>36494.356289677176</v>
      </c>
      <c r="P37" s="281">
        <f>+P35/'Ext Equiv'!O353</f>
        <v>36477.50768374405</v>
      </c>
      <c r="Q37" s="281">
        <f>+Q35/'Ext Equiv'!P353</f>
        <v>36263.895721570138</v>
      </c>
      <c r="R37" s="281">
        <f>+R35/'Ext Equiv'!Q353</f>
        <v>36231.07403366721</v>
      </c>
      <c r="S37" s="281">
        <f>+S35/'Ext Equiv'!R353</f>
        <v>35991.197281517998</v>
      </c>
      <c r="T37" s="281">
        <f>+T35/'Ext Equiv'!S353</f>
        <v>35991.187373762528</v>
      </c>
      <c r="U37" s="281">
        <f>+U35/'Ext Equiv'!T353</f>
        <v>35975.243434338961</v>
      </c>
      <c r="V37" s="281">
        <f>+V35/'Ext Equiv'!U353</f>
        <v>35975.233535179177</v>
      </c>
      <c r="W37" s="281">
        <f>+W35/'Ext Equiv'!V353</f>
        <v>35975.233535179177</v>
      </c>
      <c r="X37" s="281">
        <f>+X35/'Ext Equiv'!W353</f>
        <v>35975.233535179177</v>
      </c>
      <c r="Y37" s="281">
        <f>+Y35/'Ext Equiv'!X353</f>
        <v>34827.218172198256</v>
      </c>
      <c r="Z37" s="281">
        <f>+Z35/'Ext Equiv'!Y353</f>
        <v>34827.218172198256</v>
      </c>
      <c r="AA37" s="281">
        <f>+AA35/'Ext Equiv'!Z353</f>
        <v>34827.218172198256</v>
      </c>
      <c r="AB37" s="281">
        <f>+AB35/'Ext Equiv'!AA353</f>
        <v>34827.218172198256</v>
      </c>
      <c r="AC37" s="281">
        <f>+AC35/'Ext Equiv'!AB353</f>
        <v>33885.108378569326</v>
      </c>
      <c r="AD37" s="281">
        <f>+AD35/'Ext Equiv'!AC353</f>
        <v>33885.108378569326</v>
      </c>
      <c r="AE37" s="281">
        <f>+AE35/'Ext Equiv'!AD353</f>
        <v>33885.108378569326</v>
      </c>
      <c r="AF37" s="281">
        <f>+AF35/'Ext Equiv'!AE353</f>
        <v>33885.108378569326</v>
      </c>
      <c r="AG37" s="281">
        <f>+AG35/'Ext Equiv'!AF353</f>
        <v>33885.108378569326</v>
      </c>
      <c r="AH37" s="281">
        <f>+AH35/'Ext Equiv'!AG353</f>
        <v>33885.108378569326</v>
      </c>
      <c r="AI37" s="281">
        <f>+AI35/'Ext Equiv'!AH353</f>
        <v>33885.108378569326</v>
      </c>
      <c r="AJ37" s="78"/>
      <c r="AL37"/>
    </row>
    <row r="38" spans="2:39" ht="14.4">
      <c r="D38" s="283" t="s">
        <v>85</v>
      </c>
      <c r="F38" s="281">
        <f>D34/Quantidades!G13</f>
        <v>1001766.8366394754</v>
      </c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L38"/>
    </row>
    <row r="39" spans="2:39" ht="14.4">
      <c r="D39" s="283" t="s">
        <v>86</v>
      </c>
      <c r="F39" s="281">
        <f>D34/29</f>
        <v>7831053.1677989336</v>
      </c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L39"/>
    </row>
    <row r="40" spans="2:39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L40"/>
    </row>
    <row r="41" spans="2:39">
      <c r="D41" s="78">
        <v>228327210.61463714</v>
      </c>
    </row>
    <row r="42" spans="2:39">
      <c r="D42" s="78">
        <f>D34-D41</f>
        <v>-1226668.7484680712</v>
      </c>
    </row>
  </sheetData>
  <mergeCells count="61">
    <mergeCell ref="B7:D7"/>
    <mergeCell ref="B32:B33"/>
    <mergeCell ref="C32:C33"/>
    <mergeCell ref="D32:D33"/>
    <mergeCell ref="B34:B35"/>
    <mergeCell ref="C34:C35"/>
    <mergeCell ref="D34:D35"/>
    <mergeCell ref="B28:B29"/>
    <mergeCell ref="C28:C29"/>
    <mergeCell ref="D28:D29"/>
    <mergeCell ref="B30:B31"/>
    <mergeCell ref="C30:C31"/>
    <mergeCell ref="D30:D31"/>
    <mergeCell ref="B24:B25"/>
    <mergeCell ref="C24:C25"/>
    <mergeCell ref="D24:D25"/>
    <mergeCell ref="B26:B27"/>
    <mergeCell ref="C26:C27"/>
    <mergeCell ref="D26:D27"/>
    <mergeCell ref="B20:B21"/>
    <mergeCell ref="C20:C21"/>
    <mergeCell ref="D20:D21"/>
    <mergeCell ref="B22:B23"/>
    <mergeCell ref="C22:C23"/>
    <mergeCell ref="D22:D23"/>
    <mergeCell ref="AH15:AH16"/>
    <mergeCell ref="AI15:AI16"/>
    <mergeCell ref="AJ15:AJ16"/>
    <mergeCell ref="B18:B19"/>
    <mergeCell ref="C18:C19"/>
    <mergeCell ref="D18:D19"/>
    <mergeCell ref="AB15:AB16"/>
    <mergeCell ref="AC15:AC16"/>
    <mergeCell ref="AD15:AD16"/>
    <mergeCell ref="AE15:AE16"/>
    <mergeCell ref="AF15:AF16"/>
    <mergeCell ref="AG15:AG16"/>
    <mergeCell ref="V15:V16"/>
    <mergeCell ref="W15:W16"/>
    <mergeCell ref="X15:X16"/>
    <mergeCell ref="Y15:Y16"/>
    <mergeCell ref="Z15:Z16"/>
    <mergeCell ref="AA15:AA16"/>
    <mergeCell ref="P15:P16"/>
    <mergeCell ref="Q15:Q16"/>
    <mergeCell ref="R15:R16"/>
    <mergeCell ref="S15:S16"/>
    <mergeCell ref="T15:T16"/>
    <mergeCell ref="U15:U16"/>
    <mergeCell ref="O15:O16"/>
    <mergeCell ref="B15:B16"/>
    <mergeCell ref="C15:C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</mergeCells>
  <pageMargins left="0.511811024" right="0.511811024" top="0.78740157499999996" bottom="0.78740157499999996" header="0.31496062000000002" footer="0.31496062000000002"/>
  <ignoredErrors>
    <ignoredError sqref="F19:AI19 F21:AI21 F23:AI23 F25:AI25 F27:AI27 F29:AI29 F31:AI31 F33:AI33" 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2361-70DC-45EE-BD7B-2DF13D9426DA}">
  <sheetPr>
    <tabColor rgb="FF00B050"/>
  </sheetPr>
  <dimension ref="B1:AM191"/>
  <sheetViews>
    <sheetView showGridLines="0" zoomScale="80" zoomScaleNormal="80" zoomScaleSheetLayoutView="80" workbookViewId="0"/>
  </sheetViews>
  <sheetFormatPr defaultColWidth="10" defaultRowHeight="13.8" outlineLevelCol="1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1.75" style="1" bestFit="1" customWidth="1"/>
    <col min="6" max="35" width="25.625" style="1" customWidth="1" outlineLevel="1"/>
    <col min="36" max="36" width="24.375" style="1" customWidth="1"/>
    <col min="37" max="37" width="3" style="1" customWidth="1"/>
    <col min="38" max="38" width="14.375" style="1" bestFit="1" customWidth="1"/>
    <col min="39" max="16384" width="10" style="1"/>
  </cols>
  <sheetData>
    <row r="1" spans="2:36" ht="18">
      <c r="B1" s="103"/>
      <c r="C1" s="104"/>
    </row>
    <row r="2" spans="2:36">
      <c r="C2" s="34"/>
    </row>
    <row r="3" spans="2:36">
      <c r="C3" s="34"/>
      <c r="F3"/>
    </row>
    <row r="4" spans="2:36">
      <c r="C4" s="34"/>
      <c r="F4"/>
    </row>
    <row r="5" spans="2:36">
      <c r="B5" s="105"/>
      <c r="C5" s="106"/>
      <c r="D5" s="105"/>
    </row>
    <row r="6" spans="2:36">
      <c r="C6" s="34"/>
    </row>
    <row r="7" spans="2:36" ht="49.95" customHeight="1">
      <c r="B7" s="359" t="s">
        <v>0</v>
      </c>
      <c r="C7" s="360"/>
      <c r="D7" s="361"/>
    </row>
    <row r="8" spans="2:36" ht="15.6">
      <c r="B8" s="107" t="s">
        <v>1</v>
      </c>
      <c r="C8" s="108"/>
      <c r="D8" s="109"/>
    </row>
    <row r="9" spans="2:36" ht="15.6">
      <c r="B9" s="110" t="s">
        <v>2</v>
      </c>
      <c r="C9" s="111"/>
      <c r="D9" s="112"/>
    </row>
    <row r="10" spans="2:36" ht="15.6">
      <c r="B10" s="113"/>
      <c r="C10" s="114"/>
      <c r="D10" s="113"/>
    </row>
    <row r="11" spans="2:36" ht="18">
      <c r="B11" s="115" t="s">
        <v>87</v>
      </c>
      <c r="C11" s="116"/>
      <c r="D11" s="117"/>
    </row>
    <row r="12" spans="2:36" ht="18">
      <c r="B12" s="118" t="s">
        <v>1016</v>
      </c>
      <c r="C12" s="119"/>
      <c r="D12" s="120"/>
    </row>
    <row r="13" spans="2:36" ht="18">
      <c r="B13" s="121" t="s">
        <v>4</v>
      </c>
      <c r="C13" s="122"/>
      <c r="D13" s="123"/>
    </row>
    <row r="14" spans="2:36">
      <c r="C14" s="34"/>
    </row>
    <row r="15" spans="2:36" ht="26.4" customHeight="1">
      <c r="B15" s="372" t="s">
        <v>88</v>
      </c>
      <c r="C15" s="373"/>
      <c r="D15" s="197" t="s">
        <v>89</v>
      </c>
      <c r="E15" s="197" t="s">
        <v>90</v>
      </c>
      <c r="F15" s="198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200"/>
      <c r="AJ15" s="200"/>
    </row>
    <row r="16" spans="2:36" ht="21" customHeight="1">
      <c r="B16" s="201" t="s">
        <v>91</v>
      </c>
      <c r="C16" s="201" t="s">
        <v>92</v>
      </c>
      <c r="D16" s="202"/>
      <c r="E16" s="203" t="s">
        <v>71</v>
      </c>
      <c r="F16" s="203" t="s">
        <v>40</v>
      </c>
      <c r="G16" s="203" t="s">
        <v>41</v>
      </c>
      <c r="H16" s="203" t="s">
        <v>42</v>
      </c>
      <c r="I16" s="203" t="s">
        <v>43</v>
      </c>
      <c r="J16" s="203" t="s">
        <v>44</v>
      </c>
      <c r="K16" s="203" t="s">
        <v>45</v>
      </c>
      <c r="L16" s="203" t="s">
        <v>46</v>
      </c>
      <c r="M16" s="203" t="s">
        <v>47</v>
      </c>
      <c r="N16" s="203" t="s">
        <v>48</v>
      </c>
      <c r="O16" s="203" t="s">
        <v>49</v>
      </c>
      <c r="P16" s="203" t="s">
        <v>50</v>
      </c>
      <c r="Q16" s="203" t="s">
        <v>51</v>
      </c>
      <c r="R16" s="203" t="s">
        <v>52</v>
      </c>
      <c r="S16" s="203" t="s">
        <v>53</v>
      </c>
      <c r="T16" s="203" t="s">
        <v>54</v>
      </c>
      <c r="U16" s="203" t="s">
        <v>55</v>
      </c>
      <c r="V16" s="203" t="s">
        <v>56</v>
      </c>
      <c r="W16" s="203" t="s">
        <v>57</v>
      </c>
      <c r="X16" s="203" t="s">
        <v>58</v>
      </c>
      <c r="Y16" s="203" t="s">
        <v>59</v>
      </c>
      <c r="Z16" s="203" t="s">
        <v>60</v>
      </c>
      <c r="AA16" s="203" t="s">
        <v>61</v>
      </c>
      <c r="AB16" s="203" t="s">
        <v>62</v>
      </c>
      <c r="AC16" s="203" t="s">
        <v>63</v>
      </c>
      <c r="AD16" s="203" t="s">
        <v>64</v>
      </c>
      <c r="AE16" s="203" t="s">
        <v>65</v>
      </c>
      <c r="AF16" s="203" t="s">
        <v>66</v>
      </c>
      <c r="AG16" s="203" t="s">
        <v>67</v>
      </c>
      <c r="AH16" s="203" t="s">
        <v>68</v>
      </c>
      <c r="AI16" s="203" t="s">
        <v>69</v>
      </c>
      <c r="AJ16" s="204" t="s">
        <v>70</v>
      </c>
    </row>
    <row r="17" spans="2:38">
      <c r="B17" s="205"/>
      <c r="C17" s="206" t="s">
        <v>93</v>
      </c>
      <c r="D17" s="206"/>
      <c r="E17" s="207"/>
      <c r="F17" s="208">
        <f t="shared" ref="F17:AI17" si="0">+SUBTOTAL(9,F18:F29)</f>
        <v>0</v>
      </c>
      <c r="G17" s="208">
        <f t="shared" si="0"/>
        <v>870247.75832273555</v>
      </c>
      <c r="H17" s="208">
        <f t="shared" si="0"/>
        <v>928708.05739442876</v>
      </c>
      <c r="I17" s="208">
        <f t="shared" si="0"/>
        <v>987168.35646612197</v>
      </c>
      <c r="J17" s="208">
        <f t="shared" si="0"/>
        <v>1045628.6555378154</v>
      </c>
      <c r="K17" s="208">
        <f t="shared" si="0"/>
        <v>1131154.0920274393</v>
      </c>
      <c r="L17" s="208">
        <f t="shared" si="0"/>
        <v>1165337.9226197065</v>
      </c>
      <c r="M17" s="208">
        <f t="shared" si="0"/>
        <v>1224913.3951551192</v>
      </c>
      <c r="N17" s="208">
        <f t="shared" si="0"/>
        <v>1247846.2634305651</v>
      </c>
      <c r="O17" s="208">
        <f t="shared" si="0"/>
        <v>1250076.6103580035</v>
      </c>
      <c r="P17" s="208">
        <f t="shared" si="0"/>
        <v>1251191.783821723</v>
      </c>
      <c r="Q17" s="208">
        <f t="shared" si="0"/>
        <v>1265513.5522127049</v>
      </c>
      <c r="R17" s="208">
        <f t="shared" si="0"/>
        <v>1267743.8991401433</v>
      </c>
      <c r="S17" s="208">
        <f t="shared" si="0"/>
        <v>1284280.3285021512</v>
      </c>
      <c r="T17" s="208">
        <f t="shared" si="0"/>
        <v>1284280.3285021512</v>
      </c>
      <c r="U17" s="208">
        <f t="shared" si="0"/>
        <v>1285395.5019658706</v>
      </c>
      <c r="V17" s="208">
        <f t="shared" si="0"/>
        <v>1285395.5019658706</v>
      </c>
      <c r="W17" s="208">
        <f t="shared" si="0"/>
        <v>1285395.5019658706</v>
      </c>
      <c r="X17" s="208">
        <f t="shared" si="0"/>
        <v>1285395.5019658706</v>
      </c>
      <c r="Y17" s="208">
        <f t="shared" si="0"/>
        <v>1371064.3529141254</v>
      </c>
      <c r="Z17" s="208">
        <f t="shared" si="0"/>
        <v>1371064.3529141254</v>
      </c>
      <c r="AA17" s="208">
        <f t="shared" si="0"/>
        <v>1371064.3529141254</v>
      </c>
      <c r="AB17" s="208">
        <f t="shared" si="0"/>
        <v>1371064.3529141254</v>
      </c>
      <c r="AC17" s="208">
        <f t="shared" si="0"/>
        <v>1450392.1559825246</v>
      </c>
      <c r="AD17" s="208">
        <f t="shared" si="0"/>
        <v>1450392.1559825246</v>
      </c>
      <c r="AE17" s="208">
        <f t="shared" si="0"/>
        <v>1450392.1559825246</v>
      </c>
      <c r="AF17" s="208">
        <f t="shared" si="0"/>
        <v>1450392.1559825246</v>
      </c>
      <c r="AG17" s="208">
        <f t="shared" si="0"/>
        <v>1450392.1559825246</v>
      </c>
      <c r="AH17" s="208">
        <f t="shared" si="0"/>
        <v>1450392.1559825246</v>
      </c>
      <c r="AI17" s="208">
        <f t="shared" si="0"/>
        <v>1450392.1559825246</v>
      </c>
      <c r="AJ17" s="209">
        <f t="shared" ref="AJ17:AJ60" si="1">+SUM(F17:AI17)</f>
        <v>36982675.514888458</v>
      </c>
      <c r="AK17" s="2"/>
      <c r="AL17" s="2"/>
    </row>
    <row r="18" spans="2:38">
      <c r="B18" s="43"/>
      <c r="C18" s="38" t="s">
        <v>94</v>
      </c>
      <c r="D18" s="38"/>
      <c r="E18" s="39"/>
      <c r="F18" s="210">
        <f t="shared" ref="F18:AI18" si="2">+SUBTOTAL(9,F19:F24)</f>
        <v>0</v>
      </c>
      <c r="G18" s="211">
        <f t="shared" si="2"/>
        <v>501276.98058763513</v>
      </c>
      <c r="H18" s="211">
        <f t="shared" si="2"/>
        <v>534951.07158373133</v>
      </c>
      <c r="I18" s="211">
        <f t="shared" si="2"/>
        <v>568625.16257982748</v>
      </c>
      <c r="J18" s="211">
        <f t="shared" si="2"/>
        <v>602299.25357592374</v>
      </c>
      <c r="K18" s="211">
        <f t="shared" si="2"/>
        <v>651563.30758462008</v>
      </c>
      <c r="L18" s="211">
        <f t="shared" si="2"/>
        <v>671253.75461000181</v>
      </c>
      <c r="M18" s="211">
        <f t="shared" si="2"/>
        <v>705570.20380969986</v>
      </c>
      <c r="N18" s="211">
        <f t="shared" si="2"/>
        <v>718779.91202829464</v>
      </c>
      <c r="O18" s="211">
        <f t="shared" si="2"/>
        <v>720064.6284354981</v>
      </c>
      <c r="P18" s="211">
        <f t="shared" si="2"/>
        <v>720706.98663909978</v>
      </c>
      <c r="Q18" s="211">
        <f t="shared" si="2"/>
        <v>728956.56010487187</v>
      </c>
      <c r="R18" s="211">
        <f t="shared" si="2"/>
        <v>730241.27651207545</v>
      </c>
      <c r="S18" s="211">
        <f t="shared" si="2"/>
        <v>739766.53101691254</v>
      </c>
      <c r="T18" s="211">
        <f t="shared" si="2"/>
        <v>739766.53101691254</v>
      </c>
      <c r="U18" s="211">
        <f t="shared" si="2"/>
        <v>740408.88922051433</v>
      </c>
      <c r="V18" s="211">
        <f t="shared" si="2"/>
        <v>740408.88922051433</v>
      </c>
      <c r="W18" s="211">
        <f t="shared" si="2"/>
        <v>740408.88922051433</v>
      </c>
      <c r="X18" s="211">
        <f t="shared" si="2"/>
        <v>740408.88922051433</v>
      </c>
      <c r="Y18" s="211">
        <f t="shared" si="2"/>
        <v>789755.55230933486</v>
      </c>
      <c r="Z18" s="211">
        <f t="shared" si="2"/>
        <v>789755.55230933486</v>
      </c>
      <c r="AA18" s="211">
        <f t="shared" si="2"/>
        <v>789755.55230933486</v>
      </c>
      <c r="AB18" s="211">
        <f t="shared" si="2"/>
        <v>789755.55230933486</v>
      </c>
      <c r="AC18" s="211">
        <f t="shared" si="2"/>
        <v>835449.66782813694</v>
      </c>
      <c r="AD18" s="211">
        <f t="shared" si="2"/>
        <v>835449.66782813694</v>
      </c>
      <c r="AE18" s="211">
        <f t="shared" si="2"/>
        <v>835449.66782813694</v>
      </c>
      <c r="AF18" s="211">
        <f t="shared" si="2"/>
        <v>835449.66782813694</v>
      </c>
      <c r="AG18" s="211">
        <f t="shared" si="2"/>
        <v>835449.66782813694</v>
      </c>
      <c r="AH18" s="211">
        <f t="shared" si="2"/>
        <v>835449.66782813694</v>
      </c>
      <c r="AI18" s="211">
        <f t="shared" si="2"/>
        <v>835449.66782813694</v>
      </c>
      <c r="AJ18" s="212">
        <f t="shared" si="1"/>
        <v>21302627.601001445</v>
      </c>
    </row>
    <row r="19" spans="2:38" ht="14.4">
      <c r="B19" s="285" t="s">
        <v>95</v>
      </c>
      <c r="C19" s="286" t="s">
        <v>96</v>
      </c>
      <c r="D19" s="285" t="s">
        <v>97</v>
      </c>
      <c r="E19" s="213">
        <f>VLOOKUP(B19,'Preços Unitários'!B:E,4,FALSE)</f>
        <v>639.97223791717954</v>
      </c>
      <c r="F19" s="214">
        <f>$E$19*Quantidades!F20</f>
        <v>0</v>
      </c>
      <c r="G19" s="213">
        <f>$E$19*Quantidades!G20</f>
        <v>94680.768925828292</v>
      </c>
      <c r="H19" s="213">
        <f>$E$19*Quantidades!H20</f>
        <v>101041.10253749971</v>
      </c>
      <c r="I19" s="213">
        <f>$E$19*Quantidades!I20</f>
        <v>107401.4361491711</v>
      </c>
      <c r="J19" s="213">
        <f>$E$19*Quantidades!J20</f>
        <v>113761.76976084254</v>
      </c>
      <c r="K19" s="213">
        <f>$E$19*Quantidades!K20</f>
        <v>123066.72230121054</v>
      </c>
      <c r="L19" s="213">
        <f>$E$19*Quantidades!L20</f>
        <v>126785.83715597795</v>
      </c>
      <c r="M19" s="213">
        <f>$E$19*Quantidades!M20</f>
        <v>133267.49883775451</v>
      </c>
      <c r="N19" s="213">
        <f>$E$19*Quantidades!N20</f>
        <v>135762.53726931429</v>
      </c>
      <c r="O19" s="213">
        <f>$E$19*Quantidades!O20</f>
        <v>136005.19340952457</v>
      </c>
      <c r="P19" s="213">
        <f>$E$19*Quantidades!P20</f>
        <v>136126.52147962968</v>
      </c>
      <c r="Q19" s="213">
        <f>$E$19*Quantidades!Q20</f>
        <v>137684.69388589854</v>
      </c>
      <c r="R19" s="213">
        <f>$E$19*Quantidades!R20</f>
        <v>137927.35002610882</v>
      </c>
      <c r="S19" s="213">
        <f>$E$19*Quantidades!S20</f>
        <v>139726.47197995347</v>
      </c>
      <c r="T19" s="213">
        <f>$E$19*Quantidades!T20</f>
        <v>139726.47197995347</v>
      </c>
      <c r="U19" s="213">
        <f>$E$19*Quantidades!U20</f>
        <v>139847.80005005861</v>
      </c>
      <c r="V19" s="213">
        <f>$E$19*Quantidades!V20</f>
        <v>139847.80005005861</v>
      </c>
      <c r="W19" s="213">
        <f>$E$19*Quantidades!W20</f>
        <v>139847.80005005861</v>
      </c>
      <c r="X19" s="213">
        <f>$E$19*Quantidades!X20</f>
        <v>139847.80005005861</v>
      </c>
      <c r="Y19" s="213">
        <f>$E$19*Quantidades!Y20</f>
        <v>149168.35572308442</v>
      </c>
      <c r="Z19" s="213">
        <f>$E$19*Quantidades!Z20</f>
        <v>149168.35572308442</v>
      </c>
      <c r="AA19" s="213">
        <f>$E$19*Quantidades!AA20</f>
        <v>149168.35572308442</v>
      </c>
      <c r="AB19" s="213">
        <f>$E$19*Quantidades!AB20</f>
        <v>149168.35572308442</v>
      </c>
      <c r="AC19" s="213">
        <f>$E$19*Quantidades!AC20</f>
        <v>157799.02132363548</v>
      </c>
      <c r="AD19" s="213">
        <f>$E$19*Quantidades!AD20</f>
        <v>157799.02132363548</v>
      </c>
      <c r="AE19" s="213">
        <f>$E$19*Quantidades!AE20</f>
        <v>157799.02132363548</v>
      </c>
      <c r="AF19" s="213">
        <f>$E$19*Quantidades!AF20</f>
        <v>157799.02132363548</v>
      </c>
      <c r="AG19" s="213">
        <f>$E$19*Quantidades!AG20</f>
        <v>157799.02132363548</v>
      </c>
      <c r="AH19" s="213">
        <f>$E$19*Quantidades!AH20</f>
        <v>157799.02132363548</v>
      </c>
      <c r="AI19" s="213">
        <f>$E$19*Quantidades!AI20</f>
        <v>157799.02132363548</v>
      </c>
      <c r="AJ19" s="215">
        <f t="shared" si="1"/>
        <v>4023622.1480566859</v>
      </c>
      <c r="AK19" s="2"/>
    </row>
    <row r="20" spans="2:38" ht="14.4">
      <c r="B20" s="285" t="s">
        <v>98</v>
      </c>
      <c r="C20" s="286" t="s">
        <v>99</v>
      </c>
      <c r="D20" s="285" t="s">
        <v>97</v>
      </c>
      <c r="E20" s="213">
        <f>VLOOKUP(B20,'Preços Unitários'!B:E,4,FALSE)</f>
        <v>183.86929011288561</v>
      </c>
      <c r="F20" s="214">
        <f>$E$20*Quantidades!F21</f>
        <v>0</v>
      </c>
      <c r="G20" s="213">
        <f>$E$20*Quantidades!G21</f>
        <v>57125.384431399325</v>
      </c>
      <c r="H20" s="213">
        <f>$E$20*Quantidades!H21</f>
        <v>60962.874418022831</v>
      </c>
      <c r="I20" s="213">
        <f>$E$20*Quantidades!I21</f>
        <v>64800.364404646338</v>
      </c>
      <c r="J20" s="213">
        <f>$E$20*Quantidades!J21</f>
        <v>68637.854391269851</v>
      </c>
      <c r="K20" s="213">
        <f>$E$20*Quantidades!K21</f>
        <v>74251.972200144606</v>
      </c>
      <c r="L20" s="213">
        <f>$E$20*Quantidades!L21</f>
        <v>76495.890033021002</v>
      </c>
      <c r="M20" s="213">
        <f>$E$20*Quantidades!M21</f>
        <v>80406.58298077072</v>
      </c>
      <c r="N20" s="213">
        <f>$E$20*Quantidades!N21</f>
        <v>81911.957632782927</v>
      </c>
      <c r="O20" s="213">
        <f>$E$20*Quantidades!O21</f>
        <v>82058.363555035321</v>
      </c>
      <c r="P20" s="213">
        <f>$E$20*Quantidades!P21</f>
        <v>82131.566516161503</v>
      </c>
      <c r="Q20" s="213">
        <f>$E$20*Quantidades!Q21</f>
        <v>83071.685599776436</v>
      </c>
      <c r="R20" s="213">
        <f>$E$20*Quantidades!R21</f>
        <v>83218.09152202883</v>
      </c>
      <c r="S20" s="213">
        <f>$E$20*Quantidades!S21</f>
        <v>84303.586859871517</v>
      </c>
      <c r="T20" s="213">
        <f>$E$20*Quantidades!T21</f>
        <v>84303.586859871517</v>
      </c>
      <c r="U20" s="213">
        <f>$E$20*Quantidades!U21</f>
        <v>84376.789820997699</v>
      </c>
      <c r="V20" s="213">
        <f>$E$20*Quantidades!V21</f>
        <v>84376.789820997699</v>
      </c>
      <c r="W20" s="213">
        <f>$E$20*Quantidades!W21</f>
        <v>84376.789820997699</v>
      </c>
      <c r="X20" s="213">
        <f>$E$20*Quantidades!X21</f>
        <v>84376.789820997699</v>
      </c>
      <c r="Y20" s="213">
        <f>$E$20*Quantidades!Y21</f>
        <v>90000.321737526247</v>
      </c>
      <c r="Z20" s="213">
        <f>$E$20*Quantidades!Z21</f>
        <v>90000.321737526247</v>
      </c>
      <c r="AA20" s="213">
        <f>$E$20*Quantidades!AA21</f>
        <v>90000.321737526247</v>
      </c>
      <c r="AB20" s="213">
        <f>$E$20*Quantidades!AB21</f>
        <v>90000.321737526247</v>
      </c>
      <c r="AC20" s="213">
        <f>$E$20*Quantidades!AC21</f>
        <v>95207.610355097233</v>
      </c>
      <c r="AD20" s="213">
        <f>$E$20*Quantidades!AD21</f>
        <v>95207.610355097233</v>
      </c>
      <c r="AE20" s="213">
        <f>$E$20*Quantidades!AE21</f>
        <v>95207.610355097233</v>
      </c>
      <c r="AF20" s="213">
        <f>$E$20*Quantidades!AF21</f>
        <v>95207.610355097233</v>
      </c>
      <c r="AG20" s="213">
        <f>$E$20*Quantidades!AG21</f>
        <v>95207.610355097233</v>
      </c>
      <c r="AH20" s="213">
        <f>$E$20*Quantidades!AH21</f>
        <v>95207.610355097233</v>
      </c>
      <c r="AI20" s="213">
        <f>$E$20*Quantidades!AI21</f>
        <v>95207.610355097233</v>
      </c>
      <c r="AJ20" s="215">
        <f t="shared" si="1"/>
        <v>2427641.4801245797</v>
      </c>
      <c r="AK20" s="2"/>
    </row>
    <row r="21" spans="2:38" ht="14.4">
      <c r="B21" s="285">
        <v>4011353</v>
      </c>
      <c r="C21" s="286" t="s">
        <v>100</v>
      </c>
      <c r="D21" s="285" t="s">
        <v>101</v>
      </c>
      <c r="E21" s="213">
        <f>VLOOKUP(B21,'Preços Unitários'!B:E,4,FALSE)</f>
        <v>0.2940228511228325</v>
      </c>
      <c r="F21" s="214">
        <f>$E$21*Quantidades!F22</f>
        <v>0</v>
      </c>
      <c r="G21" s="213">
        <f>$E$21*Quantidades!G22</f>
        <v>3044.9471998461472</v>
      </c>
      <c r="H21" s="213">
        <f>$E$21*Quantidades!H22</f>
        <v>3249.4964471818757</v>
      </c>
      <c r="I21" s="213">
        <f>$E$21*Quantidades!I22</f>
        <v>3454.0456945176038</v>
      </c>
      <c r="J21" s="213">
        <f>$E$21*Quantidades!J22</f>
        <v>3658.5949418533328</v>
      </c>
      <c r="K21" s="213">
        <f>$E$21*Quantidades!K22</f>
        <v>3957.8435591167886</v>
      </c>
      <c r="L21" s="213">
        <f>$E$21*Quantidades!L22</f>
        <v>4077.4508298583442</v>
      </c>
      <c r="M21" s="213">
        <f>$E$21*Quantidades!M22</f>
        <v>4285.9020054475159</v>
      </c>
      <c r="N21" s="213">
        <f>$E$21*Quantidades!N22</f>
        <v>4366.1428016712771</v>
      </c>
      <c r="O21" s="213">
        <f>$E$21*Quantidades!O22</f>
        <v>4373.9466581781626</v>
      </c>
      <c r="P21" s="213">
        <f>$E$21*Quantidades!P22</f>
        <v>4377.8485864316053</v>
      </c>
      <c r="Q21" s="213">
        <f>$E$21*Quantidades!Q22</f>
        <v>4427.9596360055966</v>
      </c>
      <c r="R21" s="213">
        <f>$E$21*Quantidades!R22</f>
        <v>4435.7634925124821</v>
      </c>
      <c r="S21" s="213">
        <f>$E$21*Quantidades!S22</f>
        <v>4493.6235143278172</v>
      </c>
      <c r="T21" s="213">
        <f>$E$21*Quantidades!T22</f>
        <v>4493.6235143278172</v>
      </c>
      <c r="U21" s="213">
        <f>$E$21*Quantidades!U22</f>
        <v>4497.5254425812591</v>
      </c>
      <c r="V21" s="213">
        <f>$E$21*Quantidades!V22</f>
        <v>4497.5254425812591</v>
      </c>
      <c r="W21" s="213">
        <f>$E$21*Quantidades!W22</f>
        <v>4497.5254425812591</v>
      </c>
      <c r="X21" s="213">
        <f>$E$21*Quantidades!X22</f>
        <v>4497.5254425812591</v>
      </c>
      <c r="Y21" s="213">
        <f>$E$21*Quantidades!Y22</f>
        <v>4797.2758588439647</v>
      </c>
      <c r="Z21" s="213">
        <f>$E$21*Quantidades!Z22</f>
        <v>4797.2758588439647</v>
      </c>
      <c r="AA21" s="213">
        <f>$E$21*Quantidades!AA22</f>
        <v>4797.2758588439647</v>
      </c>
      <c r="AB21" s="213">
        <f>$E$21*Quantidades!AB22</f>
        <v>4797.2758588439647</v>
      </c>
      <c r="AC21" s="213">
        <f>$E$21*Quantidades!AC22</f>
        <v>5074.8393107609409</v>
      </c>
      <c r="AD21" s="213">
        <f>$E$21*Quantidades!AD22</f>
        <v>5074.8393107609409</v>
      </c>
      <c r="AE21" s="213">
        <f>$E$21*Quantidades!AE22</f>
        <v>5074.8393107609409</v>
      </c>
      <c r="AF21" s="213">
        <f>$E$21*Quantidades!AF22</f>
        <v>5074.8393107609409</v>
      </c>
      <c r="AG21" s="213">
        <f>$E$21*Quantidades!AG22</f>
        <v>5074.8393107609409</v>
      </c>
      <c r="AH21" s="213">
        <f>$E$21*Quantidades!AH22</f>
        <v>5074.8393107609409</v>
      </c>
      <c r="AI21" s="213">
        <f>$E$21*Quantidades!AI22</f>
        <v>5074.8393107609409</v>
      </c>
      <c r="AJ21" s="215">
        <f t="shared" si="1"/>
        <v>129400.26926230385</v>
      </c>
      <c r="AK21" s="2"/>
    </row>
    <row r="22" spans="2:38" ht="14.4">
      <c r="B22" s="285" t="s">
        <v>102</v>
      </c>
      <c r="C22" s="286" t="s">
        <v>103</v>
      </c>
      <c r="D22" s="68" t="s">
        <v>104</v>
      </c>
      <c r="E22" s="213">
        <f>VLOOKUP(B22,'Preços Unitários'!B:E,4,FALSE)</f>
        <v>331.993802182124</v>
      </c>
      <c r="F22" s="214">
        <f>$E$22*Quantidades!F23</f>
        <v>0</v>
      </c>
      <c r="G22" s="213">
        <f>$E$22*Quantidades!G23</f>
        <v>247548.9874380063</v>
      </c>
      <c r="H22" s="213">
        <f>$E$22*Quantidades!H23</f>
        <v>264178.49059054849</v>
      </c>
      <c r="I22" s="213">
        <f>$E$22*Quantidades!I23</f>
        <v>280807.9937430906</v>
      </c>
      <c r="J22" s="213">
        <f>$E$22*Quantidades!J23</f>
        <v>297437.49689563282</v>
      </c>
      <c r="K22" s="213">
        <f>$E$22*Quantidades!K23</f>
        <v>321765.89648152213</v>
      </c>
      <c r="L22" s="213">
        <f>$E$22*Quantidades!L23</f>
        <v>331489.76255177503</v>
      </c>
      <c r="M22" s="213">
        <f>$E$22*Quantidades!M23</f>
        <v>348436.48578230228</v>
      </c>
      <c r="N22" s="213">
        <f>$E$22*Quantidades!N23</f>
        <v>354959.92495964345</v>
      </c>
      <c r="O22" s="213">
        <f>$E$22*Quantidades!O23</f>
        <v>355594.36511561344</v>
      </c>
      <c r="P22" s="213">
        <f>$E$22*Quantidades!P23</f>
        <v>355911.58519359847</v>
      </c>
      <c r="Q22" s="213">
        <f>$E$22*Quantidades!Q23</f>
        <v>359985.52761930757</v>
      </c>
      <c r="R22" s="213">
        <f>$E$22*Quantidades!R23</f>
        <v>360619.96777527768</v>
      </c>
      <c r="S22" s="213">
        <f>$E$22*Quantidades!S23</f>
        <v>365323.88836025551</v>
      </c>
      <c r="T22" s="213">
        <f>$E$22*Quantidades!T23</f>
        <v>365323.88836025551</v>
      </c>
      <c r="U22" s="213">
        <f>$E$22*Quantidades!U23</f>
        <v>365641.10843824054</v>
      </c>
      <c r="V22" s="213">
        <f>$E$22*Quantidades!V23</f>
        <v>365641.10843824054</v>
      </c>
      <c r="W22" s="213">
        <f>$E$22*Quantidades!W23</f>
        <v>365641.10843824054</v>
      </c>
      <c r="X22" s="213">
        <f>$E$22*Quantidades!X23</f>
        <v>365641.10843824054</v>
      </c>
      <c r="Y22" s="213">
        <f>$E$22*Quantidades!Y23</f>
        <v>390010.30342254206</v>
      </c>
      <c r="Z22" s="213">
        <f>$E$22*Quantidades!Z23</f>
        <v>390010.30342254206</v>
      </c>
      <c r="AA22" s="213">
        <f>$E$22*Quantidades!AA23</f>
        <v>390010.30342254206</v>
      </c>
      <c r="AB22" s="213">
        <f>$E$22*Quantidades!AB23</f>
        <v>390010.30342254206</v>
      </c>
      <c r="AC22" s="213">
        <f>$E$22*Quantidades!AC23</f>
        <v>412575.73624033172</v>
      </c>
      <c r="AD22" s="213">
        <f>$E$22*Quantidades!AD23</f>
        <v>412575.73624033172</v>
      </c>
      <c r="AE22" s="213">
        <f>$E$22*Quantidades!AE23</f>
        <v>412575.73624033172</v>
      </c>
      <c r="AF22" s="213">
        <f>$E$22*Quantidades!AF23</f>
        <v>412575.73624033172</v>
      </c>
      <c r="AG22" s="213">
        <f>$E$22*Quantidades!AG23</f>
        <v>412575.73624033172</v>
      </c>
      <c r="AH22" s="213">
        <f>$E$22*Quantidades!AH23</f>
        <v>412575.73624033172</v>
      </c>
      <c r="AI22" s="213">
        <f>$E$22*Quantidades!AI23</f>
        <v>412575.73624033172</v>
      </c>
      <c r="AJ22" s="215">
        <f t="shared" si="1"/>
        <v>10520020.061992278</v>
      </c>
      <c r="AK22" s="2"/>
    </row>
    <row r="23" spans="2:38" ht="14.4">
      <c r="B23" s="285" t="s">
        <v>105</v>
      </c>
      <c r="C23" s="286" t="s">
        <v>106</v>
      </c>
      <c r="D23" s="68" t="s">
        <v>107</v>
      </c>
      <c r="E23" s="213">
        <f>VLOOKUP(B23,'Preços Unitários'!B:E,4,FALSE)</f>
        <v>31.176923035131775</v>
      </c>
      <c r="F23" s="214">
        <f>$E$23*Quantidades!F24</f>
        <v>0</v>
      </c>
      <c r="G23" s="213">
        <f>$E$23*Quantidades!G24</f>
        <v>92249.471799420528</v>
      </c>
      <c r="H23" s="213">
        <f>$E$23*Quantidades!H24</f>
        <v>98446.479098806012</v>
      </c>
      <c r="I23" s="213">
        <f>$E$23*Quantidades!I24</f>
        <v>104643.4863981915</v>
      </c>
      <c r="J23" s="213">
        <f>$E$23*Quantidades!J24</f>
        <v>110840.493697577</v>
      </c>
      <c r="K23" s="213">
        <f>$E$23*Quantidades!K24</f>
        <v>119906.50537773209</v>
      </c>
      <c r="L23" s="213">
        <f>$E$23*Quantidades!L24</f>
        <v>123530.11748825944</v>
      </c>
      <c r="M23" s="213">
        <f>$E$23*Quantidades!M24</f>
        <v>129845.33728748649</v>
      </c>
      <c r="N23" s="213">
        <f>$E$23*Quantidades!N24</f>
        <v>132276.30589961246</v>
      </c>
      <c r="O23" s="213">
        <f>$E$23*Quantidades!O24</f>
        <v>132512.73089929554</v>
      </c>
      <c r="P23" s="213">
        <f>$E$23*Quantidades!P24</f>
        <v>132630.94339913709</v>
      </c>
      <c r="Q23" s="213">
        <f>$E$23*Quantidades!Q24</f>
        <v>134149.10366633284</v>
      </c>
      <c r="R23" s="213">
        <f>$E$23*Quantidades!R24</f>
        <v>134385.52866601592</v>
      </c>
      <c r="S23" s="213">
        <f>$E$23*Quantidades!S24</f>
        <v>136138.45116366621</v>
      </c>
      <c r="T23" s="213">
        <f>$E$23*Quantidades!T24</f>
        <v>136138.45116366621</v>
      </c>
      <c r="U23" s="213">
        <f>$E$23*Quantidades!U24</f>
        <v>136256.66366350776</v>
      </c>
      <c r="V23" s="213">
        <f>$E$23*Quantidades!V24</f>
        <v>136256.66366350776</v>
      </c>
      <c r="W23" s="213">
        <f>$E$23*Quantidades!W24</f>
        <v>136256.66366350776</v>
      </c>
      <c r="X23" s="213">
        <f>$E$23*Quantidades!X24</f>
        <v>136256.66366350776</v>
      </c>
      <c r="Y23" s="213">
        <f>$E$23*Quantidades!Y24</f>
        <v>145337.87780518093</v>
      </c>
      <c r="Z23" s="213">
        <f>$E$23*Quantidades!Z24</f>
        <v>145337.87780518093</v>
      </c>
      <c r="AA23" s="213">
        <f>$E$23*Quantidades!AA24</f>
        <v>145337.87780518093</v>
      </c>
      <c r="AB23" s="213">
        <f>$E$23*Quantidades!AB24</f>
        <v>145337.87780518093</v>
      </c>
      <c r="AC23" s="213">
        <f>$E$23*Quantidades!AC24</f>
        <v>153746.91748621667</v>
      </c>
      <c r="AD23" s="213">
        <f>$E$23*Quantidades!AD24</f>
        <v>153746.91748621667</v>
      </c>
      <c r="AE23" s="213">
        <f>$E$23*Quantidades!AE24</f>
        <v>153746.91748621667</v>
      </c>
      <c r="AF23" s="213">
        <f>$E$23*Quantidades!AF24</f>
        <v>153746.91748621667</v>
      </c>
      <c r="AG23" s="213">
        <f>$E$23*Quantidades!AG24</f>
        <v>153746.91748621667</v>
      </c>
      <c r="AH23" s="213">
        <f>$E$23*Quantidades!AH24</f>
        <v>153746.91748621667</v>
      </c>
      <c r="AI23" s="213">
        <f>$E$23*Quantidades!AI24</f>
        <v>153746.91748621667</v>
      </c>
      <c r="AJ23" s="215">
        <f t="shared" si="1"/>
        <v>3920299.9942834722</v>
      </c>
      <c r="AK23" s="2"/>
    </row>
    <row r="24" spans="2:38" ht="14.4">
      <c r="B24" s="285">
        <v>3806402</v>
      </c>
      <c r="C24" s="286" t="s">
        <v>108</v>
      </c>
      <c r="D24" s="285" t="s">
        <v>101</v>
      </c>
      <c r="E24" s="213">
        <f>VLOOKUP(B24,'Preços Unitários'!B:E,4,FALSE)</f>
        <v>2.4886934184325464</v>
      </c>
      <c r="F24" s="214">
        <f>$E$24*Quantidades!F25</f>
        <v>0</v>
      </c>
      <c r="G24" s="216">
        <f>$E$24*Quantidades!G25</f>
        <v>6627.4207931345227</v>
      </c>
      <c r="H24" s="216">
        <f>$E$24*Quantidades!H25</f>
        <v>7072.6284916723889</v>
      </c>
      <c r="I24" s="216">
        <f>$E$24*Quantidades!I25</f>
        <v>7517.8361902102542</v>
      </c>
      <c r="J24" s="216">
        <f>$E$24*Quantidades!J25</f>
        <v>7963.0438887481223</v>
      </c>
      <c r="K24" s="216">
        <f>$E$24*Quantidades!K25</f>
        <v>8614.3676648939891</v>
      </c>
      <c r="L24" s="216">
        <f>$E$24*Quantidades!L25</f>
        <v>8874.6965511100498</v>
      </c>
      <c r="M24" s="216">
        <f>$E$24*Quantidades!M25</f>
        <v>9328.3969159383178</v>
      </c>
      <c r="N24" s="216">
        <f>$E$24*Quantidades!N25</f>
        <v>9503.0434652702388</v>
      </c>
      <c r="O24" s="216">
        <f>$E$24*Quantidades!O25</f>
        <v>9520.0287978510405</v>
      </c>
      <c r="P24" s="216">
        <f>$E$24*Quantidades!P25</f>
        <v>9528.5214641414423</v>
      </c>
      <c r="Q24" s="216">
        <f>$E$24*Quantidades!Q25</f>
        <v>9637.5896975509586</v>
      </c>
      <c r="R24" s="216">
        <f>$E$24*Quantidades!R25</f>
        <v>9654.5750301317603</v>
      </c>
      <c r="S24" s="216">
        <f>$E$24*Quantidades!S25</f>
        <v>9780.5091388379933</v>
      </c>
      <c r="T24" s="216">
        <f>$E$24*Quantidades!T25</f>
        <v>9780.5091388379933</v>
      </c>
      <c r="U24" s="216">
        <f>$E$24*Quantidades!U25</f>
        <v>9789.0018051283932</v>
      </c>
      <c r="V24" s="216">
        <f>$E$24*Quantidades!V25</f>
        <v>9789.0018051283932</v>
      </c>
      <c r="W24" s="216">
        <f>$E$24*Quantidades!W25</f>
        <v>9789.0018051283932</v>
      </c>
      <c r="X24" s="216">
        <f>$E$24*Quantidades!X25</f>
        <v>9789.0018051283932</v>
      </c>
      <c r="Y24" s="216">
        <f>$E$24*Quantidades!Y25</f>
        <v>10441.417762157324</v>
      </c>
      <c r="Z24" s="216">
        <f>$E$24*Quantidades!Z25</f>
        <v>10441.417762157324</v>
      </c>
      <c r="AA24" s="216">
        <f>$E$24*Quantidades!AA25</f>
        <v>10441.417762157324</v>
      </c>
      <c r="AB24" s="216">
        <f>$E$24*Quantidades!AB25</f>
        <v>10441.417762157324</v>
      </c>
      <c r="AC24" s="216">
        <f>$E$24*Quantidades!AC25</f>
        <v>11045.543112094987</v>
      </c>
      <c r="AD24" s="216">
        <f>$E$24*Quantidades!AD25</f>
        <v>11045.543112094987</v>
      </c>
      <c r="AE24" s="216">
        <f>$E$24*Quantidades!AE25</f>
        <v>11045.543112094987</v>
      </c>
      <c r="AF24" s="216">
        <f>$E$24*Quantidades!AF25</f>
        <v>11045.543112094987</v>
      </c>
      <c r="AG24" s="216">
        <f>$E$24*Quantidades!AG25</f>
        <v>11045.543112094987</v>
      </c>
      <c r="AH24" s="216">
        <f>$E$24*Quantidades!AH25</f>
        <v>11045.543112094987</v>
      </c>
      <c r="AI24" s="216">
        <f>$E$24*Quantidades!AI25</f>
        <v>11045.543112094987</v>
      </c>
      <c r="AJ24" s="215">
        <f t="shared" si="1"/>
        <v>281643.64728213684</v>
      </c>
      <c r="AK24" s="2"/>
      <c r="AL24" s="2"/>
    </row>
    <row r="25" spans="2:38">
      <c r="B25" s="43"/>
      <c r="C25" s="38" t="s">
        <v>109</v>
      </c>
      <c r="D25" s="55"/>
      <c r="E25" s="53"/>
      <c r="F25" s="210"/>
      <c r="G25" s="211">
        <f t="shared" ref="G25:AI25" si="3">+SUBTOTAL(9,G26:G29)</f>
        <v>368970.77773510048</v>
      </c>
      <c r="H25" s="211">
        <f t="shared" si="3"/>
        <v>393756.98581069749</v>
      </c>
      <c r="I25" s="211">
        <f t="shared" si="3"/>
        <v>418543.1938862945</v>
      </c>
      <c r="J25" s="211">
        <f t="shared" si="3"/>
        <v>443329.40196189162</v>
      </c>
      <c r="K25" s="211">
        <f t="shared" si="3"/>
        <v>479590.78444281913</v>
      </c>
      <c r="L25" s="211">
        <f t="shared" si="3"/>
        <v>494084.16800970479</v>
      </c>
      <c r="M25" s="211">
        <f t="shared" si="3"/>
        <v>519343.19134541939</v>
      </c>
      <c r="N25" s="211">
        <f t="shared" si="3"/>
        <v>529066.35140227061</v>
      </c>
      <c r="O25" s="211">
        <f t="shared" si="3"/>
        <v>530011.98192250554</v>
      </c>
      <c r="P25" s="211">
        <f t="shared" si="3"/>
        <v>530484.79718262306</v>
      </c>
      <c r="Q25" s="211">
        <f t="shared" si="3"/>
        <v>536556.99210783304</v>
      </c>
      <c r="R25" s="211">
        <f t="shared" si="3"/>
        <v>537502.62262806797</v>
      </c>
      <c r="S25" s="211">
        <f t="shared" si="3"/>
        <v>544513.79748523876</v>
      </c>
      <c r="T25" s="211">
        <f t="shared" si="3"/>
        <v>544513.79748523876</v>
      </c>
      <c r="U25" s="211">
        <f t="shared" si="3"/>
        <v>544986.61274535628</v>
      </c>
      <c r="V25" s="211">
        <f t="shared" si="3"/>
        <v>544986.61274535628</v>
      </c>
      <c r="W25" s="211">
        <f t="shared" si="3"/>
        <v>544986.61274535628</v>
      </c>
      <c r="X25" s="211">
        <f t="shared" si="3"/>
        <v>544986.61274535628</v>
      </c>
      <c r="Y25" s="211">
        <f t="shared" si="3"/>
        <v>581308.80060479068</v>
      </c>
      <c r="Z25" s="211">
        <f t="shared" si="3"/>
        <v>581308.80060479068</v>
      </c>
      <c r="AA25" s="211">
        <f t="shared" si="3"/>
        <v>581308.80060479068</v>
      </c>
      <c r="AB25" s="211">
        <f t="shared" si="3"/>
        <v>581308.80060479068</v>
      </c>
      <c r="AC25" s="211">
        <f t="shared" si="3"/>
        <v>614942.4881543878</v>
      </c>
      <c r="AD25" s="211">
        <f t="shared" si="3"/>
        <v>614942.4881543878</v>
      </c>
      <c r="AE25" s="211">
        <f t="shared" si="3"/>
        <v>614942.4881543878</v>
      </c>
      <c r="AF25" s="211">
        <f t="shared" si="3"/>
        <v>614942.4881543878</v>
      </c>
      <c r="AG25" s="211">
        <f t="shared" si="3"/>
        <v>614942.4881543878</v>
      </c>
      <c r="AH25" s="211">
        <f t="shared" si="3"/>
        <v>614942.4881543878</v>
      </c>
      <c r="AI25" s="211">
        <f t="shared" si="3"/>
        <v>614942.4881543878</v>
      </c>
      <c r="AJ25" s="212">
        <f t="shared" si="1"/>
        <v>15680047.913887</v>
      </c>
    </row>
    <row r="26" spans="2:38" ht="14.4">
      <c r="B26" s="285" t="s">
        <v>110</v>
      </c>
      <c r="C26" s="287" t="s">
        <v>111</v>
      </c>
      <c r="D26" s="285" t="s">
        <v>104</v>
      </c>
      <c r="E26" s="213">
        <f>VLOOKUP(B26,'Preços Unitários'!B:E,4,FALSE)</f>
        <v>4291.0612003540946</v>
      </c>
      <c r="F26" s="214">
        <f>$E$26*Quantidades!F27</f>
        <v>0</v>
      </c>
      <c r="G26" s="216">
        <f>$E$26*Quantidades!G27</f>
        <v>5713.5740411430488</v>
      </c>
      <c r="H26" s="216">
        <f>$E$26*Quantidades!H27</f>
        <v>6097.3926077742926</v>
      </c>
      <c r="I26" s="216">
        <f>$E$26*Quantidades!I27</f>
        <v>6481.2111744055355</v>
      </c>
      <c r="J26" s="216">
        <f>$E$26*Quantidades!J27</f>
        <v>6865.0297410367803</v>
      </c>
      <c r="K26" s="216">
        <f>$E$26*Quantidades!K27</f>
        <v>7426.5432975052863</v>
      </c>
      <c r="L26" s="216">
        <f>$E$26*Quantidades!L27</f>
        <v>7650.97575967588</v>
      </c>
      <c r="M26" s="216">
        <f>$E$26*Quantidades!M27</f>
        <v>8042.1159494802287</v>
      </c>
      <c r="N26" s="216">
        <f>$E$26*Quantidades!N27</f>
        <v>8192.6807048782521</v>
      </c>
      <c r="O26" s="216">
        <f>$E$26*Quantidades!O27</f>
        <v>8207.32395122446</v>
      </c>
      <c r="P26" s="216">
        <f>$E$26*Quantidades!P27</f>
        <v>8214.6455743975657</v>
      </c>
      <c r="Q26" s="216">
        <f>$E$26*Quantidades!Q27</f>
        <v>8308.6745257156235</v>
      </c>
      <c r="R26" s="216">
        <f>$E$26*Quantidades!R27</f>
        <v>8323.3177720618332</v>
      </c>
      <c r="S26" s="216">
        <f>$E$26*Quantidades!S27</f>
        <v>8431.8869842572913</v>
      </c>
      <c r="T26" s="216">
        <f>$E$26*Quantidades!T27</f>
        <v>8431.8869842572913</v>
      </c>
      <c r="U26" s="216">
        <f>$E$26*Quantidades!U27</f>
        <v>8439.2086074303952</v>
      </c>
      <c r="V26" s="216">
        <f>$E$26*Quantidades!V27</f>
        <v>8439.2086074303952</v>
      </c>
      <c r="W26" s="216">
        <f>$E$26*Quantidades!W27</f>
        <v>8439.2086074303952</v>
      </c>
      <c r="X26" s="216">
        <f>$E$26*Quantidades!X27</f>
        <v>8439.2086074303952</v>
      </c>
      <c r="Y26" s="216">
        <f>$E$26*Quantidades!Y27</f>
        <v>9001.6637453280091</v>
      </c>
      <c r="Z26" s="216">
        <f>$E$26*Quantidades!Z27</f>
        <v>9001.6637453280091</v>
      </c>
      <c r="AA26" s="216">
        <f>$E$26*Quantidades!AA27</f>
        <v>9001.6637453280091</v>
      </c>
      <c r="AB26" s="216">
        <f>$E$26*Quantidades!AB27</f>
        <v>9001.6637453280091</v>
      </c>
      <c r="AC26" s="216">
        <f>$E$26*Quantidades!AC27</f>
        <v>9522.4870074597857</v>
      </c>
      <c r="AD26" s="216">
        <f>$E$26*Quantidades!AD27</f>
        <v>9522.4870074597857</v>
      </c>
      <c r="AE26" s="216">
        <f>$E$26*Quantidades!AE27</f>
        <v>9522.4870074597857</v>
      </c>
      <c r="AF26" s="216">
        <f>$E$26*Quantidades!AF27</f>
        <v>9522.4870074597857</v>
      </c>
      <c r="AG26" s="216">
        <f>$E$26*Quantidades!AG27</f>
        <v>9522.4870074597857</v>
      </c>
      <c r="AH26" s="216">
        <f>$E$26*Quantidades!AH27</f>
        <v>9522.4870074597857</v>
      </c>
      <c r="AI26" s="216">
        <f>$E$26*Quantidades!AI27</f>
        <v>9522.4870074597857</v>
      </c>
      <c r="AJ26" s="215">
        <f t="shared" si="1"/>
        <v>242808.15753106552</v>
      </c>
      <c r="AK26" s="2"/>
    </row>
    <row r="27" spans="2:38" ht="14.4">
      <c r="B27" s="285" t="s">
        <v>112</v>
      </c>
      <c r="C27" s="287" t="s">
        <v>111</v>
      </c>
      <c r="D27" s="285" t="s">
        <v>104</v>
      </c>
      <c r="E27" s="213">
        <f>VLOOKUP(B27,'Preços Unitários'!B:E,4,FALSE)</f>
        <v>4291.0612003540946</v>
      </c>
      <c r="F27" s="214">
        <f>$E$27*Quantidades!F28</f>
        <v>0</v>
      </c>
      <c r="G27" s="216">
        <f>$E$27*Quantidades!G28</f>
        <v>19997.509144000673</v>
      </c>
      <c r="H27" s="216">
        <f>$E$27*Quantidades!H28</f>
        <v>21340.874127210023</v>
      </c>
      <c r="I27" s="216">
        <f>$E$27*Quantidades!I28</f>
        <v>22684.239110419374</v>
      </c>
      <c r="J27" s="216">
        <f>$E$27*Quantidades!J28</f>
        <v>24027.604093628732</v>
      </c>
      <c r="K27" s="216">
        <f>$E$27*Quantidades!K28</f>
        <v>25992.901541268508</v>
      </c>
      <c r="L27" s="216">
        <f>$E$27*Quantidades!L28</f>
        <v>26778.415158865577</v>
      </c>
      <c r="M27" s="216">
        <f>$E$27*Quantidades!M28</f>
        <v>28147.405823180798</v>
      </c>
      <c r="N27" s="216">
        <f>$E$27*Quantidades!N28</f>
        <v>28674.382467073887</v>
      </c>
      <c r="O27" s="216">
        <f>$E$27*Quantidades!O28</f>
        <v>28725.633829285613</v>
      </c>
      <c r="P27" s="216">
        <f>$E$27*Quantidades!P28</f>
        <v>28751.259510391479</v>
      </c>
      <c r="Q27" s="216">
        <f>$E$27*Quantidades!Q28</f>
        <v>29080.360840004683</v>
      </c>
      <c r="R27" s="216">
        <f>$E$27*Quantidades!R28</f>
        <v>29131.612202216416</v>
      </c>
      <c r="S27" s="216">
        <f>$E$27*Quantidades!S28</f>
        <v>29511.604444900524</v>
      </c>
      <c r="T27" s="216">
        <f>$E$27*Quantidades!T28</f>
        <v>29511.604444900524</v>
      </c>
      <c r="U27" s="216">
        <f>$E$27*Quantidades!U28</f>
        <v>29537.230126006383</v>
      </c>
      <c r="V27" s="216">
        <f>$E$27*Quantidades!V28</f>
        <v>29537.230126006383</v>
      </c>
      <c r="W27" s="216">
        <f>$E$27*Quantidades!W28</f>
        <v>29537.230126006383</v>
      </c>
      <c r="X27" s="216">
        <f>$E$27*Quantidades!X28</f>
        <v>29537.230126006383</v>
      </c>
      <c r="Y27" s="216">
        <f>$E$27*Quantidades!Y28</f>
        <v>31505.82310864803</v>
      </c>
      <c r="Z27" s="216">
        <f>$E$27*Quantidades!Z28</f>
        <v>31505.82310864803</v>
      </c>
      <c r="AA27" s="216">
        <f>$E$27*Quantidades!AA28</f>
        <v>31505.82310864803</v>
      </c>
      <c r="AB27" s="216">
        <f>$E$27*Quantidades!AB28</f>
        <v>31505.82310864803</v>
      </c>
      <c r="AC27" s="216">
        <f>$E$27*Quantidades!AC28</f>
        <v>33328.704526109257</v>
      </c>
      <c r="AD27" s="216">
        <f>$E$27*Quantidades!AD28</f>
        <v>33328.704526109257</v>
      </c>
      <c r="AE27" s="216">
        <f>$E$27*Quantidades!AE28</f>
        <v>33328.704526109257</v>
      </c>
      <c r="AF27" s="216">
        <f>$E$27*Quantidades!AF28</f>
        <v>33328.704526109257</v>
      </c>
      <c r="AG27" s="216">
        <f>$E$27*Quantidades!AG28</f>
        <v>33328.704526109257</v>
      </c>
      <c r="AH27" s="216">
        <f>$E$27*Quantidades!AH28</f>
        <v>33328.704526109257</v>
      </c>
      <c r="AI27" s="216">
        <f>$E$27*Quantidades!AI28</f>
        <v>33328.704526109257</v>
      </c>
      <c r="AJ27" s="215">
        <f t="shared" ref="AJ27" si="4">+SUM(F27:AI27)</f>
        <v>849828.55135872948</v>
      </c>
      <c r="AK27" s="2"/>
    </row>
    <row r="28" spans="2:38" ht="14.4">
      <c r="B28" s="285" t="s">
        <v>113</v>
      </c>
      <c r="C28" s="287" t="s">
        <v>114</v>
      </c>
      <c r="D28" s="285" t="s">
        <v>104</v>
      </c>
      <c r="E28" s="213">
        <f>VLOOKUP(B28,'Preços Unitários'!B:E,4,FALSE)</f>
        <v>6173.4221167621217</v>
      </c>
      <c r="F28" s="214">
        <f>$E$28*Quantidades!F29</f>
        <v>0</v>
      </c>
      <c r="G28" s="216">
        <f>$E$28*Quantidades!G29</f>
        <v>24543.626143873626</v>
      </c>
      <c r="H28" s="216">
        <f>$E$28*Quantidades!H29</f>
        <v>26192.383880911733</v>
      </c>
      <c r="I28" s="216">
        <f>$E$28*Quantidades!I29</f>
        <v>27841.141617949834</v>
      </c>
      <c r="J28" s="216">
        <f>$E$28*Quantidades!J29</f>
        <v>29489.899354987952</v>
      </c>
      <c r="K28" s="216">
        <f>$E$28*Quantidades!K29</f>
        <v>31901.976052592585</v>
      </c>
      <c r="L28" s="216">
        <f>$E$28*Quantidades!L29</f>
        <v>32866.063750835157</v>
      </c>
      <c r="M28" s="216">
        <f>$E$28*Quantidades!M29</f>
        <v>34546.272761740198</v>
      </c>
      <c r="N28" s="216">
        <f>$E$28*Quantidades!N29</f>
        <v>35193.049199802001</v>
      </c>
      <c r="O28" s="216">
        <f>$E$28*Quantidades!O29</f>
        <v>35255.951747535866</v>
      </c>
      <c r="P28" s="216">
        <f>$E$28*Quantidades!P29</f>
        <v>35287.403021402795</v>
      </c>
      <c r="Q28" s="216">
        <f>$E$28*Quantidades!Q29</f>
        <v>35691.320326268818</v>
      </c>
      <c r="R28" s="216">
        <f>$E$28*Quantidades!R29</f>
        <v>35754.222874002684</v>
      </c>
      <c r="S28" s="216">
        <f>$E$28*Quantidades!S29</f>
        <v>36220.600335058065</v>
      </c>
      <c r="T28" s="216">
        <f>$E$28*Quantidades!T29</f>
        <v>36220.600335058065</v>
      </c>
      <c r="U28" s="216">
        <f>$E$28*Quantidades!U29</f>
        <v>36252.051608925001</v>
      </c>
      <c r="V28" s="216">
        <f>$E$28*Quantidades!V29</f>
        <v>36252.051608925001</v>
      </c>
      <c r="W28" s="216">
        <f>$E$28*Quantidades!W29</f>
        <v>36252.051608925001</v>
      </c>
      <c r="X28" s="216">
        <f>$E$28*Quantidades!X29</f>
        <v>36252.051608925001</v>
      </c>
      <c r="Y28" s="216">
        <f>$E$28*Quantidades!Y29</f>
        <v>38668.173029222227</v>
      </c>
      <c r="Z28" s="216">
        <f>$E$28*Quantidades!Z29</f>
        <v>38668.173029222227</v>
      </c>
      <c r="AA28" s="216">
        <f>$E$28*Quantidades!AA29</f>
        <v>38668.173029222227</v>
      </c>
      <c r="AB28" s="216">
        <f>$E$28*Quantidades!AB29</f>
        <v>38668.173029222227</v>
      </c>
      <c r="AC28" s="216">
        <f>$E$28*Quantidades!AC29</f>
        <v>40905.457667654548</v>
      </c>
      <c r="AD28" s="216">
        <f>$E$28*Quantidades!AD29</f>
        <v>40905.457667654548</v>
      </c>
      <c r="AE28" s="216">
        <f>$E$28*Quantidades!AE29</f>
        <v>40905.457667654548</v>
      </c>
      <c r="AF28" s="216">
        <f>$E$28*Quantidades!AF29</f>
        <v>40905.457667654548</v>
      </c>
      <c r="AG28" s="216">
        <f>$E$28*Quantidades!AG29</f>
        <v>40905.457667654548</v>
      </c>
      <c r="AH28" s="216">
        <f>$E$28*Quantidades!AH29</f>
        <v>40905.457667654548</v>
      </c>
      <c r="AI28" s="216">
        <f>$E$28*Quantidades!AI29</f>
        <v>40905.457667654548</v>
      </c>
      <c r="AJ28" s="215">
        <f t="shared" si="1"/>
        <v>1043023.6136281895</v>
      </c>
      <c r="AK28" s="2"/>
    </row>
    <row r="29" spans="2:38" ht="14.4">
      <c r="B29" s="285" t="s">
        <v>115</v>
      </c>
      <c r="C29" s="287" t="s">
        <v>116</v>
      </c>
      <c r="D29" s="285" t="s">
        <v>104</v>
      </c>
      <c r="E29" s="213">
        <f>VLOOKUP(B29,'Preços Unitários'!B:E,4,FALSE)</f>
        <v>7124.3884256566034</v>
      </c>
      <c r="F29" s="214">
        <f>$E$29*Quantidades!F30</f>
        <v>0</v>
      </c>
      <c r="G29" s="216">
        <f>$E$29*Quantidades!G30</f>
        <v>318716.0684060831</v>
      </c>
      <c r="H29" s="216">
        <f>$E$29*Quantidades!H30</f>
        <v>340126.33519480145</v>
      </c>
      <c r="I29" s="216">
        <f>$E$29*Quantidades!I30</f>
        <v>361536.60198351974</v>
      </c>
      <c r="J29" s="216">
        <f>$E$29*Quantidades!J30</f>
        <v>382946.86877223814</v>
      </c>
      <c r="K29" s="216">
        <f>$E$29*Quantidades!K30</f>
        <v>414269.36355145276</v>
      </c>
      <c r="L29" s="216">
        <f>$E$29*Quantidades!L30</f>
        <v>426788.71334032819</v>
      </c>
      <c r="M29" s="216">
        <f>$E$29*Quantidades!M30</f>
        <v>448607.39681101817</v>
      </c>
      <c r="N29" s="216">
        <f>$E$29*Quantidades!N30</f>
        <v>457006.23903051647</v>
      </c>
      <c r="O29" s="216">
        <f>$E$29*Quantidades!O30</f>
        <v>457823.07239445962</v>
      </c>
      <c r="P29" s="216">
        <f>$E$29*Quantidades!P30</f>
        <v>458231.48907643126</v>
      </c>
      <c r="Q29" s="216">
        <f>$E$29*Quantidades!Q30</f>
        <v>463476.63641584385</v>
      </c>
      <c r="R29" s="216">
        <f>$E$29*Quantidades!R30</f>
        <v>464293.46977978706</v>
      </c>
      <c r="S29" s="216">
        <f>$E$29*Quantidades!S30</f>
        <v>470349.70572102291</v>
      </c>
      <c r="T29" s="216">
        <f>$E$29*Quantidades!T30</f>
        <v>470349.70572102291</v>
      </c>
      <c r="U29" s="216">
        <f>$E$29*Quantidades!U30</f>
        <v>470758.12240299449</v>
      </c>
      <c r="V29" s="216">
        <f>$E$29*Quantidades!V30</f>
        <v>470758.12240299449</v>
      </c>
      <c r="W29" s="216">
        <f>$E$29*Quantidades!W30</f>
        <v>470758.12240299449</v>
      </c>
      <c r="X29" s="216">
        <f>$E$29*Quantidades!X30</f>
        <v>470758.12240299449</v>
      </c>
      <c r="Y29" s="216">
        <f>$E$29*Quantidades!Y30</f>
        <v>502133.14072159235</v>
      </c>
      <c r="Z29" s="216">
        <f>$E$29*Quantidades!Z30</f>
        <v>502133.14072159235</v>
      </c>
      <c r="AA29" s="216">
        <f>$E$29*Quantidades!AA30</f>
        <v>502133.14072159235</v>
      </c>
      <c r="AB29" s="216">
        <f>$E$29*Quantidades!AB30</f>
        <v>502133.14072159235</v>
      </c>
      <c r="AC29" s="216">
        <f>$E$29*Quantidades!AC30</f>
        <v>531185.83895316417</v>
      </c>
      <c r="AD29" s="216">
        <f>$E$29*Quantidades!AD30</f>
        <v>531185.83895316417</v>
      </c>
      <c r="AE29" s="216">
        <f>$E$29*Quantidades!AE30</f>
        <v>531185.83895316417</v>
      </c>
      <c r="AF29" s="216">
        <f>$E$29*Quantidades!AF30</f>
        <v>531185.83895316417</v>
      </c>
      <c r="AG29" s="216">
        <f>$E$29*Quantidades!AG30</f>
        <v>531185.83895316417</v>
      </c>
      <c r="AH29" s="216">
        <f>$E$29*Quantidades!AH30</f>
        <v>531185.83895316417</v>
      </c>
      <c r="AI29" s="216">
        <f>$E$29*Quantidades!AI30</f>
        <v>531185.83895316417</v>
      </c>
      <c r="AJ29" s="215">
        <f t="shared" si="1"/>
        <v>13544387.59136902</v>
      </c>
      <c r="AK29" s="2"/>
    </row>
    <row r="30" spans="2:38">
      <c r="B30" s="205"/>
      <c r="C30" s="206" t="s">
        <v>117</v>
      </c>
      <c r="D30" s="205"/>
      <c r="E30" s="207"/>
      <c r="F30" s="208">
        <f t="shared" ref="F30:AH30" si="5">+SUBTOTAL(9,F31:F42)</f>
        <v>0</v>
      </c>
      <c r="G30" s="208">
        <f t="shared" si="5"/>
        <v>2096458.1394198537</v>
      </c>
      <c r="H30" s="208">
        <f t="shared" si="5"/>
        <v>2118284.2746436023</v>
      </c>
      <c r="I30" s="208">
        <f t="shared" si="5"/>
        <v>2140110.4098673505</v>
      </c>
      <c r="J30" s="208">
        <f t="shared" si="5"/>
        <v>2161936.5450910991</v>
      </c>
      <c r="K30" s="208">
        <f t="shared" si="5"/>
        <v>2193867.4412981714</v>
      </c>
      <c r="L30" s="208">
        <f t="shared" si="5"/>
        <v>2206629.9642551197</v>
      </c>
      <c r="M30" s="208">
        <f t="shared" si="5"/>
        <v>2228872.4491589684</v>
      </c>
      <c r="N30" s="208">
        <f t="shared" si="5"/>
        <v>2237434.4286903162</v>
      </c>
      <c r="O30" s="208">
        <f t="shared" si="5"/>
        <v>2238267.1280505168</v>
      </c>
      <c r="P30" s="208">
        <f t="shared" si="5"/>
        <v>2238683.4777306169</v>
      </c>
      <c r="Q30" s="208">
        <f t="shared" si="5"/>
        <v>2244030.505688196</v>
      </c>
      <c r="R30" s="208">
        <f t="shared" si="5"/>
        <v>2244863.2050483972</v>
      </c>
      <c r="S30" s="208">
        <f t="shared" si="5"/>
        <v>2251037.0760190282</v>
      </c>
      <c r="T30" s="208">
        <f t="shared" si="5"/>
        <v>2251037.0760190282</v>
      </c>
      <c r="U30" s="208">
        <f t="shared" si="5"/>
        <v>2251453.4256991288</v>
      </c>
      <c r="V30" s="208">
        <f t="shared" si="5"/>
        <v>2251453.4256991288</v>
      </c>
      <c r="W30" s="208">
        <f t="shared" si="5"/>
        <v>2251453.4256991288</v>
      </c>
      <c r="X30" s="208">
        <f t="shared" si="5"/>
        <v>2251453.4256991288</v>
      </c>
      <c r="Y30" s="208">
        <f t="shared" si="5"/>
        <v>2283437.86565156</v>
      </c>
      <c r="Z30" s="208">
        <f t="shared" si="5"/>
        <v>2283437.86565156</v>
      </c>
      <c r="AA30" s="208">
        <f t="shared" si="5"/>
        <v>2283437.86565156</v>
      </c>
      <c r="AB30" s="208">
        <f t="shared" si="5"/>
        <v>2283437.86565156</v>
      </c>
      <c r="AC30" s="208">
        <f t="shared" si="5"/>
        <v>2313054.8772691442</v>
      </c>
      <c r="AD30" s="208">
        <f t="shared" si="5"/>
        <v>2313054.8772691442</v>
      </c>
      <c r="AE30" s="208">
        <f t="shared" si="5"/>
        <v>2313054.8772691442</v>
      </c>
      <c r="AF30" s="208">
        <f t="shared" si="5"/>
        <v>2313054.8772691442</v>
      </c>
      <c r="AG30" s="208">
        <f t="shared" si="5"/>
        <v>2313054.8772691442</v>
      </c>
      <c r="AH30" s="208">
        <f t="shared" si="5"/>
        <v>2313054.8772691442</v>
      </c>
      <c r="AI30" s="208">
        <f>+SUBTOTAL(9,AI31:AI42)</f>
        <v>2313054.8772691442</v>
      </c>
      <c r="AJ30" s="208">
        <f t="shared" si="1"/>
        <v>65182461.427267022</v>
      </c>
      <c r="AK30" s="2"/>
      <c r="AL30" s="2"/>
    </row>
    <row r="31" spans="2:38" ht="14.4">
      <c r="B31" s="285"/>
      <c r="C31" s="38" t="s">
        <v>118</v>
      </c>
      <c r="D31" s="55"/>
      <c r="E31" s="46"/>
      <c r="F31" s="210">
        <f>+SUBTOTAL(9,F32:F35)</f>
        <v>0</v>
      </c>
      <c r="G31" s="211">
        <f t="shared" ref="G31:AI31" si="6">+SUBTOTAL(9,G32:G35)</f>
        <v>133800.57272140268</v>
      </c>
      <c r="H31" s="211">
        <f t="shared" si="6"/>
        <v>142788.8423520338</v>
      </c>
      <c r="I31" s="211">
        <f t="shared" si="6"/>
        <v>151777.11198266485</v>
      </c>
      <c r="J31" s="211">
        <f t="shared" si="6"/>
        <v>160765.38161329602</v>
      </c>
      <c r="K31" s="211">
        <f t="shared" si="6"/>
        <v>173914.91549616965</v>
      </c>
      <c r="L31" s="211">
        <f t="shared" si="6"/>
        <v>179170.67865937742</v>
      </c>
      <c r="M31" s="211">
        <f t="shared" si="6"/>
        <v>188330.40618427182</v>
      </c>
      <c r="N31" s="211">
        <f t="shared" si="6"/>
        <v>191856.33415139822</v>
      </c>
      <c r="O31" s="211">
        <f t="shared" si="6"/>
        <v>192199.24993992469</v>
      </c>
      <c r="P31" s="211">
        <f t="shared" si="6"/>
        <v>192370.70783418798</v>
      </c>
      <c r="Q31" s="211">
        <f t="shared" si="6"/>
        <v>194572.67939317244</v>
      </c>
      <c r="R31" s="211">
        <f t="shared" si="6"/>
        <v>194915.59518169906</v>
      </c>
      <c r="S31" s="211">
        <f t="shared" si="6"/>
        <v>197458.07081377428</v>
      </c>
      <c r="T31" s="211">
        <f t="shared" si="6"/>
        <v>197458.07081377428</v>
      </c>
      <c r="U31" s="211">
        <f t="shared" si="6"/>
        <v>197629.52870803751</v>
      </c>
      <c r="V31" s="211">
        <f t="shared" si="6"/>
        <v>197629.52870803751</v>
      </c>
      <c r="W31" s="211">
        <f t="shared" si="6"/>
        <v>197629.52870803751</v>
      </c>
      <c r="X31" s="211">
        <f t="shared" si="6"/>
        <v>197629.52870803751</v>
      </c>
      <c r="Y31" s="211">
        <f t="shared" si="6"/>
        <v>210801.11256060985</v>
      </c>
      <c r="Z31" s="211">
        <f t="shared" si="6"/>
        <v>210801.11256060985</v>
      </c>
      <c r="AA31" s="211">
        <f t="shared" si="6"/>
        <v>210801.11256060985</v>
      </c>
      <c r="AB31" s="211">
        <f t="shared" si="6"/>
        <v>210801.11256060985</v>
      </c>
      <c r="AC31" s="211">
        <f t="shared" si="6"/>
        <v>222997.76044826367</v>
      </c>
      <c r="AD31" s="211">
        <f t="shared" si="6"/>
        <v>222997.76044826367</v>
      </c>
      <c r="AE31" s="211">
        <f t="shared" si="6"/>
        <v>222997.76044826367</v>
      </c>
      <c r="AF31" s="211">
        <f t="shared" si="6"/>
        <v>222997.76044826367</v>
      </c>
      <c r="AG31" s="211">
        <f t="shared" si="6"/>
        <v>222997.76044826367</v>
      </c>
      <c r="AH31" s="211">
        <f t="shared" si="6"/>
        <v>222997.76044826367</v>
      </c>
      <c r="AI31" s="211">
        <f t="shared" si="6"/>
        <v>222997.76044826367</v>
      </c>
      <c r="AJ31" s="212">
        <f t="shared" si="1"/>
        <v>5686085.5053495839</v>
      </c>
    </row>
    <row r="32" spans="2:38" ht="14.4">
      <c r="B32" s="285" t="s">
        <v>119</v>
      </c>
      <c r="C32" s="287" t="s">
        <v>120</v>
      </c>
      <c r="D32" s="285" t="s">
        <v>101</v>
      </c>
      <c r="E32" s="213">
        <f>VLOOKUP(B32,'Preços Unitários'!B:E,4,FALSE)</f>
        <v>14.113096853895959</v>
      </c>
      <c r="F32" s="214">
        <f>$E$32*Quantidades!F33</f>
        <v>0</v>
      </c>
      <c r="G32" s="216">
        <f>$E$32*Quantidades!G33</f>
        <v>39671.312089424086</v>
      </c>
      <c r="H32" s="216">
        <f>$E$32*Quantidades!H33</f>
        <v>42336.29656899815</v>
      </c>
      <c r="I32" s="216">
        <f>$E$32*Quantidades!I33</f>
        <v>45001.281048572208</v>
      </c>
      <c r="J32" s="216">
        <f>$E$32*Quantidades!J33</f>
        <v>47666.265528146279</v>
      </c>
      <c r="K32" s="216">
        <f>$E$32*Quantidades!K33</f>
        <v>51565.047513064434</v>
      </c>
      <c r="L32" s="216">
        <f>$E$32*Quantidades!L33</f>
        <v>53123.359383297284</v>
      </c>
      <c r="M32" s="216">
        <f>$E$32*Quantidades!M33</f>
        <v>55839.180413830487</v>
      </c>
      <c r="N32" s="216">
        <f>$E$32*Quantidades!N33</f>
        <v>56884.603358917208</v>
      </c>
      <c r="O32" s="216">
        <f>$E$32*Quantidades!O33</f>
        <v>56986.276460835485</v>
      </c>
      <c r="P32" s="216">
        <f>$E$32*Quantidades!P33</f>
        <v>57037.113011794623</v>
      </c>
      <c r="Q32" s="216">
        <f>$E$32*Quantidades!Q33</f>
        <v>57689.988400530063</v>
      </c>
      <c r="R32" s="216">
        <f>$E$32*Quantidades!R33</f>
        <v>57791.66150244834</v>
      </c>
      <c r="S32" s="216">
        <f>$E$32*Quantidades!S33</f>
        <v>58545.494929528126</v>
      </c>
      <c r="T32" s="216">
        <f>$E$32*Quantidades!T33</f>
        <v>58545.494929528126</v>
      </c>
      <c r="U32" s="216">
        <f>$E$32*Quantidades!U33</f>
        <v>58596.331480487264</v>
      </c>
      <c r="V32" s="216">
        <f>$E$32*Quantidades!V33</f>
        <v>58596.331480487264</v>
      </c>
      <c r="W32" s="216">
        <f>$E$32*Quantidades!W33</f>
        <v>58596.331480487264</v>
      </c>
      <c r="X32" s="216">
        <f>$E$32*Quantidades!X33</f>
        <v>58596.331480487264</v>
      </c>
      <c r="Y32" s="216">
        <f>$E$32*Quantidades!Y33</f>
        <v>62501.651189509932</v>
      </c>
      <c r="Z32" s="216">
        <f>$E$32*Quantidades!Z33</f>
        <v>62501.651189509932</v>
      </c>
      <c r="AA32" s="216">
        <f>$E$32*Quantidades!AA33</f>
        <v>62501.651189509932</v>
      </c>
      <c r="AB32" s="216">
        <f>$E$32*Quantidades!AB33</f>
        <v>62501.651189509932</v>
      </c>
      <c r="AC32" s="216">
        <f>$E$32*Quantidades!AC33</f>
        <v>66117.906448771115</v>
      </c>
      <c r="AD32" s="216">
        <f>$E$32*Quantidades!AD33</f>
        <v>66117.906448771115</v>
      </c>
      <c r="AE32" s="216">
        <f>$E$32*Quantidades!AE33</f>
        <v>66117.906448771115</v>
      </c>
      <c r="AF32" s="216">
        <f>$E$32*Quantidades!AF33</f>
        <v>66117.906448771115</v>
      </c>
      <c r="AG32" s="216">
        <f>$E$32*Quantidades!AG33</f>
        <v>66117.906448771115</v>
      </c>
      <c r="AH32" s="216">
        <f>$E$32*Quantidades!AH33</f>
        <v>66117.906448771115</v>
      </c>
      <c r="AI32" s="216">
        <f>$E$32*Quantidades!AI33</f>
        <v>66117.906448771115</v>
      </c>
      <c r="AJ32" s="215">
        <f t="shared" si="1"/>
        <v>1685900.6509603008</v>
      </c>
    </row>
    <row r="33" spans="2:38" ht="14.4">
      <c r="B33" s="285" t="s">
        <v>121</v>
      </c>
      <c r="C33" s="287" t="s">
        <v>122</v>
      </c>
      <c r="D33" s="285" t="s">
        <v>123</v>
      </c>
      <c r="E33" s="213">
        <f>VLOOKUP(B33,'Preços Unitários'!B:E,4,FALSE)</f>
        <v>35.366748663632137</v>
      </c>
      <c r="F33" s="214">
        <f>$E$33*Quantidades!F34</f>
        <v>0</v>
      </c>
      <c r="G33" s="216">
        <f>$E$33*Quantidades!G34</f>
        <v>65404.223017103461</v>
      </c>
      <c r="H33" s="216">
        <f>$E$33*Quantidades!H34</f>
        <v>69797.857360386202</v>
      </c>
      <c r="I33" s="216">
        <f>$E$33*Quantidades!I34</f>
        <v>74191.491703668929</v>
      </c>
      <c r="J33" s="216">
        <f>$E$33*Quantidades!J34</f>
        <v>78585.1260469517</v>
      </c>
      <c r="K33" s="216">
        <f>$E$33*Quantidades!K34</f>
        <v>85012.864203477948</v>
      </c>
      <c r="L33" s="216">
        <f>$E$33*Quantidades!L34</f>
        <v>87581.979559712388</v>
      </c>
      <c r="M33" s="216">
        <f>$E$33*Quantidades!M34</f>
        <v>92059.425729255308</v>
      </c>
      <c r="N33" s="216">
        <f>$E$33*Quantidades!N34</f>
        <v>93782.965280796328</v>
      </c>
      <c r="O33" s="216">
        <f>$E$33*Quantidades!O34</f>
        <v>93950.588933316656</v>
      </c>
      <c r="P33" s="216">
        <f>$E$33*Quantidades!P34</f>
        <v>94034.40075957682</v>
      </c>
      <c r="Q33" s="216">
        <f>$E$33*Quantidades!Q34</f>
        <v>95110.765650936533</v>
      </c>
      <c r="R33" s="216">
        <f>$E$33*Quantidades!R34</f>
        <v>95278.389303456905</v>
      </c>
      <c r="S33" s="216">
        <f>$E$33*Quantidades!S34</f>
        <v>96521.198955714848</v>
      </c>
      <c r="T33" s="216">
        <f>$E$33*Quantidades!T34</f>
        <v>96521.198955714848</v>
      </c>
      <c r="U33" s="216">
        <f>$E$33*Quantidades!U34</f>
        <v>96605.010781975012</v>
      </c>
      <c r="V33" s="216">
        <f>$E$33*Quantidades!V34</f>
        <v>96605.010781975012</v>
      </c>
      <c r="W33" s="216">
        <f>$E$33*Quantidades!W34</f>
        <v>96605.010781975012</v>
      </c>
      <c r="X33" s="216">
        <f>$E$33*Quantidades!X34</f>
        <v>96605.010781975012</v>
      </c>
      <c r="Y33" s="216">
        <f>$E$33*Quantidades!Y34</f>
        <v>103043.52737618923</v>
      </c>
      <c r="Z33" s="216">
        <f>$E$33*Quantidades!Z34</f>
        <v>103043.52737618923</v>
      </c>
      <c r="AA33" s="216">
        <f>$E$33*Quantidades!AA34</f>
        <v>103043.52737618923</v>
      </c>
      <c r="AB33" s="216">
        <f>$E$33*Quantidades!AB34</f>
        <v>103043.52737618923</v>
      </c>
      <c r="AC33" s="216">
        <f>$E$33*Quantidades!AC34</f>
        <v>109005.47703216101</v>
      </c>
      <c r="AD33" s="216">
        <f>$E$33*Quantidades!AD34</f>
        <v>109005.47703216101</v>
      </c>
      <c r="AE33" s="216">
        <f>$E$33*Quantidades!AE34</f>
        <v>109005.47703216101</v>
      </c>
      <c r="AF33" s="216">
        <f>$E$33*Quantidades!AF34</f>
        <v>109005.47703216101</v>
      </c>
      <c r="AG33" s="216">
        <f>$E$33*Quantidades!AG34</f>
        <v>109005.47703216101</v>
      </c>
      <c r="AH33" s="216">
        <f>$E$33*Quantidades!AH34</f>
        <v>109005.47703216101</v>
      </c>
      <c r="AI33" s="216">
        <f>$E$33*Quantidades!AI34</f>
        <v>109005.47703216101</v>
      </c>
      <c r="AJ33" s="215">
        <f t="shared" si="1"/>
        <v>2779464.9673178517</v>
      </c>
    </row>
    <row r="34" spans="2:38" ht="14.4">
      <c r="B34" s="285" t="s">
        <v>124</v>
      </c>
      <c r="C34" s="287" t="s">
        <v>125</v>
      </c>
      <c r="D34" s="285" t="s">
        <v>123</v>
      </c>
      <c r="E34" s="213">
        <f>VLOOKUP(B34,'Preços Unitários'!B:E,4,FALSE)</f>
        <v>173.25296502412905</v>
      </c>
      <c r="F34" s="214">
        <f>$E$34*Quantidades!F35</f>
        <v>0</v>
      </c>
      <c r="G34" s="216">
        <f>$E$34*Quantidades!G35</f>
        <v>25631.930535847747</v>
      </c>
      <c r="H34" s="216">
        <f>$E$34*Quantidades!H35</f>
        <v>27353.796878598863</v>
      </c>
      <c r="I34" s="216">
        <f>$E$34*Quantidades!I35</f>
        <v>29075.663221349972</v>
      </c>
      <c r="J34" s="216">
        <f>$E$34*Quantidades!J35</f>
        <v>30797.529564101093</v>
      </c>
      <c r="K34" s="216">
        <f>$E$34*Quantidades!K35</f>
        <v>33316.561674422395</v>
      </c>
      <c r="L34" s="216">
        <f>$E$34*Quantidades!L35</f>
        <v>34323.398592771846</v>
      </c>
      <c r="M34" s="216">
        <f>$E$34*Quantidades!M35</f>
        <v>36078.110810142127</v>
      </c>
      <c r="N34" s="216">
        <f>$E$34*Quantidades!N35</f>
        <v>36753.566369782864</v>
      </c>
      <c r="O34" s="216">
        <f>$E$34*Quantidades!O35</f>
        <v>36819.258119021179</v>
      </c>
      <c r="P34" s="216">
        <f>$E$34*Quantidades!P35</f>
        <v>36852.103993640332</v>
      </c>
      <c r="Q34" s="216">
        <f>$E$34*Quantidades!Q35</f>
        <v>37273.931650232829</v>
      </c>
      <c r="R34" s="216">
        <f>$E$34*Quantidades!R35</f>
        <v>37339.623399471151</v>
      </c>
      <c r="S34" s="216">
        <f>$E$34*Quantidades!S35</f>
        <v>37826.680797395231</v>
      </c>
      <c r="T34" s="216">
        <f>$E$34*Quantidades!T35</f>
        <v>37826.680797395231</v>
      </c>
      <c r="U34" s="216">
        <f>$E$34*Quantidades!U35</f>
        <v>37859.526672014392</v>
      </c>
      <c r="V34" s="216">
        <f>$E$34*Quantidades!V35</f>
        <v>37859.526672014392</v>
      </c>
      <c r="W34" s="216">
        <f>$E$34*Quantidades!W35</f>
        <v>37859.526672014392</v>
      </c>
      <c r="X34" s="216">
        <f>$E$34*Quantidades!X35</f>
        <v>37859.526672014392</v>
      </c>
      <c r="Y34" s="216">
        <f>$E$34*Quantidades!Y35</f>
        <v>40382.782854625802</v>
      </c>
      <c r="Z34" s="216">
        <f>$E$34*Quantidades!Z35</f>
        <v>40382.782854625802</v>
      </c>
      <c r="AA34" s="216">
        <f>$E$34*Quantidades!AA35</f>
        <v>40382.782854625802</v>
      </c>
      <c r="AB34" s="216">
        <f>$E$34*Quantidades!AB35</f>
        <v>40382.782854625802</v>
      </c>
      <c r="AC34" s="216">
        <f>$E$34*Quantidades!AC35</f>
        <v>42719.272340941206</v>
      </c>
      <c r="AD34" s="216">
        <f>$E$34*Quantidades!AD35</f>
        <v>42719.272340941206</v>
      </c>
      <c r="AE34" s="216">
        <f>$E$34*Quantidades!AE35</f>
        <v>42719.272340941206</v>
      </c>
      <c r="AF34" s="216">
        <f>$E$34*Quantidades!AF35</f>
        <v>42719.272340941206</v>
      </c>
      <c r="AG34" s="216">
        <f>$E$34*Quantidades!AG35</f>
        <v>42719.272340941206</v>
      </c>
      <c r="AH34" s="216">
        <f>$E$34*Quantidades!AH35</f>
        <v>42719.272340941206</v>
      </c>
      <c r="AI34" s="216">
        <f>$E$34*Quantidades!AI35</f>
        <v>42719.272340941206</v>
      </c>
      <c r="AJ34" s="215">
        <f t="shared" si="1"/>
        <v>1089272.9808973225</v>
      </c>
    </row>
    <row r="35" spans="2:38" ht="14.4">
      <c r="B35" s="285" t="s">
        <v>126</v>
      </c>
      <c r="C35" s="287" t="s">
        <v>127</v>
      </c>
      <c r="D35" s="285" t="s">
        <v>123</v>
      </c>
      <c r="E35" s="213">
        <f>VLOOKUP(B35,'Preços Unitários'!B:E,4,FALSE)</f>
        <v>9.5032385809344078</v>
      </c>
      <c r="F35" s="214">
        <f>$E$35*Quantidades!F36</f>
        <v>0</v>
      </c>
      <c r="G35" s="216">
        <f>$E$35*Quantidades!G36</f>
        <v>3093.1070790273875</v>
      </c>
      <c r="H35" s="216">
        <f>$E$35*Quantidades!H36</f>
        <v>3300.8915440505693</v>
      </c>
      <c r="I35" s="216">
        <f>$E$35*Quantidades!I36</f>
        <v>3508.6760090737498</v>
      </c>
      <c r="J35" s="216">
        <f>$E$35*Quantidades!J36</f>
        <v>3716.4604740969321</v>
      </c>
      <c r="K35" s="216">
        <f>$E$35*Quantidades!K36</f>
        <v>4020.4421052048606</v>
      </c>
      <c r="L35" s="216">
        <f>$E$35*Quantidades!L36</f>
        <v>4141.9411235958996</v>
      </c>
      <c r="M35" s="216">
        <f>$E$35*Quantidades!M36</f>
        <v>4353.6892310438798</v>
      </c>
      <c r="N35" s="216">
        <f>$E$35*Quantidades!N36</f>
        <v>4435.1991419017932</v>
      </c>
      <c r="O35" s="216">
        <f>$E$35*Quantidades!O36</f>
        <v>4443.1264267513889</v>
      </c>
      <c r="P35" s="216">
        <f>$E$35*Quantidades!P36</f>
        <v>4447.0900691761872</v>
      </c>
      <c r="Q35" s="216">
        <f>$E$35*Quantidades!Q36</f>
        <v>4497.9936914730324</v>
      </c>
      <c r="R35" s="216">
        <f>$E$35*Quantidades!R36</f>
        <v>4505.920976322629</v>
      </c>
      <c r="S35" s="216">
        <f>$E$35*Quantidades!S36</f>
        <v>4564.6961311360637</v>
      </c>
      <c r="T35" s="216">
        <f>$E$35*Quantidades!T36</f>
        <v>4564.6961311360637</v>
      </c>
      <c r="U35" s="216">
        <f>$E$35*Quantidades!U36</f>
        <v>4568.6597735608611</v>
      </c>
      <c r="V35" s="216">
        <f>$E$35*Quantidades!V36</f>
        <v>4568.6597735608611</v>
      </c>
      <c r="W35" s="216">
        <f>$E$35*Quantidades!W36</f>
        <v>4568.6597735608611</v>
      </c>
      <c r="X35" s="216">
        <f>$E$35*Quantidades!X36</f>
        <v>4568.6597735608611</v>
      </c>
      <c r="Y35" s="216">
        <f>$E$35*Quantidades!Y36</f>
        <v>4873.1511402848646</v>
      </c>
      <c r="Z35" s="216">
        <f>$E$35*Quantidades!Z36</f>
        <v>4873.1511402848646</v>
      </c>
      <c r="AA35" s="216">
        <f>$E$35*Quantidades!AA36</f>
        <v>4873.1511402848646</v>
      </c>
      <c r="AB35" s="216">
        <f>$E$35*Quantidades!AB36</f>
        <v>4873.1511402848646</v>
      </c>
      <c r="AC35" s="216">
        <f>$E$35*Quantidades!AC36</f>
        <v>5155.1046263903236</v>
      </c>
      <c r="AD35" s="216">
        <f>$E$35*Quantidades!AD36</f>
        <v>5155.1046263903236</v>
      </c>
      <c r="AE35" s="216">
        <f>$E$35*Quantidades!AE36</f>
        <v>5155.1046263903236</v>
      </c>
      <c r="AF35" s="216">
        <f>$E$35*Quantidades!AF36</f>
        <v>5155.1046263903236</v>
      </c>
      <c r="AG35" s="216">
        <f>$E$35*Quantidades!AG36</f>
        <v>5155.1046263903236</v>
      </c>
      <c r="AH35" s="216">
        <f>$E$35*Quantidades!AH36</f>
        <v>5155.1046263903236</v>
      </c>
      <c r="AI35" s="216">
        <f>$E$35*Quantidades!AI36</f>
        <v>5155.1046263903236</v>
      </c>
      <c r="AJ35" s="215">
        <f t="shared" si="1"/>
        <v>131446.90617410565</v>
      </c>
    </row>
    <row r="36" spans="2:38">
      <c r="B36" s="43"/>
      <c r="C36" s="38" t="s">
        <v>128</v>
      </c>
      <c r="D36" s="55"/>
      <c r="E36" s="53"/>
      <c r="F36" s="210">
        <f>+SUBTOTAL(9,F37:F38)</f>
        <v>0</v>
      </c>
      <c r="G36" s="211">
        <f t="shared" ref="G36:AI36" si="7">+SUBTOTAL(9,G37:G38)</f>
        <v>191106.16831360923</v>
      </c>
      <c r="H36" s="211">
        <f t="shared" si="7"/>
        <v>203944.03390672654</v>
      </c>
      <c r="I36" s="211">
        <f t="shared" si="7"/>
        <v>216781.89949984386</v>
      </c>
      <c r="J36" s="211">
        <f t="shared" si="7"/>
        <v>229619.76509296123</v>
      </c>
      <c r="K36" s="211">
        <f t="shared" si="7"/>
        <v>248401.12741715991</v>
      </c>
      <c r="L36" s="211">
        <f t="shared" si="7"/>
        <v>255907.88721090023</v>
      </c>
      <c r="M36" s="211">
        <f t="shared" si="7"/>
        <v>268990.6445898547</v>
      </c>
      <c r="N36" s="211">
        <f t="shared" si="7"/>
        <v>274026.69615407591</v>
      </c>
      <c r="O36" s="211">
        <f t="shared" si="7"/>
        <v>274516.4797257501</v>
      </c>
      <c r="P36" s="211">
        <f t="shared" si="7"/>
        <v>274761.37151158723</v>
      </c>
      <c r="Q36" s="211">
        <f t="shared" si="7"/>
        <v>277906.42791018187</v>
      </c>
      <c r="R36" s="211">
        <f t="shared" si="7"/>
        <v>278396.21148185607</v>
      </c>
      <c r="S36" s="211">
        <f t="shared" si="7"/>
        <v>282027.60682041204</v>
      </c>
      <c r="T36" s="211">
        <f t="shared" si="7"/>
        <v>282027.60682041204</v>
      </c>
      <c r="U36" s="211">
        <f t="shared" si="7"/>
        <v>282272.49860624922</v>
      </c>
      <c r="V36" s="211">
        <f t="shared" si="7"/>
        <v>282272.49860624922</v>
      </c>
      <c r="W36" s="211">
        <f t="shared" si="7"/>
        <v>282272.49860624922</v>
      </c>
      <c r="X36" s="211">
        <f t="shared" si="7"/>
        <v>282272.49860624922</v>
      </c>
      <c r="Y36" s="211">
        <f t="shared" si="7"/>
        <v>301085.35470610845</v>
      </c>
      <c r="Z36" s="211">
        <f t="shared" si="7"/>
        <v>301085.35470610845</v>
      </c>
      <c r="AA36" s="211">
        <f t="shared" si="7"/>
        <v>301085.35470610845</v>
      </c>
      <c r="AB36" s="211">
        <f t="shared" si="7"/>
        <v>301085.35470610845</v>
      </c>
      <c r="AC36" s="211">
        <f t="shared" si="7"/>
        <v>318505.71843603853</v>
      </c>
      <c r="AD36" s="211">
        <f t="shared" si="7"/>
        <v>318505.71843603853</v>
      </c>
      <c r="AE36" s="211">
        <f t="shared" si="7"/>
        <v>318505.71843603853</v>
      </c>
      <c r="AF36" s="211">
        <f t="shared" si="7"/>
        <v>318505.71843603853</v>
      </c>
      <c r="AG36" s="211">
        <f t="shared" si="7"/>
        <v>318505.71843603853</v>
      </c>
      <c r="AH36" s="211">
        <f t="shared" si="7"/>
        <v>318505.71843603853</v>
      </c>
      <c r="AI36" s="211">
        <f t="shared" si="7"/>
        <v>318505.71843603853</v>
      </c>
      <c r="AJ36" s="212">
        <f t="shared" si="1"/>
        <v>8121385.36875703</v>
      </c>
    </row>
    <row r="37" spans="2:38" ht="14.4">
      <c r="B37" s="285" t="s">
        <v>129</v>
      </c>
      <c r="C37" s="287" t="s">
        <v>130</v>
      </c>
      <c r="D37" s="285" t="s">
        <v>101</v>
      </c>
      <c r="E37" s="213">
        <f>VLOOKUP(B37,'Preços Unitários'!B:E,4,FALSE)</f>
        <v>635.41488372477556</v>
      </c>
      <c r="F37" s="214">
        <f>$E$37*Quantidades!F38</f>
        <v>0</v>
      </c>
      <c r="G37" s="216">
        <f>$E$37*Quantidades!G38</f>
        <v>188013.06123458184</v>
      </c>
      <c r="H37" s="216">
        <f>$E$37*Quantidades!H38</f>
        <v>200643.14236267598</v>
      </c>
      <c r="I37" s="216">
        <f>$E$37*Quantidades!I38</f>
        <v>213273.22349077012</v>
      </c>
      <c r="J37" s="216">
        <f>$E$37*Quantidades!J38</f>
        <v>225903.30461886429</v>
      </c>
      <c r="K37" s="216">
        <f>$E$37*Quantidades!K38</f>
        <v>244380.68531195505</v>
      </c>
      <c r="L37" s="216">
        <f>$E$37*Quantidades!L38</f>
        <v>251765.94608730433</v>
      </c>
      <c r="M37" s="216">
        <f>$E$37*Quantidades!M38</f>
        <v>264636.95535881084</v>
      </c>
      <c r="N37" s="216">
        <f>$E$37*Quantidades!N38</f>
        <v>269591.49701217411</v>
      </c>
      <c r="O37" s="216">
        <f>$E$37*Quantidades!O38</f>
        <v>270073.35329899873</v>
      </c>
      <c r="P37" s="216">
        <f>$E$37*Quantidades!P38</f>
        <v>270314.28144241107</v>
      </c>
      <c r="Q37" s="216">
        <f>$E$37*Quantidades!Q38</f>
        <v>273408.43421870883</v>
      </c>
      <c r="R37" s="216">
        <f>$E$37*Quantidades!R38</f>
        <v>273890.29050553346</v>
      </c>
      <c r="S37" s="216">
        <f>$E$37*Quantidades!S38</f>
        <v>277462.910689276</v>
      </c>
      <c r="T37" s="216">
        <f>$E$37*Quantidades!T38</f>
        <v>277462.910689276</v>
      </c>
      <c r="U37" s="216">
        <f>$E$37*Quantidades!U38</f>
        <v>277703.83883268834</v>
      </c>
      <c r="V37" s="216">
        <f>$E$37*Quantidades!V38</f>
        <v>277703.83883268834</v>
      </c>
      <c r="W37" s="216">
        <f>$E$37*Quantidades!W38</f>
        <v>277703.83883268834</v>
      </c>
      <c r="X37" s="216">
        <f>$E$37*Quantidades!X38</f>
        <v>277703.83883268834</v>
      </c>
      <c r="Y37" s="216">
        <f>$E$37*Quantidades!Y38</f>
        <v>296212.20356582361</v>
      </c>
      <c r="Z37" s="216">
        <f>$E$37*Quantidades!Z38</f>
        <v>296212.20356582361</v>
      </c>
      <c r="AA37" s="216">
        <f>$E$37*Quantidades!AA38</f>
        <v>296212.20356582361</v>
      </c>
      <c r="AB37" s="216">
        <f>$E$37*Quantidades!AB38</f>
        <v>296212.20356582361</v>
      </c>
      <c r="AC37" s="216">
        <f>$E$37*Quantidades!AC38</f>
        <v>313350.6138096482</v>
      </c>
      <c r="AD37" s="216">
        <f>$E$37*Quantidades!AD38</f>
        <v>313350.6138096482</v>
      </c>
      <c r="AE37" s="216">
        <f>$E$37*Quantidades!AE38</f>
        <v>313350.6138096482</v>
      </c>
      <c r="AF37" s="216">
        <f>$E$37*Quantidades!AF38</f>
        <v>313350.6138096482</v>
      </c>
      <c r="AG37" s="216">
        <f>$E$37*Quantidades!AG38</f>
        <v>313350.6138096482</v>
      </c>
      <c r="AH37" s="216">
        <f>$E$37*Quantidades!AH38</f>
        <v>313350.6138096482</v>
      </c>
      <c r="AI37" s="216">
        <f>$E$37*Quantidades!AI38</f>
        <v>313350.6138096482</v>
      </c>
      <c r="AJ37" s="215">
        <f t="shared" si="1"/>
        <v>7989938.4625829263</v>
      </c>
    </row>
    <row r="38" spans="2:38" ht="14.4">
      <c r="B38" s="285" t="s">
        <v>126</v>
      </c>
      <c r="C38" s="287" t="s">
        <v>131</v>
      </c>
      <c r="D38" s="285" t="s">
        <v>101</v>
      </c>
      <c r="E38" s="213">
        <f>VLOOKUP(B38,'Preços Unitários'!B:E,4,FALSE)</f>
        <v>9.5032385809344078</v>
      </c>
      <c r="F38" s="214">
        <f>$E$38*Quantidades!F39</f>
        <v>0</v>
      </c>
      <c r="G38" s="216">
        <f>$E$38*Quantidades!G39</f>
        <v>3093.1070790273875</v>
      </c>
      <c r="H38" s="216">
        <f>$E$38*Quantidades!H39</f>
        <v>3300.8915440505693</v>
      </c>
      <c r="I38" s="216">
        <f>$E$38*Quantidades!I39</f>
        <v>3508.6760090737498</v>
      </c>
      <c r="J38" s="216">
        <f>$E$38*Quantidades!J39</f>
        <v>3716.4604740969321</v>
      </c>
      <c r="K38" s="216">
        <f>$E$38*Quantidades!K39</f>
        <v>4020.4421052048606</v>
      </c>
      <c r="L38" s="216">
        <f>$E$38*Quantidades!L39</f>
        <v>4141.9411235958996</v>
      </c>
      <c r="M38" s="216">
        <f>$E$38*Quantidades!M39</f>
        <v>4353.6892310438798</v>
      </c>
      <c r="N38" s="216">
        <f>$E$38*Quantidades!N39</f>
        <v>4435.1991419017932</v>
      </c>
      <c r="O38" s="216">
        <f>$E$38*Quantidades!O39</f>
        <v>4443.1264267513889</v>
      </c>
      <c r="P38" s="216">
        <f>$E$38*Quantidades!P39</f>
        <v>4447.0900691761872</v>
      </c>
      <c r="Q38" s="216">
        <f>$E$38*Quantidades!Q39</f>
        <v>4497.9936914730324</v>
      </c>
      <c r="R38" s="216">
        <f>$E$38*Quantidades!R39</f>
        <v>4505.920976322629</v>
      </c>
      <c r="S38" s="216">
        <f>$E$38*Quantidades!S39</f>
        <v>4564.6961311360637</v>
      </c>
      <c r="T38" s="216">
        <f>$E$38*Quantidades!T39</f>
        <v>4564.6961311360637</v>
      </c>
      <c r="U38" s="216">
        <f>$E$38*Quantidades!U39</f>
        <v>4568.6597735608611</v>
      </c>
      <c r="V38" s="216">
        <f>$E$38*Quantidades!V39</f>
        <v>4568.6597735608611</v>
      </c>
      <c r="W38" s="216">
        <f>$E$38*Quantidades!W39</f>
        <v>4568.6597735608611</v>
      </c>
      <c r="X38" s="216">
        <f>$E$38*Quantidades!X39</f>
        <v>4568.6597735608611</v>
      </c>
      <c r="Y38" s="216">
        <f>$E$38*Quantidades!Y39</f>
        <v>4873.1511402848646</v>
      </c>
      <c r="Z38" s="216">
        <f>$E$38*Quantidades!Z39</f>
        <v>4873.1511402848646</v>
      </c>
      <c r="AA38" s="216">
        <f>$E$38*Quantidades!AA39</f>
        <v>4873.1511402848646</v>
      </c>
      <c r="AB38" s="216">
        <f>$E$38*Quantidades!AB39</f>
        <v>4873.1511402848646</v>
      </c>
      <c r="AC38" s="216">
        <f>$E$38*Quantidades!AC39</f>
        <v>5155.1046263903236</v>
      </c>
      <c r="AD38" s="216">
        <f>$E$38*Quantidades!AD39</f>
        <v>5155.1046263903236</v>
      </c>
      <c r="AE38" s="216">
        <f>$E$38*Quantidades!AE39</f>
        <v>5155.1046263903236</v>
      </c>
      <c r="AF38" s="216">
        <f>$E$38*Quantidades!AF39</f>
        <v>5155.1046263903236</v>
      </c>
      <c r="AG38" s="216">
        <f>$E$38*Quantidades!AG39</f>
        <v>5155.1046263903236</v>
      </c>
      <c r="AH38" s="216">
        <f>$E$38*Quantidades!AH39</f>
        <v>5155.1046263903236</v>
      </c>
      <c r="AI38" s="216">
        <f>$E$38*Quantidades!AI39</f>
        <v>5155.1046263903236</v>
      </c>
      <c r="AJ38" s="215">
        <f t="shared" si="1"/>
        <v>131446.90617410565</v>
      </c>
    </row>
    <row r="39" spans="2:38">
      <c r="B39" s="43"/>
      <c r="C39" s="38" t="s">
        <v>132</v>
      </c>
      <c r="D39" s="55"/>
      <c r="E39" s="53"/>
      <c r="F39" s="210">
        <f>+SUBTOTAL(9,F40:F42)</f>
        <v>0</v>
      </c>
      <c r="G39" s="211">
        <f t="shared" ref="G39:AI39" si="8">+SUBTOTAL(9,G40:G42)</f>
        <v>1771551.3983848419</v>
      </c>
      <c r="H39" s="211">
        <f t="shared" si="8"/>
        <v>1771551.3983848419</v>
      </c>
      <c r="I39" s="211">
        <f t="shared" si="8"/>
        <v>1771551.3983848419</v>
      </c>
      <c r="J39" s="211">
        <f t="shared" si="8"/>
        <v>1771551.3983848419</v>
      </c>
      <c r="K39" s="211">
        <f t="shared" si="8"/>
        <v>1771551.3983848419</v>
      </c>
      <c r="L39" s="211">
        <f t="shared" si="8"/>
        <v>1771551.3983848419</v>
      </c>
      <c r="M39" s="211">
        <f t="shared" si="8"/>
        <v>1771551.3983848419</v>
      </c>
      <c r="N39" s="211">
        <f t="shared" si="8"/>
        <v>1771551.3983848419</v>
      </c>
      <c r="O39" s="211">
        <f t="shared" si="8"/>
        <v>1771551.3983848419</v>
      </c>
      <c r="P39" s="211">
        <f t="shared" si="8"/>
        <v>1771551.3983848419</v>
      </c>
      <c r="Q39" s="211">
        <f t="shared" si="8"/>
        <v>1771551.3983848419</v>
      </c>
      <c r="R39" s="211">
        <f t="shared" si="8"/>
        <v>1771551.3983848419</v>
      </c>
      <c r="S39" s="211">
        <f t="shared" si="8"/>
        <v>1771551.3983848419</v>
      </c>
      <c r="T39" s="211">
        <f t="shared" si="8"/>
        <v>1771551.3983848419</v>
      </c>
      <c r="U39" s="211">
        <f t="shared" si="8"/>
        <v>1771551.3983848419</v>
      </c>
      <c r="V39" s="211">
        <f t="shared" si="8"/>
        <v>1771551.3983848419</v>
      </c>
      <c r="W39" s="211">
        <f t="shared" si="8"/>
        <v>1771551.3983848419</v>
      </c>
      <c r="X39" s="211">
        <f t="shared" si="8"/>
        <v>1771551.3983848419</v>
      </c>
      <c r="Y39" s="211">
        <f t="shared" si="8"/>
        <v>1771551.3983848419</v>
      </c>
      <c r="Z39" s="211">
        <f t="shared" si="8"/>
        <v>1771551.3983848419</v>
      </c>
      <c r="AA39" s="211">
        <f t="shared" si="8"/>
        <v>1771551.3983848419</v>
      </c>
      <c r="AB39" s="211">
        <f t="shared" si="8"/>
        <v>1771551.3983848419</v>
      </c>
      <c r="AC39" s="211">
        <f t="shared" si="8"/>
        <v>1771551.3983848419</v>
      </c>
      <c r="AD39" s="211">
        <f t="shared" si="8"/>
        <v>1771551.3983848419</v>
      </c>
      <c r="AE39" s="211">
        <f t="shared" si="8"/>
        <v>1771551.3983848419</v>
      </c>
      <c r="AF39" s="211">
        <f t="shared" si="8"/>
        <v>1771551.3983848419</v>
      </c>
      <c r="AG39" s="211">
        <f t="shared" si="8"/>
        <v>1771551.3983848419</v>
      </c>
      <c r="AH39" s="211">
        <f t="shared" si="8"/>
        <v>1771551.3983848419</v>
      </c>
      <c r="AI39" s="211">
        <f t="shared" si="8"/>
        <v>1771551.3983848419</v>
      </c>
      <c r="AJ39" s="212">
        <f t="shared" si="1"/>
        <v>51374990.553160392</v>
      </c>
    </row>
    <row r="40" spans="2:38" ht="14.4">
      <c r="B40" s="285" t="s">
        <v>133</v>
      </c>
      <c r="C40" s="287" t="s">
        <v>134</v>
      </c>
      <c r="D40" s="285" t="s">
        <v>135</v>
      </c>
      <c r="E40" s="213">
        <f>VLOOKUP(B40,'Preços Unitários'!B:E,4,FALSE)</f>
        <v>1121.7496811141636</v>
      </c>
      <c r="F40" s="214">
        <f>$E$40*Quantidades!F41</f>
        <v>0</v>
      </c>
      <c r="G40" s="216">
        <f>$E$40*Quantidades!G41</f>
        <v>1687086.8419027093</v>
      </c>
      <c r="H40" s="216">
        <f>$E$40*Quantidades!H41</f>
        <v>1687086.8419027093</v>
      </c>
      <c r="I40" s="216">
        <f>$E$40*Quantidades!I41</f>
        <v>1687086.8419027093</v>
      </c>
      <c r="J40" s="216">
        <f>$E$40*Quantidades!J41</f>
        <v>1687086.8419027093</v>
      </c>
      <c r="K40" s="216">
        <f>$E$40*Quantidades!K41</f>
        <v>1687086.8419027093</v>
      </c>
      <c r="L40" s="216">
        <f>$E$40*Quantidades!L41</f>
        <v>1687086.8419027093</v>
      </c>
      <c r="M40" s="216">
        <f>$E$40*Quantidades!M41</f>
        <v>1687086.8419027093</v>
      </c>
      <c r="N40" s="216">
        <f>$E$40*Quantidades!N41</f>
        <v>1687086.8419027093</v>
      </c>
      <c r="O40" s="216">
        <f>$E$40*Quantidades!O41</f>
        <v>1687086.8419027093</v>
      </c>
      <c r="P40" s="216">
        <f>$E$40*Quantidades!P41</f>
        <v>1687086.8419027093</v>
      </c>
      <c r="Q40" s="216">
        <f>$E$40*Quantidades!Q41</f>
        <v>1687086.8419027093</v>
      </c>
      <c r="R40" s="216">
        <f>$E$40*Quantidades!R41</f>
        <v>1687086.8419027093</v>
      </c>
      <c r="S40" s="216">
        <f>$E$40*Quantidades!S41</f>
        <v>1687086.8419027093</v>
      </c>
      <c r="T40" s="216">
        <f>$E$40*Quantidades!T41</f>
        <v>1687086.8419027093</v>
      </c>
      <c r="U40" s="216">
        <f>$E$40*Quantidades!U41</f>
        <v>1687086.8419027093</v>
      </c>
      <c r="V40" s="216">
        <f>$E$40*Quantidades!V41</f>
        <v>1687086.8419027093</v>
      </c>
      <c r="W40" s="216">
        <f>$E$40*Quantidades!W41</f>
        <v>1687086.8419027093</v>
      </c>
      <c r="X40" s="216">
        <f>$E$40*Quantidades!X41</f>
        <v>1687086.8419027093</v>
      </c>
      <c r="Y40" s="216">
        <f>$E$40*Quantidades!Y41</f>
        <v>1687086.8419027093</v>
      </c>
      <c r="Z40" s="216">
        <f>$E$40*Quantidades!Z41</f>
        <v>1687086.8419027093</v>
      </c>
      <c r="AA40" s="216">
        <f>$E$40*Quantidades!AA41</f>
        <v>1687086.8419027093</v>
      </c>
      <c r="AB40" s="216">
        <f>$E$40*Quantidades!AB41</f>
        <v>1687086.8419027093</v>
      </c>
      <c r="AC40" s="216">
        <f>$E$40*Quantidades!AC41</f>
        <v>1687086.8419027093</v>
      </c>
      <c r="AD40" s="216">
        <f>$E$40*Quantidades!AD41</f>
        <v>1687086.8419027093</v>
      </c>
      <c r="AE40" s="216">
        <f>$E$40*Quantidades!AE41</f>
        <v>1687086.8419027093</v>
      </c>
      <c r="AF40" s="216">
        <f>$E$40*Quantidades!AF41</f>
        <v>1687086.8419027093</v>
      </c>
      <c r="AG40" s="216">
        <f>$E$40*Quantidades!AG41</f>
        <v>1687086.8419027093</v>
      </c>
      <c r="AH40" s="216">
        <f>$E$40*Quantidades!AH41</f>
        <v>1687086.8419027093</v>
      </c>
      <c r="AI40" s="216">
        <f>$E$40*Quantidades!AI41</f>
        <v>1687086.8419027093</v>
      </c>
      <c r="AJ40" s="215">
        <f t="shared" si="1"/>
        <v>48925518.41517859</v>
      </c>
    </row>
    <row r="41" spans="2:38" ht="14.4">
      <c r="B41" s="285" t="s">
        <v>136</v>
      </c>
      <c r="C41" s="287" t="s">
        <v>137</v>
      </c>
      <c r="D41" s="285" t="s">
        <v>97</v>
      </c>
      <c r="E41" s="213">
        <f>VLOOKUP(B41,'Preços Unitários'!B:E,4,FALSE)</f>
        <v>761.82370807537052</v>
      </c>
      <c r="F41" s="214">
        <f>$E$41*Quantidades!F42</f>
        <v>0</v>
      </c>
      <c r="G41" s="216">
        <f>$E$41*Quantidades!G42</f>
        <v>81819.866247303871</v>
      </c>
      <c r="H41" s="216">
        <f>$E$41*Quantidades!H42</f>
        <v>81819.866247303871</v>
      </c>
      <c r="I41" s="216">
        <f>$E$41*Quantidades!I42</f>
        <v>81819.866247303871</v>
      </c>
      <c r="J41" s="216">
        <f>$E$41*Quantidades!J42</f>
        <v>81819.866247303871</v>
      </c>
      <c r="K41" s="216">
        <f>$E$41*Quantidades!K42</f>
        <v>81819.866247303871</v>
      </c>
      <c r="L41" s="216">
        <f>$E$41*Quantidades!L42</f>
        <v>81819.866247303871</v>
      </c>
      <c r="M41" s="216">
        <f>$E$41*Quantidades!M42</f>
        <v>81819.866247303871</v>
      </c>
      <c r="N41" s="216">
        <f>$E$41*Quantidades!N42</f>
        <v>81819.866247303871</v>
      </c>
      <c r="O41" s="216">
        <f>$E$41*Quantidades!O42</f>
        <v>81819.866247303871</v>
      </c>
      <c r="P41" s="216">
        <f>$E$41*Quantidades!P42</f>
        <v>81819.866247303871</v>
      </c>
      <c r="Q41" s="216">
        <f>$E$41*Quantidades!Q42</f>
        <v>81819.866247303871</v>
      </c>
      <c r="R41" s="216">
        <f>$E$41*Quantidades!R42</f>
        <v>81819.866247303871</v>
      </c>
      <c r="S41" s="216">
        <f>$E$41*Quantidades!S42</f>
        <v>81819.866247303871</v>
      </c>
      <c r="T41" s="216">
        <f>$E$41*Quantidades!T42</f>
        <v>81819.866247303871</v>
      </c>
      <c r="U41" s="216">
        <f>$E$41*Quantidades!U42</f>
        <v>81819.866247303871</v>
      </c>
      <c r="V41" s="216">
        <f>$E$41*Quantidades!V42</f>
        <v>81819.866247303871</v>
      </c>
      <c r="W41" s="216">
        <f>$E$41*Quantidades!W42</f>
        <v>81819.866247303871</v>
      </c>
      <c r="X41" s="216">
        <f>$E$41*Quantidades!X42</f>
        <v>81819.866247303871</v>
      </c>
      <c r="Y41" s="216">
        <f>$E$41*Quantidades!Y42</f>
        <v>81819.866247303871</v>
      </c>
      <c r="Z41" s="216">
        <f>$E$41*Quantidades!Z42</f>
        <v>81819.866247303871</v>
      </c>
      <c r="AA41" s="216">
        <f>$E$41*Quantidades!AA42</f>
        <v>81819.866247303871</v>
      </c>
      <c r="AB41" s="216">
        <f>$E$41*Quantidades!AB42</f>
        <v>81819.866247303871</v>
      </c>
      <c r="AC41" s="216">
        <f>$E$41*Quantidades!AC42</f>
        <v>81819.866247303871</v>
      </c>
      <c r="AD41" s="216">
        <f>$E$41*Quantidades!AD42</f>
        <v>81819.866247303871</v>
      </c>
      <c r="AE41" s="216">
        <f>$E$41*Quantidades!AE42</f>
        <v>81819.866247303871</v>
      </c>
      <c r="AF41" s="216">
        <f>$E$41*Quantidades!AF42</f>
        <v>81819.866247303871</v>
      </c>
      <c r="AG41" s="216">
        <f>$E$41*Quantidades!AG42</f>
        <v>81819.866247303871</v>
      </c>
      <c r="AH41" s="216">
        <f>$E$41*Quantidades!AH42</f>
        <v>81819.866247303871</v>
      </c>
      <c r="AI41" s="216">
        <f>$E$41*Quantidades!AI42</f>
        <v>81819.866247303871</v>
      </c>
      <c r="AJ41" s="215">
        <f t="shared" si="1"/>
        <v>2372776.1211718111</v>
      </c>
    </row>
    <row r="42" spans="2:38" ht="14.4">
      <c r="B42" s="285" t="s">
        <v>138</v>
      </c>
      <c r="C42" s="287" t="s">
        <v>139</v>
      </c>
      <c r="D42" s="285" t="s">
        <v>135</v>
      </c>
      <c r="E42" s="213">
        <f>VLOOKUP(B42,'Preços Unitários'!B:E,4,FALSE)</f>
        <v>328.32901735920012</v>
      </c>
      <c r="F42" s="214">
        <f>$E$42*Quantidades!F43</f>
        <v>0</v>
      </c>
      <c r="G42" s="216">
        <f>$E$42*Quantidades!G43</f>
        <v>2644.6902348286503</v>
      </c>
      <c r="H42" s="216">
        <f>$E$42*Quantidades!H43</f>
        <v>2644.6902348286503</v>
      </c>
      <c r="I42" s="216">
        <f>$E$42*Quantidades!I43</f>
        <v>2644.6902348286503</v>
      </c>
      <c r="J42" s="216">
        <f>$E$42*Quantidades!J43</f>
        <v>2644.6902348286503</v>
      </c>
      <c r="K42" s="216">
        <f>$E$42*Quantidades!K43</f>
        <v>2644.6902348286503</v>
      </c>
      <c r="L42" s="216">
        <f>$E$42*Quantidades!L43</f>
        <v>2644.6902348286503</v>
      </c>
      <c r="M42" s="216">
        <f>$E$42*Quantidades!M43</f>
        <v>2644.6902348286503</v>
      </c>
      <c r="N42" s="216">
        <f>$E$42*Quantidades!N43</f>
        <v>2644.6902348286503</v>
      </c>
      <c r="O42" s="216">
        <f>$E$42*Quantidades!O43</f>
        <v>2644.6902348286503</v>
      </c>
      <c r="P42" s="216">
        <f>$E$42*Quantidades!P43</f>
        <v>2644.6902348286503</v>
      </c>
      <c r="Q42" s="216">
        <f>$E$42*Quantidades!Q43</f>
        <v>2644.6902348286503</v>
      </c>
      <c r="R42" s="216">
        <f>$E$42*Quantidades!R43</f>
        <v>2644.6902348286503</v>
      </c>
      <c r="S42" s="216">
        <f>$E$42*Quantidades!S43</f>
        <v>2644.6902348286503</v>
      </c>
      <c r="T42" s="216">
        <f>$E$42*Quantidades!T43</f>
        <v>2644.6902348286503</v>
      </c>
      <c r="U42" s="216">
        <f>$E$42*Quantidades!U43</f>
        <v>2644.6902348286503</v>
      </c>
      <c r="V42" s="216">
        <f>$E$42*Quantidades!V43</f>
        <v>2644.6902348286503</v>
      </c>
      <c r="W42" s="216">
        <f>$E$42*Quantidades!W43</f>
        <v>2644.6902348286503</v>
      </c>
      <c r="X42" s="216">
        <f>$E$42*Quantidades!X43</f>
        <v>2644.6902348286503</v>
      </c>
      <c r="Y42" s="216">
        <f>$E$42*Quantidades!Y43</f>
        <v>2644.6902348286503</v>
      </c>
      <c r="Z42" s="216">
        <f>$E$42*Quantidades!Z43</f>
        <v>2644.6902348286503</v>
      </c>
      <c r="AA42" s="216">
        <f>$E$42*Quantidades!AA43</f>
        <v>2644.6902348286503</v>
      </c>
      <c r="AB42" s="216">
        <f>$E$42*Quantidades!AB43</f>
        <v>2644.6902348286503</v>
      </c>
      <c r="AC42" s="216">
        <f>$E$42*Quantidades!AC43</f>
        <v>2644.6902348286503</v>
      </c>
      <c r="AD42" s="216">
        <f>$E$42*Quantidades!AD43</f>
        <v>2644.6902348286503</v>
      </c>
      <c r="AE42" s="216">
        <f>$E$42*Quantidades!AE43</f>
        <v>2644.6902348286503</v>
      </c>
      <c r="AF42" s="216">
        <f>$E$42*Quantidades!AF43</f>
        <v>2644.6902348286503</v>
      </c>
      <c r="AG42" s="216">
        <f>$E$42*Quantidades!AG43</f>
        <v>2644.6902348286503</v>
      </c>
      <c r="AH42" s="216">
        <f>$E$42*Quantidades!AH43</f>
        <v>2644.6902348286503</v>
      </c>
      <c r="AI42" s="216">
        <f>$E$42*Quantidades!AI43</f>
        <v>2644.6902348286503</v>
      </c>
      <c r="AJ42" s="215">
        <f t="shared" si="1"/>
        <v>76696.016810030895</v>
      </c>
    </row>
    <row r="43" spans="2:38">
      <c r="B43" s="205"/>
      <c r="C43" s="206" t="s">
        <v>140</v>
      </c>
      <c r="D43" s="205"/>
      <c r="E43" s="207"/>
      <c r="F43" s="208">
        <f t="shared" ref="F43:AH43" si="9">+SUBTOTAL(9,F44:F50)</f>
        <v>0</v>
      </c>
      <c r="G43" s="208">
        <f t="shared" si="9"/>
        <v>14552.174513514148</v>
      </c>
      <c r="H43" s="208">
        <f t="shared" si="9"/>
        <v>14552.174513514148</v>
      </c>
      <c r="I43" s="208">
        <f t="shared" si="9"/>
        <v>14552.174513514148</v>
      </c>
      <c r="J43" s="208">
        <f t="shared" si="9"/>
        <v>14552.174513514148</v>
      </c>
      <c r="K43" s="208">
        <f t="shared" si="9"/>
        <v>14552.174513514148</v>
      </c>
      <c r="L43" s="208">
        <f t="shared" si="9"/>
        <v>14552.174513514148</v>
      </c>
      <c r="M43" s="208">
        <f t="shared" si="9"/>
        <v>14552.174513514148</v>
      </c>
      <c r="N43" s="208">
        <f t="shared" si="9"/>
        <v>14552.174513514148</v>
      </c>
      <c r="O43" s="208">
        <f t="shared" si="9"/>
        <v>14552.174513514148</v>
      </c>
      <c r="P43" s="208">
        <f t="shared" si="9"/>
        <v>14552.174513514148</v>
      </c>
      <c r="Q43" s="208">
        <f t="shared" si="9"/>
        <v>14552.174513514148</v>
      </c>
      <c r="R43" s="208">
        <f t="shared" si="9"/>
        <v>14552.174513514148</v>
      </c>
      <c r="S43" s="208">
        <f t="shared" si="9"/>
        <v>14552.174513514148</v>
      </c>
      <c r="T43" s="208">
        <f t="shared" si="9"/>
        <v>14552.174513514148</v>
      </c>
      <c r="U43" s="208">
        <f t="shared" si="9"/>
        <v>14552.174513514148</v>
      </c>
      <c r="V43" s="208">
        <f t="shared" si="9"/>
        <v>14552.174513514148</v>
      </c>
      <c r="W43" s="208">
        <f t="shared" si="9"/>
        <v>14552.174513514148</v>
      </c>
      <c r="X43" s="208">
        <f t="shared" si="9"/>
        <v>14552.174513514148</v>
      </c>
      <c r="Y43" s="208">
        <f t="shared" si="9"/>
        <v>14552.174513514148</v>
      </c>
      <c r="Z43" s="208">
        <f t="shared" si="9"/>
        <v>14552.174513514148</v>
      </c>
      <c r="AA43" s="208">
        <f t="shared" si="9"/>
        <v>14552.174513514148</v>
      </c>
      <c r="AB43" s="208">
        <f t="shared" si="9"/>
        <v>14552.174513514148</v>
      </c>
      <c r="AC43" s="208">
        <f t="shared" si="9"/>
        <v>14552.174513514148</v>
      </c>
      <c r="AD43" s="208">
        <f t="shared" si="9"/>
        <v>14552.174513514148</v>
      </c>
      <c r="AE43" s="208">
        <f t="shared" si="9"/>
        <v>14552.174513514148</v>
      </c>
      <c r="AF43" s="208">
        <f t="shared" si="9"/>
        <v>14552.174513514148</v>
      </c>
      <c r="AG43" s="208">
        <f t="shared" si="9"/>
        <v>14552.174513514148</v>
      </c>
      <c r="AH43" s="208">
        <f t="shared" si="9"/>
        <v>14552.174513514148</v>
      </c>
      <c r="AI43" s="208">
        <f>+SUBTOTAL(9,AI44:AI50)</f>
        <v>14552.174513514148</v>
      </c>
      <c r="AJ43" s="208">
        <f t="shared" si="1"/>
        <v>422013.0608919104</v>
      </c>
      <c r="AL43" s="2"/>
    </row>
    <row r="44" spans="2:38">
      <c r="B44" s="43"/>
      <c r="C44" s="38" t="s">
        <v>141</v>
      </c>
      <c r="D44" s="55"/>
      <c r="E44" s="53"/>
      <c r="F44" s="217"/>
      <c r="G44" s="211">
        <f t="shared" ref="G44:AI44" si="10">+SUBTOTAL(9,G45:G50)</f>
        <v>14552.174513514148</v>
      </c>
      <c r="H44" s="211">
        <f t="shared" si="10"/>
        <v>14552.174513514148</v>
      </c>
      <c r="I44" s="211">
        <f t="shared" si="10"/>
        <v>14552.174513514148</v>
      </c>
      <c r="J44" s="211">
        <f t="shared" si="10"/>
        <v>14552.174513514148</v>
      </c>
      <c r="K44" s="211">
        <f t="shared" si="10"/>
        <v>14552.174513514148</v>
      </c>
      <c r="L44" s="211">
        <f t="shared" si="10"/>
        <v>14552.174513514148</v>
      </c>
      <c r="M44" s="211">
        <f t="shared" si="10"/>
        <v>14552.174513514148</v>
      </c>
      <c r="N44" s="211">
        <f t="shared" si="10"/>
        <v>14552.174513514148</v>
      </c>
      <c r="O44" s="211">
        <f t="shared" si="10"/>
        <v>14552.174513514148</v>
      </c>
      <c r="P44" s="211">
        <f t="shared" si="10"/>
        <v>14552.174513514148</v>
      </c>
      <c r="Q44" s="211">
        <f t="shared" si="10"/>
        <v>14552.174513514148</v>
      </c>
      <c r="R44" s="211">
        <f t="shared" si="10"/>
        <v>14552.174513514148</v>
      </c>
      <c r="S44" s="211">
        <f t="shared" si="10"/>
        <v>14552.174513514148</v>
      </c>
      <c r="T44" s="211">
        <f t="shared" si="10"/>
        <v>14552.174513514148</v>
      </c>
      <c r="U44" s="211">
        <f t="shared" si="10"/>
        <v>14552.174513514148</v>
      </c>
      <c r="V44" s="211">
        <f t="shared" si="10"/>
        <v>14552.174513514148</v>
      </c>
      <c r="W44" s="211">
        <f t="shared" si="10"/>
        <v>14552.174513514148</v>
      </c>
      <c r="X44" s="211">
        <f t="shared" si="10"/>
        <v>14552.174513514148</v>
      </c>
      <c r="Y44" s="211">
        <f t="shared" si="10"/>
        <v>14552.174513514148</v>
      </c>
      <c r="Z44" s="211">
        <f t="shared" si="10"/>
        <v>14552.174513514148</v>
      </c>
      <c r="AA44" s="211">
        <f t="shared" si="10"/>
        <v>14552.174513514148</v>
      </c>
      <c r="AB44" s="211">
        <f t="shared" si="10"/>
        <v>14552.174513514148</v>
      </c>
      <c r="AC44" s="211">
        <f t="shared" si="10"/>
        <v>14552.174513514148</v>
      </c>
      <c r="AD44" s="211">
        <f t="shared" si="10"/>
        <v>14552.174513514148</v>
      </c>
      <c r="AE44" s="211">
        <f t="shared" si="10"/>
        <v>14552.174513514148</v>
      </c>
      <c r="AF44" s="211">
        <f t="shared" si="10"/>
        <v>14552.174513514148</v>
      </c>
      <c r="AG44" s="211">
        <f t="shared" si="10"/>
        <v>14552.174513514148</v>
      </c>
      <c r="AH44" s="211">
        <f t="shared" si="10"/>
        <v>14552.174513514148</v>
      </c>
      <c r="AI44" s="211">
        <f t="shared" si="10"/>
        <v>14552.174513514148</v>
      </c>
      <c r="AJ44" s="212">
        <f t="shared" si="1"/>
        <v>422013.0608919104</v>
      </c>
    </row>
    <row r="45" spans="2:38" ht="14.4">
      <c r="B45" s="285" t="s">
        <v>142</v>
      </c>
      <c r="C45" s="287" t="s">
        <v>143</v>
      </c>
      <c r="D45" s="285" t="s">
        <v>135</v>
      </c>
      <c r="E45" s="213">
        <f>VLOOKUP(B45,'Preços Unitários'!B:E,4,FALSE)</f>
        <v>112.33773076114507</v>
      </c>
      <c r="F45" s="214">
        <f>$E$45*Quantidades!F46</f>
        <v>0</v>
      </c>
      <c r="G45" s="216">
        <f>$E$45*Quantidades!G46</f>
        <v>640.32506533852688</v>
      </c>
      <c r="H45" s="216">
        <f>$E$45*Quantidades!H46</f>
        <v>640.32506533852688</v>
      </c>
      <c r="I45" s="216">
        <f>$E$45*Quantidades!I46</f>
        <v>640.32506533852688</v>
      </c>
      <c r="J45" s="216">
        <f>$E$45*Quantidades!J46</f>
        <v>640.32506533852688</v>
      </c>
      <c r="K45" s="216">
        <f>$E$45*Quantidades!K46</f>
        <v>640.32506533852688</v>
      </c>
      <c r="L45" s="216">
        <f>$E$45*Quantidades!L46</f>
        <v>640.32506533852688</v>
      </c>
      <c r="M45" s="216">
        <f>$E$45*Quantidades!M46</f>
        <v>640.32506533852688</v>
      </c>
      <c r="N45" s="216">
        <f>$E$45*Quantidades!N46</f>
        <v>640.32506533852688</v>
      </c>
      <c r="O45" s="216">
        <f>$E$45*Quantidades!O46</f>
        <v>640.32506533852688</v>
      </c>
      <c r="P45" s="216">
        <f>$E$45*Quantidades!P46</f>
        <v>640.32506533852688</v>
      </c>
      <c r="Q45" s="216">
        <f>$E$45*Quantidades!Q46</f>
        <v>640.32506533852688</v>
      </c>
      <c r="R45" s="216">
        <f>$E$45*Quantidades!R46</f>
        <v>640.32506533852688</v>
      </c>
      <c r="S45" s="216">
        <f>$E$45*Quantidades!S46</f>
        <v>640.32506533852688</v>
      </c>
      <c r="T45" s="216">
        <f>$E$45*Quantidades!T46</f>
        <v>640.32506533852688</v>
      </c>
      <c r="U45" s="216">
        <f>$E$45*Quantidades!U46</f>
        <v>640.32506533852688</v>
      </c>
      <c r="V45" s="216">
        <f>$E$45*Quantidades!V46</f>
        <v>640.32506533852688</v>
      </c>
      <c r="W45" s="216">
        <f>$E$45*Quantidades!W46</f>
        <v>640.32506533852688</v>
      </c>
      <c r="X45" s="216">
        <f>$E$45*Quantidades!X46</f>
        <v>640.32506533852688</v>
      </c>
      <c r="Y45" s="216">
        <f>$E$45*Quantidades!Y46</f>
        <v>640.32506533852688</v>
      </c>
      <c r="Z45" s="216">
        <f>$E$45*Quantidades!Z46</f>
        <v>640.32506533852688</v>
      </c>
      <c r="AA45" s="216">
        <f>$E$45*Quantidades!AA46</f>
        <v>640.32506533852688</v>
      </c>
      <c r="AB45" s="216">
        <f>$E$45*Quantidades!AB46</f>
        <v>640.32506533852688</v>
      </c>
      <c r="AC45" s="216">
        <f>$E$45*Quantidades!AC46</f>
        <v>640.32506533852688</v>
      </c>
      <c r="AD45" s="216">
        <f>$E$45*Quantidades!AD46</f>
        <v>640.32506533852688</v>
      </c>
      <c r="AE45" s="216">
        <f>$E$45*Quantidades!AE46</f>
        <v>640.32506533852688</v>
      </c>
      <c r="AF45" s="216">
        <f>$E$45*Quantidades!AF46</f>
        <v>640.32506533852688</v>
      </c>
      <c r="AG45" s="216">
        <f>$E$45*Quantidades!AG46</f>
        <v>640.32506533852688</v>
      </c>
      <c r="AH45" s="216">
        <f>$E$45*Quantidades!AH46</f>
        <v>640.32506533852688</v>
      </c>
      <c r="AI45" s="216">
        <f>$E$45*Quantidades!AI46</f>
        <v>640.32506533852688</v>
      </c>
      <c r="AJ45" s="215">
        <f t="shared" si="1"/>
        <v>18569.426894817283</v>
      </c>
    </row>
    <row r="46" spans="2:38" ht="14.4">
      <c r="B46" s="285" t="s">
        <v>144</v>
      </c>
      <c r="C46" s="287" t="s">
        <v>145</v>
      </c>
      <c r="D46" s="285" t="s">
        <v>101</v>
      </c>
      <c r="E46" s="213">
        <f>VLOOKUP(B46,'Preços Unitários'!B:E,4,FALSE)</f>
        <v>3.2762546267972765</v>
      </c>
      <c r="F46" s="214">
        <f>$E$46*Quantidades!F47</f>
        <v>0</v>
      </c>
      <c r="G46" s="216">
        <f>$E$46*Quantidades!G47</f>
        <v>10929.585434995715</v>
      </c>
      <c r="H46" s="216">
        <f>$E$46*Quantidades!H47</f>
        <v>10929.585434995715</v>
      </c>
      <c r="I46" s="216">
        <f>$E$46*Quantidades!I47</f>
        <v>10929.585434995715</v>
      </c>
      <c r="J46" s="216">
        <f>$E$46*Quantidades!J47</f>
        <v>10929.585434995715</v>
      </c>
      <c r="K46" s="216">
        <f>$E$46*Quantidades!K47</f>
        <v>10929.585434995715</v>
      </c>
      <c r="L46" s="216">
        <f>$E$46*Quantidades!L47</f>
        <v>10929.585434995715</v>
      </c>
      <c r="M46" s="216">
        <f>$E$46*Quantidades!M47</f>
        <v>10929.585434995715</v>
      </c>
      <c r="N46" s="216">
        <f>$E$46*Quantidades!N47</f>
        <v>10929.585434995715</v>
      </c>
      <c r="O46" s="216">
        <f>$E$46*Quantidades!O47</f>
        <v>10929.585434995715</v>
      </c>
      <c r="P46" s="216">
        <f>$E$46*Quantidades!P47</f>
        <v>10929.585434995715</v>
      </c>
      <c r="Q46" s="216">
        <f>$E$46*Quantidades!Q47</f>
        <v>10929.585434995715</v>
      </c>
      <c r="R46" s="216">
        <f>$E$46*Quantidades!R47</f>
        <v>10929.585434995715</v>
      </c>
      <c r="S46" s="216">
        <f>$E$46*Quantidades!S47</f>
        <v>10929.585434995715</v>
      </c>
      <c r="T46" s="216">
        <f>$E$46*Quantidades!T47</f>
        <v>10929.585434995715</v>
      </c>
      <c r="U46" s="216">
        <f>$E$46*Quantidades!U47</f>
        <v>10929.585434995715</v>
      </c>
      <c r="V46" s="216">
        <f>$E$46*Quantidades!V47</f>
        <v>10929.585434995715</v>
      </c>
      <c r="W46" s="216">
        <f>$E$46*Quantidades!W47</f>
        <v>10929.585434995715</v>
      </c>
      <c r="X46" s="216">
        <f>$E$46*Quantidades!X47</f>
        <v>10929.585434995715</v>
      </c>
      <c r="Y46" s="216">
        <f>$E$46*Quantidades!Y47</f>
        <v>10929.585434995715</v>
      </c>
      <c r="Z46" s="216">
        <f>$E$46*Quantidades!Z47</f>
        <v>10929.585434995715</v>
      </c>
      <c r="AA46" s="216">
        <f>$E$46*Quantidades!AA47</f>
        <v>10929.585434995715</v>
      </c>
      <c r="AB46" s="216">
        <f>$E$46*Quantidades!AB47</f>
        <v>10929.585434995715</v>
      </c>
      <c r="AC46" s="216">
        <f>$E$46*Quantidades!AC47</f>
        <v>10929.585434995715</v>
      </c>
      <c r="AD46" s="216">
        <f>$E$46*Quantidades!AD47</f>
        <v>10929.585434995715</v>
      </c>
      <c r="AE46" s="216">
        <f>$E$46*Quantidades!AE47</f>
        <v>10929.585434995715</v>
      </c>
      <c r="AF46" s="216">
        <f>$E$46*Quantidades!AF47</f>
        <v>10929.585434995715</v>
      </c>
      <c r="AG46" s="216">
        <f>$E$46*Quantidades!AG47</f>
        <v>10929.585434995715</v>
      </c>
      <c r="AH46" s="216">
        <f>$E$46*Quantidades!AH47</f>
        <v>10929.585434995715</v>
      </c>
      <c r="AI46" s="216">
        <f>$E$46*Quantidades!AI47</f>
        <v>10929.585434995715</v>
      </c>
      <c r="AJ46" s="215">
        <f t="shared" si="1"/>
        <v>316957.97761487559</v>
      </c>
    </row>
    <row r="47" spans="2:38" ht="14.4">
      <c r="B47" s="285" t="s">
        <v>146</v>
      </c>
      <c r="C47" s="287" t="s">
        <v>147</v>
      </c>
      <c r="D47" s="285" t="s">
        <v>135</v>
      </c>
      <c r="E47" s="213">
        <f>VLOOKUP(B47,'Preços Unitários'!B:E,4,FALSE)</f>
        <v>483.86710560317852</v>
      </c>
      <c r="F47" s="214">
        <f>$E$47*Quantidades!F48</f>
        <v>0</v>
      </c>
      <c r="G47" s="216">
        <f>$E$47*Quantidades!G48</f>
        <v>643.54325045222743</v>
      </c>
      <c r="H47" s="216">
        <f>$E$47*Quantidades!H48</f>
        <v>643.54325045222743</v>
      </c>
      <c r="I47" s="216">
        <f>$E$47*Quantidades!I48</f>
        <v>643.54325045222743</v>
      </c>
      <c r="J47" s="216">
        <f>$E$47*Quantidades!J48</f>
        <v>643.54325045222743</v>
      </c>
      <c r="K47" s="216">
        <f>$E$47*Quantidades!K48</f>
        <v>643.54325045222743</v>
      </c>
      <c r="L47" s="216">
        <f>$E$47*Quantidades!L48</f>
        <v>643.54325045222743</v>
      </c>
      <c r="M47" s="216">
        <f>$E$47*Quantidades!M48</f>
        <v>643.54325045222743</v>
      </c>
      <c r="N47" s="216">
        <f>$E$47*Quantidades!N48</f>
        <v>643.54325045222743</v>
      </c>
      <c r="O47" s="216">
        <f>$E$47*Quantidades!O48</f>
        <v>643.54325045222743</v>
      </c>
      <c r="P47" s="216">
        <f>$E$47*Quantidades!P48</f>
        <v>643.54325045222743</v>
      </c>
      <c r="Q47" s="216">
        <f>$E$47*Quantidades!Q48</f>
        <v>643.54325045222743</v>
      </c>
      <c r="R47" s="216">
        <f>$E$47*Quantidades!R48</f>
        <v>643.54325045222743</v>
      </c>
      <c r="S47" s="216">
        <f>$E$47*Quantidades!S48</f>
        <v>643.54325045222743</v>
      </c>
      <c r="T47" s="216">
        <f>$E$47*Quantidades!T48</f>
        <v>643.54325045222743</v>
      </c>
      <c r="U47" s="216">
        <f>$E$47*Quantidades!U48</f>
        <v>643.54325045222743</v>
      </c>
      <c r="V47" s="216">
        <f>$E$47*Quantidades!V48</f>
        <v>643.54325045222743</v>
      </c>
      <c r="W47" s="216">
        <f>$E$47*Quantidades!W48</f>
        <v>643.54325045222743</v>
      </c>
      <c r="X47" s="216">
        <f>$E$47*Quantidades!X48</f>
        <v>643.54325045222743</v>
      </c>
      <c r="Y47" s="216">
        <f>$E$47*Quantidades!Y48</f>
        <v>643.54325045222743</v>
      </c>
      <c r="Z47" s="216">
        <f>$E$47*Quantidades!Z48</f>
        <v>643.54325045222743</v>
      </c>
      <c r="AA47" s="216">
        <f>$E$47*Quantidades!AA48</f>
        <v>643.54325045222743</v>
      </c>
      <c r="AB47" s="216">
        <f>$E$47*Quantidades!AB48</f>
        <v>643.54325045222743</v>
      </c>
      <c r="AC47" s="216">
        <f>$E$47*Quantidades!AC48</f>
        <v>643.54325045222743</v>
      </c>
      <c r="AD47" s="216">
        <f>$E$47*Quantidades!AD48</f>
        <v>643.54325045222743</v>
      </c>
      <c r="AE47" s="216">
        <f>$E$47*Quantidades!AE48</f>
        <v>643.54325045222743</v>
      </c>
      <c r="AF47" s="216">
        <f>$E$47*Quantidades!AF48</f>
        <v>643.54325045222743</v>
      </c>
      <c r="AG47" s="216">
        <f>$E$47*Quantidades!AG48</f>
        <v>643.54325045222743</v>
      </c>
      <c r="AH47" s="216">
        <f>$E$47*Quantidades!AH48</f>
        <v>643.54325045222743</v>
      </c>
      <c r="AI47" s="216">
        <f>$E$47*Quantidades!AI48</f>
        <v>643.54325045222743</v>
      </c>
      <c r="AJ47" s="215">
        <f t="shared" si="1"/>
        <v>18662.754263114595</v>
      </c>
    </row>
    <row r="48" spans="2:38" ht="14.4">
      <c r="B48" s="285">
        <v>3806406</v>
      </c>
      <c r="C48" s="287" t="s">
        <v>148</v>
      </c>
      <c r="D48" s="285" t="s">
        <v>135</v>
      </c>
      <c r="E48" s="213">
        <f>VLOOKUP(B48,'Preços Unitários'!B:E,4,FALSE)</f>
        <v>6.2164831380256009</v>
      </c>
      <c r="F48" s="214">
        <f>$E$48*Quantidades!F49</f>
        <v>0</v>
      </c>
      <c r="G48" s="216">
        <f>$E$48*Quantidades!G49</f>
        <v>826.79225735740488</v>
      </c>
      <c r="H48" s="216">
        <f>$E$48*Quantidades!H49</f>
        <v>826.79225735740488</v>
      </c>
      <c r="I48" s="216">
        <f>$E$48*Quantidades!I49</f>
        <v>826.79225735740488</v>
      </c>
      <c r="J48" s="216">
        <f>$E$48*Quantidades!J49</f>
        <v>826.79225735740488</v>
      </c>
      <c r="K48" s="216">
        <f>$E$48*Quantidades!K49</f>
        <v>826.79225735740488</v>
      </c>
      <c r="L48" s="216">
        <f>$E$48*Quantidades!L49</f>
        <v>826.79225735740488</v>
      </c>
      <c r="M48" s="216">
        <f>$E$48*Quantidades!M49</f>
        <v>826.79225735740488</v>
      </c>
      <c r="N48" s="216">
        <f>$E$48*Quantidades!N49</f>
        <v>826.79225735740488</v>
      </c>
      <c r="O48" s="216">
        <f>$E$48*Quantidades!O49</f>
        <v>826.79225735740488</v>
      </c>
      <c r="P48" s="216">
        <f>$E$48*Quantidades!P49</f>
        <v>826.79225735740488</v>
      </c>
      <c r="Q48" s="216">
        <f>$E$48*Quantidades!Q49</f>
        <v>826.79225735740488</v>
      </c>
      <c r="R48" s="216">
        <f>$E$48*Quantidades!R49</f>
        <v>826.79225735740488</v>
      </c>
      <c r="S48" s="216">
        <f>$E$48*Quantidades!S49</f>
        <v>826.79225735740488</v>
      </c>
      <c r="T48" s="216">
        <f>$E$48*Quantidades!T49</f>
        <v>826.79225735740488</v>
      </c>
      <c r="U48" s="216">
        <f>$E$48*Quantidades!U49</f>
        <v>826.79225735740488</v>
      </c>
      <c r="V48" s="216">
        <f>$E$48*Quantidades!V49</f>
        <v>826.79225735740488</v>
      </c>
      <c r="W48" s="216">
        <f>$E$48*Quantidades!W49</f>
        <v>826.79225735740488</v>
      </c>
      <c r="X48" s="216">
        <f>$E$48*Quantidades!X49</f>
        <v>826.79225735740488</v>
      </c>
      <c r="Y48" s="216">
        <f>$E$48*Quantidades!Y49</f>
        <v>826.79225735740488</v>
      </c>
      <c r="Z48" s="216">
        <f>$E$48*Quantidades!Z49</f>
        <v>826.79225735740488</v>
      </c>
      <c r="AA48" s="216">
        <f>$E$48*Quantidades!AA49</f>
        <v>826.79225735740488</v>
      </c>
      <c r="AB48" s="216">
        <f>$E$48*Quantidades!AB49</f>
        <v>826.79225735740488</v>
      </c>
      <c r="AC48" s="216">
        <f>$E$48*Quantidades!AC49</f>
        <v>826.79225735740488</v>
      </c>
      <c r="AD48" s="216">
        <f>$E$48*Quantidades!AD49</f>
        <v>826.79225735740488</v>
      </c>
      <c r="AE48" s="216">
        <f>$E$48*Quantidades!AE49</f>
        <v>826.79225735740488</v>
      </c>
      <c r="AF48" s="216">
        <f>$E$48*Quantidades!AF49</f>
        <v>826.79225735740488</v>
      </c>
      <c r="AG48" s="216">
        <f>$E$48*Quantidades!AG49</f>
        <v>826.79225735740488</v>
      </c>
      <c r="AH48" s="216">
        <f>$E$48*Quantidades!AH49</f>
        <v>826.79225735740488</v>
      </c>
      <c r="AI48" s="216">
        <f>$E$48*Quantidades!AI49</f>
        <v>826.79225735740488</v>
      </c>
      <c r="AJ48" s="215">
        <f t="shared" si="1"/>
        <v>23976.975463364728</v>
      </c>
    </row>
    <row r="49" spans="2:37" ht="14.4">
      <c r="B49" s="285">
        <v>4915686</v>
      </c>
      <c r="C49" s="287" t="s">
        <v>149</v>
      </c>
      <c r="D49" s="285" t="s">
        <v>150</v>
      </c>
      <c r="E49" s="213">
        <f>VLOOKUP(B49,'Preços Unitários'!B:E,4,FALSE)</f>
        <v>4.4208435829540171</v>
      </c>
      <c r="F49" s="214">
        <f>$E$49*Quantidades!F50</f>
        <v>0</v>
      </c>
      <c r="G49" s="216">
        <f>$E$49*Quantidades!G50</f>
        <v>251.98808422837897</v>
      </c>
      <c r="H49" s="216">
        <f>$E$49*Quantidades!H50</f>
        <v>251.98808422837897</v>
      </c>
      <c r="I49" s="216">
        <f>$E$49*Quantidades!I50</f>
        <v>251.98808422837897</v>
      </c>
      <c r="J49" s="216">
        <f>$E$49*Quantidades!J50</f>
        <v>251.98808422837897</v>
      </c>
      <c r="K49" s="216">
        <f>$E$49*Quantidades!K50</f>
        <v>251.98808422837897</v>
      </c>
      <c r="L49" s="216">
        <f>$E$49*Quantidades!L50</f>
        <v>251.98808422837897</v>
      </c>
      <c r="M49" s="216">
        <f>$E$49*Quantidades!M50</f>
        <v>251.98808422837897</v>
      </c>
      <c r="N49" s="216">
        <f>$E$49*Quantidades!N50</f>
        <v>251.98808422837897</v>
      </c>
      <c r="O49" s="216">
        <f>$E$49*Quantidades!O50</f>
        <v>251.98808422837897</v>
      </c>
      <c r="P49" s="216">
        <f>$E$49*Quantidades!P50</f>
        <v>251.98808422837897</v>
      </c>
      <c r="Q49" s="216">
        <f>$E$49*Quantidades!Q50</f>
        <v>251.98808422837897</v>
      </c>
      <c r="R49" s="216">
        <f>$E$49*Quantidades!R50</f>
        <v>251.98808422837897</v>
      </c>
      <c r="S49" s="216">
        <f>$E$49*Quantidades!S50</f>
        <v>251.98808422837897</v>
      </c>
      <c r="T49" s="216">
        <f>$E$49*Quantidades!T50</f>
        <v>251.98808422837897</v>
      </c>
      <c r="U49" s="216">
        <f>$E$49*Quantidades!U50</f>
        <v>251.98808422837897</v>
      </c>
      <c r="V49" s="216">
        <f>$E$49*Quantidades!V50</f>
        <v>251.98808422837897</v>
      </c>
      <c r="W49" s="216">
        <f>$E$49*Quantidades!W50</f>
        <v>251.98808422837897</v>
      </c>
      <c r="X49" s="216">
        <f>$E$49*Quantidades!X50</f>
        <v>251.98808422837897</v>
      </c>
      <c r="Y49" s="216">
        <f>$E$49*Quantidades!Y50</f>
        <v>251.98808422837897</v>
      </c>
      <c r="Z49" s="216">
        <f>$E$49*Quantidades!Z50</f>
        <v>251.98808422837897</v>
      </c>
      <c r="AA49" s="216">
        <f>$E$49*Quantidades!AA50</f>
        <v>251.98808422837897</v>
      </c>
      <c r="AB49" s="216">
        <f>$E$49*Quantidades!AB50</f>
        <v>251.98808422837897</v>
      </c>
      <c r="AC49" s="216">
        <f>$E$49*Quantidades!AC50</f>
        <v>251.98808422837897</v>
      </c>
      <c r="AD49" s="216">
        <f>$E$49*Quantidades!AD50</f>
        <v>251.98808422837897</v>
      </c>
      <c r="AE49" s="216">
        <f>$E$49*Quantidades!AE50</f>
        <v>251.98808422837897</v>
      </c>
      <c r="AF49" s="216">
        <f>$E$49*Quantidades!AF50</f>
        <v>251.98808422837897</v>
      </c>
      <c r="AG49" s="216">
        <f>$E$49*Quantidades!AG50</f>
        <v>251.98808422837897</v>
      </c>
      <c r="AH49" s="216">
        <f>$E$49*Quantidades!AH50</f>
        <v>251.98808422837897</v>
      </c>
      <c r="AI49" s="216">
        <f>$E$49*Quantidades!AI50</f>
        <v>251.98808422837897</v>
      </c>
      <c r="AJ49" s="215">
        <f t="shared" si="1"/>
        <v>7307.6544426229948</v>
      </c>
    </row>
    <row r="50" spans="2:37" ht="14.4">
      <c r="B50" s="285">
        <v>4915672</v>
      </c>
      <c r="C50" s="287" t="s">
        <v>151</v>
      </c>
      <c r="D50" s="285" t="s">
        <v>135</v>
      </c>
      <c r="E50" s="213">
        <f>VLOOKUP(B50,'Preços Unitários'!B:E,4,FALSE)</f>
        <v>4.4208435829540171</v>
      </c>
      <c r="F50" s="214">
        <f>$E$50*Quantidades!F51</f>
        <v>0</v>
      </c>
      <c r="G50" s="216">
        <f>$E$50*Quantidades!G51</f>
        <v>1259.9404211418948</v>
      </c>
      <c r="H50" s="216">
        <f>$E$50*Quantidades!H51</f>
        <v>1259.9404211418948</v>
      </c>
      <c r="I50" s="216">
        <f>$E$50*Quantidades!I51</f>
        <v>1259.9404211418948</v>
      </c>
      <c r="J50" s="216">
        <f>$E$50*Quantidades!J51</f>
        <v>1259.9404211418948</v>
      </c>
      <c r="K50" s="216">
        <f>$E$50*Quantidades!K51</f>
        <v>1259.9404211418948</v>
      </c>
      <c r="L50" s="216">
        <f>$E$50*Quantidades!L51</f>
        <v>1259.9404211418948</v>
      </c>
      <c r="M50" s="216">
        <f>$E$50*Quantidades!M51</f>
        <v>1259.9404211418948</v>
      </c>
      <c r="N50" s="216">
        <f>$E$50*Quantidades!N51</f>
        <v>1259.9404211418948</v>
      </c>
      <c r="O50" s="216">
        <f>$E$50*Quantidades!O51</f>
        <v>1259.9404211418948</v>
      </c>
      <c r="P50" s="216">
        <f>$E$50*Quantidades!P51</f>
        <v>1259.9404211418948</v>
      </c>
      <c r="Q50" s="216">
        <f>$E$50*Quantidades!Q51</f>
        <v>1259.9404211418948</v>
      </c>
      <c r="R50" s="216">
        <f>$E$50*Quantidades!R51</f>
        <v>1259.9404211418948</v>
      </c>
      <c r="S50" s="216">
        <f>$E$50*Quantidades!S51</f>
        <v>1259.9404211418948</v>
      </c>
      <c r="T50" s="216">
        <f>$E$50*Quantidades!T51</f>
        <v>1259.9404211418948</v>
      </c>
      <c r="U50" s="216">
        <f>$E$50*Quantidades!U51</f>
        <v>1259.9404211418948</v>
      </c>
      <c r="V50" s="216">
        <f>$E$50*Quantidades!V51</f>
        <v>1259.9404211418948</v>
      </c>
      <c r="W50" s="216">
        <f>$E$50*Quantidades!W51</f>
        <v>1259.9404211418948</v>
      </c>
      <c r="X50" s="216">
        <f>$E$50*Quantidades!X51</f>
        <v>1259.9404211418948</v>
      </c>
      <c r="Y50" s="216">
        <f>$E$50*Quantidades!Y51</f>
        <v>1259.9404211418948</v>
      </c>
      <c r="Z50" s="216">
        <f>$E$50*Quantidades!Z51</f>
        <v>1259.9404211418948</v>
      </c>
      <c r="AA50" s="216">
        <f>$E$50*Quantidades!AA51</f>
        <v>1259.9404211418948</v>
      </c>
      <c r="AB50" s="216">
        <f>$E$50*Quantidades!AB51</f>
        <v>1259.9404211418948</v>
      </c>
      <c r="AC50" s="216">
        <f>$E$50*Quantidades!AC51</f>
        <v>1259.9404211418948</v>
      </c>
      <c r="AD50" s="216">
        <f>$E$50*Quantidades!AD51</f>
        <v>1259.9404211418948</v>
      </c>
      <c r="AE50" s="216">
        <f>$E$50*Quantidades!AE51</f>
        <v>1259.9404211418948</v>
      </c>
      <c r="AF50" s="216">
        <f>$E$50*Quantidades!AF51</f>
        <v>1259.9404211418948</v>
      </c>
      <c r="AG50" s="216">
        <f>$E$50*Quantidades!AG51</f>
        <v>1259.9404211418948</v>
      </c>
      <c r="AH50" s="216">
        <f>$E$50*Quantidades!AH51</f>
        <v>1259.9404211418948</v>
      </c>
      <c r="AI50" s="216">
        <f>$E$50*Quantidades!AI51</f>
        <v>1259.9404211418948</v>
      </c>
      <c r="AJ50" s="215">
        <f t="shared" si="1"/>
        <v>36538.272213114949</v>
      </c>
    </row>
    <row r="51" spans="2:37">
      <c r="B51" s="205"/>
      <c r="C51" s="206" t="s">
        <v>152</v>
      </c>
      <c r="D51" s="205"/>
      <c r="E51" s="207"/>
      <c r="F51" s="208">
        <f t="shared" ref="F51:AH51" si="11">+SUBTOTAL(9,F52:F57)</f>
        <v>0</v>
      </c>
      <c r="G51" s="208">
        <f t="shared" si="11"/>
        <v>195134.39633110637</v>
      </c>
      <c r="H51" s="208">
        <f t="shared" si="11"/>
        <v>206277.09134548716</v>
      </c>
      <c r="I51" s="208">
        <f t="shared" si="11"/>
        <v>217419.7863598679</v>
      </c>
      <c r="J51" s="208">
        <f t="shared" si="11"/>
        <v>228562.48137424866</v>
      </c>
      <c r="K51" s="208">
        <f t="shared" si="11"/>
        <v>244863.86658623625</v>
      </c>
      <c r="L51" s="208">
        <f t="shared" si="11"/>
        <v>251379.39943094124</v>
      </c>
      <c r="M51" s="208">
        <f t="shared" si="11"/>
        <v>262734.64959799265</v>
      </c>
      <c r="N51" s="208">
        <f t="shared" si="11"/>
        <v>267105.71784526395</v>
      </c>
      <c r="O51" s="208">
        <f t="shared" si="11"/>
        <v>267530.8281506052</v>
      </c>
      <c r="P51" s="208">
        <f t="shared" si="11"/>
        <v>267743.3833032758</v>
      </c>
      <c r="Q51" s="208">
        <f t="shared" si="11"/>
        <v>270473.1520485846</v>
      </c>
      <c r="R51" s="208">
        <f t="shared" si="11"/>
        <v>270898.26235392585</v>
      </c>
      <c r="S51" s="208">
        <f t="shared" si="11"/>
        <v>274050.15161781304</v>
      </c>
      <c r="T51" s="208">
        <f t="shared" si="11"/>
        <v>274050.15161781304</v>
      </c>
      <c r="U51" s="208">
        <f t="shared" si="11"/>
        <v>274262.70677048364</v>
      </c>
      <c r="V51" s="208">
        <f t="shared" si="11"/>
        <v>274262.70677048364</v>
      </c>
      <c r="W51" s="208">
        <f t="shared" si="11"/>
        <v>274262.70677048364</v>
      </c>
      <c r="X51" s="208">
        <f t="shared" si="11"/>
        <v>274262.70677048364</v>
      </c>
      <c r="Y51" s="208">
        <f t="shared" si="11"/>
        <v>290591.42717573146</v>
      </c>
      <c r="Z51" s="208">
        <f t="shared" si="11"/>
        <v>290591.42717573146</v>
      </c>
      <c r="AA51" s="208">
        <f t="shared" si="11"/>
        <v>290591.42717573146</v>
      </c>
      <c r="AB51" s="208">
        <f t="shared" si="11"/>
        <v>290591.42717573146</v>
      </c>
      <c r="AC51" s="208">
        <f t="shared" si="11"/>
        <v>305711.52628210146</v>
      </c>
      <c r="AD51" s="208">
        <f t="shared" si="11"/>
        <v>305711.52628210146</v>
      </c>
      <c r="AE51" s="208">
        <f t="shared" si="11"/>
        <v>305711.52628210146</v>
      </c>
      <c r="AF51" s="208">
        <f t="shared" si="11"/>
        <v>305711.52628210146</v>
      </c>
      <c r="AG51" s="208">
        <f t="shared" si="11"/>
        <v>305711.52628210146</v>
      </c>
      <c r="AH51" s="208">
        <f t="shared" si="11"/>
        <v>305711.52628210146</v>
      </c>
      <c r="AI51" s="208">
        <f>+SUBTOTAL(9,AI52:AI57)</f>
        <v>305711.52628210146</v>
      </c>
      <c r="AJ51" s="208">
        <f t="shared" si="1"/>
        <v>7897620.5377227338</v>
      </c>
      <c r="AK51" s="2"/>
    </row>
    <row r="52" spans="2:37">
      <c r="B52" s="43"/>
      <c r="C52" s="38" t="s">
        <v>153</v>
      </c>
      <c r="D52" s="55"/>
      <c r="E52" s="53"/>
      <c r="F52" s="217"/>
      <c r="G52" s="211">
        <f>+SUBTOTAL(9,G53:G57)</f>
        <v>195134.39633110637</v>
      </c>
      <c r="H52" s="211">
        <f t="shared" ref="H52:AI52" si="12">+SUBTOTAL(9,H53:H57)</f>
        <v>206277.09134548716</v>
      </c>
      <c r="I52" s="211">
        <f t="shared" si="12"/>
        <v>217419.7863598679</v>
      </c>
      <c r="J52" s="211">
        <f t="shared" si="12"/>
        <v>228562.48137424866</v>
      </c>
      <c r="K52" s="211">
        <f t="shared" si="12"/>
        <v>244863.86658623625</v>
      </c>
      <c r="L52" s="211">
        <f t="shared" si="12"/>
        <v>251379.39943094124</v>
      </c>
      <c r="M52" s="211">
        <f t="shared" si="12"/>
        <v>262734.64959799265</v>
      </c>
      <c r="N52" s="211">
        <f t="shared" si="12"/>
        <v>267105.71784526395</v>
      </c>
      <c r="O52" s="211">
        <f t="shared" si="12"/>
        <v>267530.8281506052</v>
      </c>
      <c r="P52" s="211">
        <f t="shared" si="12"/>
        <v>267743.3833032758</v>
      </c>
      <c r="Q52" s="211">
        <f t="shared" si="12"/>
        <v>270473.1520485846</v>
      </c>
      <c r="R52" s="211">
        <f t="shared" si="12"/>
        <v>270898.26235392585</v>
      </c>
      <c r="S52" s="211">
        <f t="shared" si="12"/>
        <v>274050.15161781304</v>
      </c>
      <c r="T52" s="211">
        <f t="shared" si="12"/>
        <v>274050.15161781304</v>
      </c>
      <c r="U52" s="211">
        <f t="shared" si="12"/>
        <v>274262.70677048364</v>
      </c>
      <c r="V52" s="211">
        <f t="shared" si="12"/>
        <v>274262.70677048364</v>
      </c>
      <c r="W52" s="211">
        <f t="shared" si="12"/>
        <v>274262.70677048364</v>
      </c>
      <c r="X52" s="211">
        <f t="shared" si="12"/>
        <v>274262.70677048364</v>
      </c>
      <c r="Y52" s="211">
        <f t="shared" si="12"/>
        <v>290591.42717573146</v>
      </c>
      <c r="Z52" s="211">
        <f t="shared" si="12"/>
        <v>290591.42717573146</v>
      </c>
      <c r="AA52" s="211">
        <f t="shared" si="12"/>
        <v>290591.42717573146</v>
      </c>
      <c r="AB52" s="211">
        <f t="shared" si="12"/>
        <v>290591.42717573146</v>
      </c>
      <c r="AC52" s="211">
        <f t="shared" si="12"/>
        <v>305711.52628210146</v>
      </c>
      <c r="AD52" s="211">
        <f t="shared" si="12"/>
        <v>305711.52628210146</v>
      </c>
      <c r="AE52" s="211">
        <f t="shared" si="12"/>
        <v>305711.52628210146</v>
      </c>
      <c r="AF52" s="211">
        <f t="shared" si="12"/>
        <v>305711.52628210146</v>
      </c>
      <c r="AG52" s="211">
        <f t="shared" si="12"/>
        <v>305711.52628210146</v>
      </c>
      <c r="AH52" s="211">
        <f t="shared" si="12"/>
        <v>305711.52628210146</v>
      </c>
      <c r="AI52" s="211">
        <f t="shared" si="12"/>
        <v>305711.52628210146</v>
      </c>
      <c r="AJ52" s="212">
        <f t="shared" si="1"/>
        <v>7897620.5377227338</v>
      </c>
    </row>
    <row r="53" spans="2:37" ht="14.4">
      <c r="B53" s="285">
        <v>4915708</v>
      </c>
      <c r="C53" s="287" t="s">
        <v>154</v>
      </c>
      <c r="D53" s="285" t="s">
        <v>135</v>
      </c>
      <c r="E53" s="213">
        <f>VLOOKUP(B53,'Preços Unitários'!B:E,4,FALSE)</f>
        <v>0.73505712780708121</v>
      </c>
      <c r="F53" s="214">
        <f>$E$53*Quantidades!F54</f>
        <v>0</v>
      </c>
      <c r="G53" s="216">
        <f>$E$53*Quantidades!G54</f>
        <v>43499.245712087817</v>
      </c>
      <c r="H53" s="216">
        <f>$E$53*Quantidades!H54</f>
        <v>46421.377816883942</v>
      </c>
      <c r="I53" s="216">
        <f>$E$53*Quantidades!I54</f>
        <v>49343.509921680059</v>
      </c>
      <c r="J53" s="216">
        <f>$E$53*Quantidades!J54</f>
        <v>52265.642026476191</v>
      </c>
      <c r="K53" s="216">
        <f>$E$53*Quantidades!K54</f>
        <v>56540.622273096975</v>
      </c>
      <c r="L53" s="216">
        <f>$E$53*Quantidades!L54</f>
        <v>58249.297569404916</v>
      </c>
      <c r="M53" s="216">
        <f>$E$53*Quantidades!M54</f>
        <v>61227.17150639309</v>
      </c>
      <c r="N53" s="216">
        <f>$E$53*Quantidades!N54</f>
        <v>62373.468595303966</v>
      </c>
      <c r="O53" s="216">
        <f>$E$53*Quantidades!O54</f>
        <v>62484.952259688034</v>
      </c>
      <c r="P53" s="216">
        <f>$E$53*Quantidades!P54</f>
        <v>62540.694091880076</v>
      </c>
      <c r="Q53" s="216">
        <f>$E$53*Quantidades!Q54</f>
        <v>63256.566228651391</v>
      </c>
      <c r="R53" s="216">
        <f>$E$53*Quantidades!R54</f>
        <v>63368.049893035466</v>
      </c>
      <c r="S53" s="216">
        <f>$E$53*Quantidades!S54</f>
        <v>64194.62163325453</v>
      </c>
      <c r="T53" s="216">
        <f>$E$53*Quantidades!T54</f>
        <v>64194.62163325453</v>
      </c>
      <c r="U53" s="216">
        <f>$E$53*Quantidades!U54</f>
        <v>64250.363465446564</v>
      </c>
      <c r="V53" s="216">
        <f>$E$53*Quantidades!V54</f>
        <v>64250.363465446564</v>
      </c>
      <c r="W53" s="216">
        <f>$E$53*Quantidades!W54</f>
        <v>64250.363465446564</v>
      </c>
      <c r="X53" s="216">
        <f>$E$53*Quantidades!X54</f>
        <v>64250.363465446564</v>
      </c>
      <c r="Y53" s="216">
        <f>$E$53*Quantidades!Y54</f>
        <v>68532.512269199506</v>
      </c>
      <c r="Z53" s="216">
        <f>$E$53*Quantidades!Z54</f>
        <v>68532.512269199506</v>
      </c>
      <c r="AA53" s="216">
        <f>$E$53*Quantidades!AA54</f>
        <v>68532.512269199506</v>
      </c>
      <c r="AB53" s="216">
        <f>$E$53*Quantidades!AB54</f>
        <v>68532.512269199506</v>
      </c>
      <c r="AC53" s="216">
        <f>$E$53*Quantidades!AC54</f>
        <v>72497.704439442008</v>
      </c>
      <c r="AD53" s="216">
        <f>$E$53*Quantidades!AD54</f>
        <v>72497.704439442008</v>
      </c>
      <c r="AE53" s="216">
        <f>$E$53*Quantidades!AE54</f>
        <v>72497.704439442008</v>
      </c>
      <c r="AF53" s="216">
        <f>$E$53*Quantidades!AF54</f>
        <v>72497.704439442008</v>
      </c>
      <c r="AG53" s="216">
        <f>$E$53*Quantidades!AG54</f>
        <v>72497.704439442008</v>
      </c>
      <c r="AH53" s="216">
        <f>$E$53*Quantidades!AH54</f>
        <v>72497.704439442008</v>
      </c>
      <c r="AI53" s="216">
        <f>$E$53*Quantidades!AI54</f>
        <v>72497.704439442008</v>
      </c>
      <c r="AJ53" s="215">
        <f t="shared" si="1"/>
        <v>1848575.2751757689</v>
      </c>
    </row>
    <row r="54" spans="2:37" ht="14.4">
      <c r="B54" s="285" t="s">
        <v>144</v>
      </c>
      <c r="C54" s="287" t="s">
        <v>145</v>
      </c>
      <c r="D54" s="285" t="s">
        <v>101</v>
      </c>
      <c r="E54" s="213">
        <f>VLOOKUP(B54,'Preços Unitários'!B:E,4,FALSE)</f>
        <v>3.2762546267972765</v>
      </c>
      <c r="F54" s="214">
        <f>$E$54*Quantidades!F55</f>
        <v>0</v>
      </c>
      <c r="G54" s="216">
        <f>$E$54*Quantidades!G55</f>
        <v>60588.235098979465</v>
      </c>
      <c r="H54" s="216">
        <f>$E$54*Quantidades!H55</f>
        <v>64658.347673516917</v>
      </c>
      <c r="I54" s="216">
        <f>$E$54*Quantidades!I55</f>
        <v>68728.460248054369</v>
      </c>
      <c r="J54" s="216">
        <f>$E$54*Quantidades!J55</f>
        <v>72798.572822591828</v>
      </c>
      <c r="K54" s="216">
        <f>$E$54*Quantidades!K55</f>
        <v>78753.009594670788</v>
      </c>
      <c r="L54" s="216">
        <f>$E$54*Quantidades!L55</f>
        <v>81132.950185956855</v>
      </c>
      <c r="M54" s="216">
        <f>$E$54*Quantidades!M55</f>
        <v>85280.703169618952</v>
      </c>
      <c r="N54" s="216">
        <f>$E$54*Quantidades!N55</f>
        <v>86877.331257744809</v>
      </c>
      <c r="O54" s="216">
        <f>$E$54*Quantidades!O55</f>
        <v>87032.612075994053</v>
      </c>
      <c r="P54" s="216">
        <f>$E$54*Quantidades!P55</f>
        <v>87110.25248511869</v>
      </c>
      <c r="Q54" s="216">
        <f>$E$54*Quantidades!Q55</f>
        <v>88107.360104193009</v>
      </c>
      <c r="R54" s="216">
        <f>$E$54*Quantidades!R55</f>
        <v>88262.640922442253</v>
      </c>
      <c r="S54" s="216">
        <f>$E$54*Quantidades!S55</f>
        <v>89413.937274890239</v>
      </c>
      <c r="T54" s="216">
        <f>$E$54*Quantidades!T55</f>
        <v>89413.937274890239</v>
      </c>
      <c r="U54" s="216">
        <f>$E$54*Quantidades!U55</f>
        <v>89491.577684014861</v>
      </c>
      <c r="V54" s="216">
        <f>$E$54*Quantidades!V55</f>
        <v>89491.577684014861</v>
      </c>
      <c r="W54" s="216">
        <f>$E$54*Quantidades!W55</f>
        <v>89491.577684014861</v>
      </c>
      <c r="X54" s="216">
        <f>$E$54*Quantidades!X55</f>
        <v>89491.577684014861</v>
      </c>
      <c r="Y54" s="216">
        <f>$E$54*Quantidades!Y55</f>
        <v>95455.99923209929</v>
      </c>
      <c r="Z54" s="216">
        <f>$E$54*Quantidades!Z55</f>
        <v>95455.99923209929</v>
      </c>
      <c r="AA54" s="216">
        <f>$E$54*Quantidades!AA55</f>
        <v>95455.99923209929</v>
      </c>
      <c r="AB54" s="216">
        <f>$E$54*Quantidades!AB55</f>
        <v>95455.99923209929</v>
      </c>
      <c r="AC54" s="216">
        <f>$E$54*Quantidades!AC55</f>
        <v>100978.9454692228</v>
      </c>
      <c r="AD54" s="216">
        <f>$E$54*Quantidades!AD55</f>
        <v>100978.9454692228</v>
      </c>
      <c r="AE54" s="216">
        <f>$E$54*Quantidades!AE55</f>
        <v>100978.9454692228</v>
      </c>
      <c r="AF54" s="216">
        <f>$E$54*Quantidades!AF55</f>
        <v>100978.9454692228</v>
      </c>
      <c r="AG54" s="216">
        <f>$E$54*Quantidades!AG55</f>
        <v>100978.9454692228</v>
      </c>
      <c r="AH54" s="216">
        <f>$E$54*Quantidades!AH55</f>
        <v>100978.9454692228</v>
      </c>
      <c r="AI54" s="216">
        <f>$E$54*Quantidades!AI55</f>
        <v>100978.9454692228</v>
      </c>
      <c r="AJ54" s="215">
        <f t="shared" si="1"/>
        <v>2574801.2761376793</v>
      </c>
    </row>
    <row r="55" spans="2:37" ht="14.4">
      <c r="B55" s="285">
        <v>4915710</v>
      </c>
      <c r="C55" s="287" t="s">
        <v>155</v>
      </c>
      <c r="D55" s="285" t="s">
        <v>135</v>
      </c>
      <c r="E55" s="213">
        <f>VLOOKUP(B55,'Preços Unitários'!B:E,4,FALSE)</f>
        <v>4.4208435829540171</v>
      </c>
      <c r="F55" s="214">
        <f>$E$55*Quantidades!F56</f>
        <v>0</v>
      </c>
      <c r="G55" s="216">
        <f>$E$55*Quantidades!G56</f>
        <v>39242.533810262081</v>
      </c>
      <c r="H55" s="216">
        <f>$E$55*Quantidades!H56</f>
        <v>41878.71441623172</v>
      </c>
      <c r="I55" s="216">
        <f>$E$55*Quantidades!I56</f>
        <v>44514.895022201366</v>
      </c>
      <c r="J55" s="216">
        <f>$E$55*Quantidades!J56</f>
        <v>47151.075628171013</v>
      </c>
      <c r="K55" s="216">
        <f>$E$55*Quantidades!K56</f>
        <v>51007.718522086769</v>
      </c>
      <c r="L55" s="216">
        <f>$E$55*Quantidades!L56</f>
        <v>52549.187735827443</v>
      </c>
      <c r="M55" s="216">
        <f>$E$55*Quantidades!M56</f>
        <v>55235.655437553192</v>
      </c>
      <c r="N55" s="216">
        <f>$E$55*Quantidades!N56</f>
        <v>56269.779168477791</v>
      </c>
      <c r="O55" s="216">
        <f>$E$55*Quantidades!O56</f>
        <v>56370.353359989989</v>
      </c>
      <c r="P55" s="216">
        <f>$E$55*Quantidades!P56</f>
        <v>56420.640455746099</v>
      </c>
      <c r="Q55" s="216">
        <f>$E$55*Quantidades!Q56</f>
        <v>57066.459390561933</v>
      </c>
      <c r="R55" s="216">
        <f>$E$55*Quantidades!R56</f>
        <v>57167.033582074131</v>
      </c>
      <c r="S55" s="216">
        <f>$E$55*Quantidades!S56</f>
        <v>57912.71937342891</v>
      </c>
      <c r="T55" s="216">
        <f>$E$55*Quantidades!T56</f>
        <v>57912.71937342891</v>
      </c>
      <c r="U55" s="216">
        <f>$E$55*Quantidades!U56</f>
        <v>57963.006469185013</v>
      </c>
      <c r="V55" s="216">
        <f>$E$55*Quantidades!V56</f>
        <v>57963.006469185013</v>
      </c>
      <c r="W55" s="216">
        <f>$E$55*Quantidades!W56</f>
        <v>57963.006469185013</v>
      </c>
      <c r="X55" s="216">
        <f>$E$55*Quantidades!X56</f>
        <v>57963.006469185013</v>
      </c>
      <c r="Y55" s="216">
        <f>$E$55*Quantidades!Y56</f>
        <v>61826.116425713539</v>
      </c>
      <c r="Z55" s="216">
        <f>$E$55*Quantidades!Z56</f>
        <v>61826.116425713539</v>
      </c>
      <c r="AA55" s="216">
        <f>$E$55*Quantidades!AA56</f>
        <v>61826.116425713539</v>
      </c>
      <c r="AB55" s="216">
        <f>$E$55*Quantidades!AB56</f>
        <v>61826.116425713539</v>
      </c>
      <c r="AC55" s="216">
        <f>$E$55*Quantidades!AC56</f>
        <v>65403.286219296613</v>
      </c>
      <c r="AD55" s="216">
        <f>$E$55*Quantidades!AD56</f>
        <v>65403.286219296613</v>
      </c>
      <c r="AE55" s="216">
        <f>$E$55*Quantidades!AE56</f>
        <v>65403.286219296613</v>
      </c>
      <c r="AF55" s="216">
        <f>$E$55*Quantidades!AF56</f>
        <v>65403.286219296613</v>
      </c>
      <c r="AG55" s="216">
        <f>$E$55*Quantidades!AG56</f>
        <v>65403.286219296613</v>
      </c>
      <c r="AH55" s="216">
        <f>$E$55*Quantidades!AH56</f>
        <v>65403.286219296613</v>
      </c>
      <c r="AI55" s="216">
        <f>$E$55*Quantidades!AI56</f>
        <v>65403.286219296613</v>
      </c>
      <c r="AJ55" s="215">
        <f t="shared" si="1"/>
        <v>1667678.9803907112</v>
      </c>
    </row>
    <row r="56" spans="2:37" ht="14.4">
      <c r="B56" s="285">
        <v>4915712</v>
      </c>
      <c r="C56" s="287" t="s">
        <v>156</v>
      </c>
      <c r="D56" s="285" t="s">
        <v>97</v>
      </c>
      <c r="E56" s="213">
        <f>VLOOKUP(B56,'Preços Unitários'!B:E,4,FALSE)</f>
        <v>22.093717098658555</v>
      </c>
      <c r="F56" s="214">
        <f>$E$56*Quantidades!F57</f>
        <v>0</v>
      </c>
      <c r="G56" s="216">
        <f>$E$56*Quantidades!G57</f>
        <v>29262.761872875173</v>
      </c>
      <c r="H56" s="216">
        <f>$E$56*Quantidades!H57</f>
        <v>29262.761872875173</v>
      </c>
      <c r="I56" s="216">
        <f>$E$56*Quantidades!I57</f>
        <v>29262.761872875173</v>
      </c>
      <c r="J56" s="216">
        <f>$E$56*Quantidades!J57</f>
        <v>29262.761872875173</v>
      </c>
      <c r="K56" s="216">
        <f>$E$56*Quantidades!K57</f>
        <v>29262.761872875173</v>
      </c>
      <c r="L56" s="216">
        <f>$E$56*Quantidades!L57</f>
        <v>29262.761872875173</v>
      </c>
      <c r="M56" s="216">
        <f>$E$56*Quantidades!M57</f>
        <v>29262.761872875173</v>
      </c>
      <c r="N56" s="216">
        <f>$E$56*Quantidades!N57</f>
        <v>29262.761872875173</v>
      </c>
      <c r="O56" s="216">
        <f>$E$56*Quantidades!O57</f>
        <v>29262.761872875173</v>
      </c>
      <c r="P56" s="216">
        <f>$E$56*Quantidades!P57</f>
        <v>29262.761872875173</v>
      </c>
      <c r="Q56" s="216">
        <f>$E$56*Quantidades!Q57</f>
        <v>29262.761872875173</v>
      </c>
      <c r="R56" s="216">
        <f>$E$56*Quantidades!R57</f>
        <v>29262.761872875173</v>
      </c>
      <c r="S56" s="216">
        <f>$E$56*Quantidades!S57</f>
        <v>29262.761872875173</v>
      </c>
      <c r="T56" s="216">
        <f>$E$56*Quantidades!T57</f>
        <v>29262.761872875173</v>
      </c>
      <c r="U56" s="216">
        <f>$E$56*Quantidades!U57</f>
        <v>29262.761872875173</v>
      </c>
      <c r="V56" s="216">
        <f>$E$56*Quantidades!V57</f>
        <v>29262.761872875173</v>
      </c>
      <c r="W56" s="216">
        <f>$E$56*Quantidades!W57</f>
        <v>29262.761872875173</v>
      </c>
      <c r="X56" s="216">
        <f>$E$56*Quantidades!X57</f>
        <v>29262.761872875173</v>
      </c>
      <c r="Y56" s="216">
        <f>$E$56*Quantidades!Y57</f>
        <v>29262.761872875173</v>
      </c>
      <c r="Z56" s="216">
        <f>$E$56*Quantidades!Z57</f>
        <v>29262.761872875173</v>
      </c>
      <c r="AA56" s="216">
        <f>$E$56*Quantidades!AA57</f>
        <v>29262.761872875173</v>
      </c>
      <c r="AB56" s="216">
        <f>$E$56*Quantidades!AB57</f>
        <v>29262.761872875173</v>
      </c>
      <c r="AC56" s="216">
        <f>$E$56*Quantidades!AC57</f>
        <v>29262.761872875173</v>
      </c>
      <c r="AD56" s="216">
        <f>$E$56*Quantidades!AD57</f>
        <v>29262.761872875173</v>
      </c>
      <c r="AE56" s="216">
        <f>$E$56*Quantidades!AE57</f>
        <v>29262.761872875173</v>
      </c>
      <c r="AF56" s="216">
        <f>$E$56*Quantidades!AF57</f>
        <v>29262.761872875173</v>
      </c>
      <c r="AG56" s="216">
        <f>$E$56*Quantidades!AG57</f>
        <v>29262.761872875173</v>
      </c>
      <c r="AH56" s="216">
        <f>$E$56*Quantidades!AH57</f>
        <v>29262.761872875173</v>
      </c>
      <c r="AI56" s="216">
        <f>$E$56*Quantidades!AI57</f>
        <v>29262.761872875173</v>
      </c>
      <c r="AJ56" s="215">
        <f t="shared" si="1"/>
        <v>848620.09431337973</v>
      </c>
    </row>
    <row r="57" spans="2:37" ht="14.4">
      <c r="B57" s="285" t="s">
        <v>136</v>
      </c>
      <c r="C57" s="287" t="s">
        <v>157</v>
      </c>
      <c r="D57" s="285" t="s">
        <v>97</v>
      </c>
      <c r="E57" s="213">
        <f>VLOOKUP(B57,'Preços Unitários'!B:E,4,FALSE)</f>
        <v>761.82370807537052</v>
      </c>
      <c r="F57" s="214">
        <f>$E$57*Quantidades!F58</f>
        <v>0</v>
      </c>
      <c r="G57" s="216">
        <f>$E$57*Quantidades!G58</f>
        <v>22541.619836901853</v>
      </c>
      <c r="H57" s="216">
        <f>$E$57*Quantidades!H58</f>
        <v>24055.889565979378</v>
      </c>
      <c r="I57" s="216">
        <f>$E$57*Quantidades!I58</f>
        <v>25570.159295056903</v>
      </c>
      <c r="J57" s="216">
        <f>$E$57*Quantidades!J58</f>
        <v>27084.429024134435</v>
      </c>
      <c r="K57" s="216">
        <f>$E$57*Quantidades!K58</f>
        <v>29299.75432350652</v>
      </c>
      <c r="L57" s="216">
        <f>$E$57*Quantidades!L58</f>
        <v>30185.202066876842</v>
      </c>
      <c r="M57" s="216">
        <f>$E$57*Quantidades!M58</f>
        <v>31728.35761155223</v>
      </c>
      <c r="N57" s="216">
        <f>$E$57*Quantidades!N58</f>
        <v>32322.376950862199</v>
      </c>
      <c r="O57" s="216">
        <f>$E$57*Quantidades!O58</f>
        <v>32380.148582057911</v>
      </c>
      <c r="P57" s="216">
        <f>$E$57*Quantidades!P58</f>
        <v>32409.034397655767</v>
      </c>
      <c r="Q57" s="216">
        <f>$E$57*Quantidades!Q58</f>
        <v>32780.004452303067</v>
      </c>
      <c r="R57" s="216">
        <f>$E$57*Quantidades!R58</f>
        <v>32837.776083498786</v>
      </c>
      <c r="S57" s="216">
        <f>$E$57*Quantidades!S58</f>
        <v>33266.111463364163</v>
      </c>
      <c r="T57" s="216">
        <f>$E$57*Quantidades!T58</f>
        <v>33266.111463364163</v>
      </c>
      <c r="U57" s="216">
        <f>$E$57*Quantidades!U58</f>
        <v>33294.997278962022</v>
      </c>
      <c r="V57" s="216">
        <f>$E$57*Quantidades!V58</f>
        <v>33294.997278962022</v>
      </c>
      <c r="W57" s="216">
        <f>$E$57*Quantidades!W58</f>
        <v>33294.997278962022</v>
      </c>
      <c r="X57" s="216">
        <f>$E$57*Quantidades!X58</f>
        <v>33294.997278962022</v>
      </c>
      <c r="Y57" s="216">
        <f>$E$57*Quantidades!Y58</f>
        <v>35514.03737584396</v>
      </c>
      <c r="Z57" s="216">
        <f>$E$57*Quantidades!Z58</f>
        <v>35514.03737584396</v>
      </c>
      <c r="AA57" s="216">
        <f>$E$57*Quantidades!AA58</f>
        <v>35514.03737584396</v>
      </c>
      <c r="AB57" s="216">
        <f>$E$57*Quantidades!AB58</f>
        <v>35514.03737584396</v>
      </c>
      <c r="AC57" s="216">
        <f>$E$57*Quantidades!AC58</f>
        <v>37568.828281264847</v>
      </c>
      <c r="AD57" s="216">
        <f>$E$57*Quantidades!AD58</f>
        <v>37568.828281264847</v>
      </c>
      <c r="AE57" s="216">
        <f>$E$57*Quantidades!AE58</f>
        <v>37568.828281264847</v>
      </c>
      <c r="AF57" s="216">
        <f>$E$57*Quantidades!AF58</f>
        <v>37568.828281264847</v>
      </c>
      <c r="AG57" s="216">
        <f>$E$57*Quantidades!AG58</f>
        <v>37568.828281264847</v>
      </c>
      <c r="AH57" s="216">
        <f>$E$57*Quantidades!AH58</f>
        <v>37568.828281264847</v>
      </c>
      <c r="AI57" s="216">
        <f>$E$57*Quantidades!AI58</f>
        <v>37568.828281264847</v>
      </c>
      <c r="AJ57" s="215">
        <f t="shared" si="1"/>
        <v>957944.91170519229</v>
      </c>
    </row>
    <row r="58" spans="2:37">
      <c r="B58" s="205"/>
      <c r="C58" s="206" t="s">
        <v>158</v>
      </c>
      <c r="D58" s="205"/>
      <c r="E58" s="207"/>
      <c r="F58" s="208">
        <f t="shared" ref="F58:AH58" si="13">+SUBTOTAL(9,F59:F62)</f>
        <v>0</v>
      </c>
      <c r="G58" s="208">
        <f t="shared" si="13"/>
        <v>137233.90604367817</v>
      </c>
      <c r="H58" s="208">
        <f t="shared" si="13"/>
        <v>146452.81538686642</v>
      </c>
      <c r="I58" s="208">
        <f t="shared" si="13"/>
        <v>155671.72473005462</v>
      </c>
      <c r="J58" s="208">
        <f t="shared" si="13"/>
        <v>164890.63407324287</v>
      </c>
      <c r="K58" s="208">
        <f t="shared" si="13"/>
        <v>178377.58603986763</v>
      </c>
      <c r="L58" s="208">
        <f t="shared" si="13"/>
        <v>183768.2125032483</v>
      </c>
      <c r="M58" s="208">
        <f t="shared" si="13"/>
        <v>193162.97936388355</v>
      </c>
      <c r="N58" s="208">
        <f t="shared" si="13"/>
        <v>196779.38292267037</v>
      </c>
      <c r="O58" s="208">
        <f t="shared" si="13"/>
        <v>197131.09795756434</v>
      </c>
      <c r="P58" s="208">
        <f t="shared" si="13"/>
        <v>197306.95547501135</v>
      </c>
      <c r="Q58" s="208">
        <f t="shared" si="13"/>
        <v>199565.42979907672</v>
      </c>
      <c r="R58" s="208">
        <f t="shared" si="13"/>
        <v>199917.14483397073</v>
      </c>
      <c r="S58" s="208">
        <f t="shared" si="13"/>
        <v>202524.86059268471</v>
      </c>
      <c r="T58" s="208">
        <f t="shared" si="13"/>
        <v>202524.86059268471</v>
      </c>
      <c r="U58" s="208">
        <f t="shared" si="13"/>
        <v>202700.71811013168</v>
      </c>
      <c r="V58" s="208">
        <f t="shared" si="13"/>
        <v>202700.71811013168</v>
      </c>
      <c r="W58" s="208">
        <f t="shared" si="13"/>
        <v>202700.71811013168</v>
      </c>
      <c r="X58" s="208">
        <f t="shared" si="13"/>
        <v>202700.71811013168</v>
      </c>
      <c r="Y58" s="208">
        <f t="shared" si="13"/>
        <v>216210.2858504288</v>
      </c>
      <c r="Z58" s="208">
        <f t="shared" si="13"/>
        <v>216210.2858504288</v>
      </c>
      <c r="AA58" s="208">
        <f t="shared" si="13"/>
        <v>216210.2858504288</v>
      </c>
      <c r="AB58" s="208">
        <f t="shared" si="13"/>
        <v>216210.2858504288</v>
      </c>
      <c r="AC58" s="208">
        <f t="shared" si="13"/>
        <v>228719.90069151961</v>
      </c>
      <c r="AD58" s="208">
        <f t="shared" si="13"/>
        <v>228719.90069151961</v>
      </c>
      <c r="AE58" s="208">
        <f t="shared" si="13"/>
        <v>228719.90069151961</v>
      </c>
      <c r="AF58" s="208">
        <f t="shared" si="13"/>
        <v>228719.90069151961</v>
      </c>
      <c r="AG58" s="208">
        <f t="shared" si="13"/>
        <v>228719.90069151961</v>
      </c>
      <c r="AH58" s="208">
        <f t="shared" si="13"/>
        <v>228719.90069151961</v>
      </c>
      <c r="AI58" s="208">
        <f>+SUBTOTAL(9,AI59:AI62)</f>
        <v>228719.90069151961</v>
      </c>
      <c r="AJ58" s="208">
        <f t="shared" si="1"/>
        <v>5831990.9109973824</v>
      </c>
      <c r="AK58" s="2"/>
    </row>
    <row r="59" spans="2:37">
      <c r="B59" s="43"/>
      <c r="C59" s="38" t="s">
        <v>159</v>
      </c>
      <c r="D59" s="55"/>
      <c r="E59" s="53"/>
      <c r="F59" s="217">
        <f>+SUBTOTAL(9,F60:F62)</f>
        <v>0</v>
      </c>
      <c r="G59" s="211">
        <f>+SUBTOTAL(9,G60:G62)</f>
        <v>137233.90604367817</v>
      </c>
      <c r="H59" s="211">
        <f t="shared" ref="H59:AI59" si="14">+SUBTOTAL(9,H60:H62)</f>
        <v>146452.81538686642</v>
      </c>
      <c r="I59" s="211">
        <f t="shared" si="14"/>
        <v>155671.72473005462</v>
      </c>
      <c r="J59" s="211">
        <f t="shared" si="14"/>
        <v>164890.63407324287</v>
      </c>
      <c r="K59" s="211">
        <f t="shared" si="14"/>
        <v>178377.58603986763</v>
      </c>
      <c r="L59" s="211">
        <f t="shared" si="14"/>
        <v>183768.2125032483</v>
      </c>
      <c r="M59" s="211">
        <f t="shared" si="14"/>
        <v>193162.97936388355</v>
      </c>
      <c r="N59" s="211">
        <f t="shared" si="14"/>
        <v>196779.38292267037</v>
      </c>
      <c r="O59" s="211">
        <f t="shared" si="14"/>
        <v>197131.09795756434</v>
      </c>
      <c r="P59" s="211">
        <f t="shared" si="14"/>
        <v>197306.95547501135</v>
      </c>
      <c r="Q59" s="211">
        <f t="shared" si="14"/>
        <v>199565.42979907672</v>
      </c>
      <c r="R59" s="211">
        <f t="shared" si="14"/>
        <v>199917.14483397073</v>
      </c>
      <c r="S59" s="211">
        <f t="shared" si="14"/>
        <v>202524.86059268471</v>
      </c>
      <c r="T59" s="211">
        <f t="shared" si="14"/>
        <v>202524.86059268471</v>
      </c>
      <c r="U59" s="211">
        <f t="shared" si="14"/>
        <v>202700.71811013168</v>
      </c>
      <c r="V59" s="211">
        <f t="shared" si="14"/>
        <v>202700.71811013168</v>
      </c>
      <c r="W59" s="211">
        <f t="shared" si="14"/>
        <v>202700.71811013168</v>
      </c>
      <c r="X59" s="211">
        <f t="shared" si="14"/>
        <v>202700.71811013168</v>
      </c>
      <c r="Y59" s="211">
        <f t="shared" si="14"/>
        <v>216210.2858504288</v>
      </c>
      <c r="Z59" s="211">
        <f t="shared" si="14"/>
        <v>216210.2858504288</v>
      </c>
      <c r="AA59" s="211">
        <f t="shared" si="14"/>
        <v>216210.2858504288</v>
      </c>
      <c r="AB59" s="211">
        <f t="shared" si="14"/>
        <v>216210.2858504288</v>
      </c>
      <c r="AC59" s="211">
        <f t="shared" si="14"/>
        <v>228719.90069151961</v>
      </c>
      <c r="AD59" s="211">
        <f t="shared" si="14"/>
        <v>228719.90069151961</v>
      </c>
      <c r="AE59" s="211">
        <f t="shared" si="14"/>
        <v>228719.90069151961</v>
      </c>
      <c r="AF59" s="211">
        <f t="shared" si="14"/>
        <v>228719.90069151961</v>
      </c>
      <c r="AG59" s="211">
        <f t="shared" si="14"/>
        <v>228719.90069151961</v>
      </c>
      <c r="AH59" s="211">
        <f t="shared" si="14"/>
        <v>228719.90069151961</v>
      </c>
      <c r="AI59" s="211">
        <f t="shared" si="14"/>
        <v>228719.90069151961</v>
      </c>
      <c r="AJ59" s="212">
        <f t="shared" si="1"/>
        <v>5831990.9109973824</v>
      </c>
      <c r="AK59" s="2"/>
    </row>
    <row r="60" spans="2:37" ht="14.4">
      <c r="B60" s="285" t="s">
        <v>160</v>
      </c>
      <c r="C60" s="287" t="s">
        <v>161</v>
      </c>
      <c r="D60" s="285" t="s">
        <v>97</v>
      </c>
      <c r="E60" s="213">
        <f>VLOOKUP(B60,'Preços Unitários'!B:E,4,FALSE)</f>
        <v>92.144661378673391</v>
      </c>
      <c r="F60" s="214">
        <f>$E$60*Quantidades!F61</f>
        <v>0</v>
      </c>
      <c r="G60" s="216">
        <f>$E$60*Quantidades!G61</f>
        <v>54529.411589081508</v>
      </c>
      <c r="H60" s="216">
        <f>$E$60*Quantidades!H61</f>
        <v>58192.512906165219</v>
      </c>
      <c r="I60" s="216">
        <f>$E$60*Quantidades!I61</f>
        <v>61855.614223248922</v>
      </c>
      <c r="J60" s="216">
        <f>$E$60*Quantidades!J61</f>
        <v>65518.71554033264</v>
      </c>
      <c r="K60" s="216">
        <f>$E$60*Quantidades!K61</f>
        <v>70877.7086352037</v>
      </c>
      <c r="L60" s="216">
        <f>$E$60*Quantidades!L61</f>
        <v>73019.655167361154</v>
      </c>
      <c r="M60" s="216">
        <f>$E$60*Quantidades!M61</f>
        <v>76752.632852657043</v>
      </c>
      <c r="N60" s="216">
        <f>$E$60*Quantidades!N61</f>
        <v>78189.598131970313</v>
      </c>
      <c r="O60" s="216">
        <f>$E$60*Quantidades!O61</f>
        <v>78329.350868394642</v>
      </c>
      <c r="P60" s="216">
        <f>$E$60*Quantidades!P61</f>
        <v>78399.227236606806</v>
      </c>
      <c r="Q60" s="216">
        <f>$E$60*Quantidades!Q61</f>
        <v>79296.624093773687</v>
      </c>
      <c r="R60" s="216">
        <f>$E$60*Quantidades!R61</f>
        <v>79436.376830198016</v>
      </c>
      <c r="S60" s="216">
        <f>$E$60*Quantidades!S61</f>
        <v>80472.543547401205</v>
      </c>
      <c r="T60" s="216">
        <f>$E$60*Quantidades!T61</f>
        <v>80472.543547401205</v>
      </c>
      <c r="U60" s="216">
        <f>$E$60*Quantidades!U61</f>
        <v>80542.419915613369</v>
      </c>
      <c r="V60" s="216">
        <f>$E$60*Quantidades!V61</f>
        <v>80542.419915613369</v>
      </c>
      <c r="W60" s="216">
        <f>$E$60*Quantidades!W61</f>
        <v>80542.419915613369</v>
      </c>
      <c r="X60" s="216">
        <f>$E$60*Quantidades!X61</f>
        <v>80542.419915613369</v>
      </c>
      <c r="Y60" s="216">
        <f>$E$60*Quantidades!Y61</f>
        <v>85910.399308889362</v>
      </c>
      <c r="Z60" s="216">
        <f>$E$60*Quantidades!Z61</f>
        <v>85910.399308889362</v>
      </c>
      <c r="AA60" s="216">
        <f>$E$60*Quantidades!AA61</f>
        <v>85910.399308889362</v>
      </c>
      <c r="AB60" s="216">
        <f>$E$60*Quantidades!AB61</f>
        <v>85910.399308889362</v>
      </c>
      <c r="AC60" s="216">
        <f>$E$60*Quantidades!AC61</f>
        <v>90881.050922300506</v>
      </c>
      <c r="AD60" s="216">
        <f>$E$60*Quantidades!AD61</f>
        <v>90881.050922300506</v>
      </c>
      <c r="AE60" s="216">
        <f>$E$60*Quantidades!AE61</f>
        <v>90881.050922300506</v>
      </c>
      <c r="AF60" s="216">
        <f>$E$60*Quantidades!AF61</f>
        <v>90881.050922300506</v>
      </c>
      <c r="AG60" s="216">
        <f>$E$60*Quantidades!AG61</f>
        <v>90881.050922300506</v>
      </c>
      <c r="AH60" s="216">
        <f>$E$60*Quantidades!AH61</f>
        <v>90881.050922300506</v>
      </c>
      <c r="AI60" s="216">
        <f>$E$60*Quantidades!AI61</f>
        <v>90881.050922300506</v>
      </c>
      <c r="AJ60" s="215">
        <f t="shared" si="1"/>
        <v>2317321.1485239104</v>
      </c>
    </row>
    <row r="61" spans="2:37" ht="14.4">
      <c r="B61" s="285" t="s">
        <v>162</v>
      </c>
      <c r="C61" s="287" t="s">
        <v>163</v>
      </c>
      <c r="D61" s="285" t="s">
        <v>97</v>
      </c>
      <c r="E61" s="213">
        <f>VLOOKUP(B61,'Preços Unitários'!B:E,4,FALSE)</f>
        <v>63.760955429208529</v>
      </c>
      <c r="F61" s="214">
        <f>$E$61*Quantidades!F62</f>
        <v>0</v>
      </c>
      <c r="G61" s="216">
        <f>$E$61*Quantidades!G62</f>
        <v>37732.488566256747</v>
      </c>
      <c r="H61" s="216">
        <f>$E$61*Quantidades!H62</f>
        <v>40267.229443445613</v>
      </c>
      <c r="I61" s="216">
        <f>$E$61*Quantidades!I62</f>
        <v>42801.970320634464</v>
      </c>
      <c r="J61" s="216">
        <f>$E$61*Quantidades!J62</f>
        <v>45336.711197823337</v>
      </c>
      <c r="K61" s="216">
        <f>$E$61*Quantidades!K62</f>
        <v>49044.951206034973</v>
      </c>
      <c r="L61" s="216">
        <f>$E$61*Quantidades!L62</f>
        <v>50527.104977346658</v>
      </c>
      <c r="M61" s="216">
        <f>$E$61*Quantidades!M62</f>
        <v>53110.197912402684</v>
      </c>
      <c r="N61" s="216">
        <f>$E$61*Quantidades!N62</f>
        <v>54104.528758669381</v>
      </c>
      <c r="O61" s="216">
        <f>$E$61*Quantidades!O62</f>
        <v>54201.232874403679</v>
      </c>
      <c r="P61" s="216">
        <f>$E$61*Quantidades!P62</f>
        <v>54249.584932270824</v>
      </c>
      <c r="Q61" s="216">
        <f>$E$61*Quantidades!Q62</f>
        <v>54870.552877195885</v>
      </c>
      <c r="R61" s="216">
        <f>$E$61*Quantidades!R62</f>
        <v>54967.25699293019</v>
      </c>
      <c r="S61" s="216">
        <f>$E$61*Quantidades!S62</f>
        <v>55684.248936731638</v>
      </c>
      <c r="T61" s="216">
        <f>$E$61*Quantidades!T62</f>
        <v>55684.248936731638</v>
      </c>
      <c r="U61" s="216">
        <f>$E$61*Quantidades!U62</f>
        <v>55732.60099459879</v>
      </c>
      <c r="V61" s="216">
        <f>$E$61*Quantidades!V62</f>
        <v>55732.60099459879</v>
      </c>
      <c r="W61" s="216">
        <f>$E$61*Quantidades!W62</f>
        <v>55732.60099459879</v>
      </c>
      <c r="X61" s="216">
        <f>$E$61*Quantidades!X62</f>
        <v>55732.60099459879</v>
      </c>
      <c r="Y61" s="216">
        <f>$E$61*Quantidades!Y62</f>
        <v>59447.059214082758</v>
      </c>
      <c r="Z61" s="216">
        <f>$E$61*Quantidades!Z62</f>
        <v>59447.059214082758</v>
      </c>
      <c r="AA61" s="216">
        <f>$E$61*Quantidades!AA62</f>
        <v>59447.059214082758</v>
      </c>
      <c r="AB61" s="216">
        <f>$E$61*Quantidades!AB62</f>
        <v>59447.059214082758</v>
      </c>
      <c r="AC61" s="216">
        <f>$E$61*Quantidades!AC62</f>
        <v>62886.580193755981</v>
      </c>
      <c r="AD61" s="216">
        <f>$E$61*Quantidades!AD62</f>
        <v>62886.580193755981</v>
      </c>
      <c r="AE61" s="216">
        <f>$E$61*Quantidades!AE62</f>
        <v>62886.580193755981</v>
      </c>
      <c r="AF61" s="216">
        <f>$E$61*Quantidades!AF62</f>
        <v>62886.580193755981</v>
      </c>
      <c r="AG61" s="216">
        <f>$E$61*Quantidades!AG62</f>
        <v>62886.580193755981</v>
      </c>
      <c r="AH61" s="216">
        <f>$E$61*Quantidades!AH62</f>
        <v>62886.580193755981</v>
      </c>
      <c r="AI61" s="216">
        <f>$E$61*Quantidades!AI62</f>
        <v>62886.580193755981</v>
      </c>
      <c r="AJ61" s="215">
        <f t="shared" ref="AJ61:AJ76" si="15">+SUM(F61:AI61)</f>
        <v>1603507.0101238955</v>
      </c>
    </row>
    <row r="62" spans="2:37" ht="14.4">
      <c r="B62" s="285" t="s">
        <v>164</v>
      </c>
      <c r="C62" s="287" t="s">
        <v>165</v>
      </c>
      <c r="D62" s="285" t="s">
        <v>97</v>
      </c>
      <c r="E62" s="213">
        <f>VLOOKUP(B62,'Preços Unitários'!B:E,4,FALSE)</f>
        <v>75.99440619914067</v>
      </c>
      <c r="F62" s="214">
        <f>$E$62*Quantidades!F63</f>
        <v>0</v>
      </c>
      <c r="G62" s="216">
        <f>$E$62*Quantidades!G63</f>
        <v>44972.005888339932</v>
      </c>
      <c r="H62" s="216">
        <f>$E$62*Quantidades!H63</f>
        <v>47993.073037255577</v>
      </c>
      <c r="I62" s="216">
        <f>$E$62*Quantidades!I63</f>
        <v>51014.140186171222</v>
      </c>
      <c r="J62" s="216">
        <f>$E$62*Quantidades!J63</f>
        <v>54035.207335086881</v>
      </c>
      <c r="K62" s="216">
        <f>$E$62*Quantidades!K63</f>
        <v>58454.926198628971</v>
      </c>
      <c r="L62" s="216">
        <f>$E$62*Quantidades!L63</f>
        <v>60221.452358540482</v>
      </c>
      <c r="M62" s="216">
        <f>$E$62*Quantidades!M63</f>
        <v>63300.14859882382</v>
      </c>
      <c r="N62" s="216">
        <f>$E$62*Quantidades!N63</f>
        <v>64485.25603203068</v>
      </c>
      <c r="O62" s="216">
        <f>$E$62*Quantidades!O63</f>
        <v>64600.514214766044</v>
      </c>
      <c r="P62" s="216">
        <f>$E$62*Quantidades!P63</f>
        <v>64658.143306133723</v>
      </c>
      <c r="Q62" s="216">
        <f>$E$62*Quantidades!Q63</f>
        <v>65398.25282810715</v>
      </c>
      <c r="R62" s="216">
        <f>$E$62*Quantidades!R63</f>
        <v>65513.511010842522</v>
      </c>
      <c r="S62" s="216">
        <f>$E$62*Quantidades!S63</f>
        <v>66368.068108551859</v>
      </c>
      <c r="T62" s="216">
        <f>$E$62*Quantidades!T63</f>
        <v>66368.068108551859</v>
      </c>
      <c r="U62" s="216">
        <f>$E$62*Quantidades!U63</f>
        <v>66425.697199919538</v>
      </c>
      <c r="V62" s="216">
        <f>$E$62*Quantidades!V63</f>
        <v>66425.697199919538</v>
      </c>
      <c r="W62" s="216">
        <f>$E$62*Quantidades!W63</f>
        <v>66425.697199919538</v>
      </c>
      <c r="X62" s="216">
        <f>$E$62*Quantidades!X63</f>
        <v>66425.697199919538</v>
      </c>
      <c r="Y62" s="216">
        <f>$E$62*Quantidades!Y63</f>
        <v>70852.827327456675</v>
      </c>
      <c r="Z62" s="216">
        <f>$E$62*Quantidades!Z63</f>
        <v>70852.827327456675</v>
      </c>
      <c r="AA62" s="216">
        <f>$E$62*Quantidades!AA63</f>
        <v>70852.827327456675</v>
      </c>
      <c r="AB62" s="216">
        <f>$E$62*Quantidades!AB63</f>
        <v>70852.827327456675</v>
      </c>
      <c r="AC62" s="216">
        <f>$E$62*Quantidades!AC63</f>
        <v>74952.269575463113</v>
      </c>
      <c r="AD62" s="216">
        <f>$E$62*Quantidades!AD63</f>
        <v>74952.269575463113</v>
      </c>
      <c r="AE62" s="216">
        <f>$E$62*Quantidades!AE63</f>
        <v>74952.269575463113</v>
      </c>
      <c r="AF62" s="216">
        <f>$E$62*Quantidades!AF63</f>
        <v>74952.269575463113</v>
      </c>
      <c r="AG62" s="216">
        <f>$E$62*Quantidades!AG63</f>
        <v>74952.269575463113</v>
      </c>
      <c r="AH62" s="216">
        <f>$E$62*Quantidades!AH63</f>
        <v>74952.269575463113</v>
      </c>
      <c r="AI62" s="216">
        <f>$E$62*Quantidades!AI63</f>
        <v>74952.269575463113</v>
      </c>
      <c r="AJ62" s="215">
        <f t="shared" si="15"/>
        <v>1911162.7523495778</v>
      </c>
    </row>
    <row r="63" spans="2:37">
      <c r="B63" s="205"/>
      <c r="C63" s="206" t="s">
        <v>166</v>
      </c>
      <c r="D63" s="205"/>
      <c r="E63" s="207"/>
      <c r="F63" s="208">
        <f t="shared" ref="F63:AH63" si="16">+SUBTOTAL(9,F64:F70)</f>
        <v>0</v>
      </c>
      <c r="G63" s="208">
        <f t="shared" si="16"/>
        <v>1300760.6058108942</v>
      </c>
      <c r="H63" s="208">
        <f t="shared" si="16"/>
        <v>1327977.1355112435</v>
      </c>
      <c r="I63" s="208">
        <f t="shared" si="16"/>
        <v>1355193.6652115926</v>
      </c>
      <c r="J63" s="208">
        <f t="shared" si="16"/>
        <v>1382410.1949119421</v>
      </c>
      <c r="K63" s="208">
        <f t="shared" si="16"/>
        <v>1422230.1622663967</v>
      </c>
      <c r="L63" s="208">
        <f t="shared" si="16"/>
        <v>1438143.0885813932</v>
      </c>
      <c r="M63" s="208">
        <f t="shared" si="16"/>
        <v>1465878.7937252198</v>
      </c>
      <c r="N63" s="208">
        <f t="shared" si="16"/>
        <v>1476553.769586392</v>
      </c>
      <c r="O63" s="208">
        <f t="shared" si="16"/>
        <v>1477595.2271665069</v>
      </c>
      <c r="P63" s="208">
        <f t="shared" si="16"/>
        <v>1478112.8492634038</v>
      </c>
      <c r="Q63" s="208">
        <f t="shared" si="16"/>
        <v>1484780.4312115677</v>
      </c>
      <c r="R63" s="208">
        <f t="shared" si="16"/>
        <v>1485820.3354451023</v>
      </c>
      <c r="S63" s="208">
        <f t="shared" si="16"/>
        <v>1493517.4122460838</v>
      </c>
      <c r="T63" s="208">
        <f t="shared" si="16"/>
        <v>1493515.8588995037</v>
      </c>
      <c r="U63" s="208">
        <f t="shared" si="16"/>
        <v>1494036.5876895611</v>
      </c>
      <c r="V63" s="208">
        <f t="shared" si="16"/>
        <v>1494035.0343429809</v>
      </c>
      <c r="W63" s="208">
        <f t="shared" si="16"/>
        <v>1494035.0343429809</v>
      </c>
      <c r="X63" s="208">
        <f t="shared" si="16"/>
        <v>1494035.0343429809</v>
      </c>
      <c r="Y63" s="208">
        <f t="shared" si="16"/>
        <v>1533918.6624333637</v>
      </c>
      <c r="Z63" s="208">
        <f t="shared" si="16"/>
        <v>1533918.6624333637</v>
      </c>
      <c r="AA63" s="208">
        <f t="shared" si="16"/>
        <v>1533918.6624333637</v>
      </c>
      <c r="AB63" s="208">
        <f t="shared" si="16"/>
        <v>1533918.6624333637</v>
      </c>
      <c r="AC63" s="208">
        <f t="shared" si="16"/>
        <v>1570850.1790789906</v>
      </c>
      <c r="AD63" s="208">
        <f t="shared" si="16"/>
        <v>1570850.1790789906</v>
      </c>
      <c r="AE63" s="208">
        <f t="shared" si="16"/>
        <v>1570850.1790789906</v>
      </c>
      <c r="AF63" s="208">
        <f t="shared" si="16"/>
        <v>1570850.1790789906</v>
      </c>
      <c r="AG63" s="208">
        <f t="shared" si="16"/>
        <v>1570850.1790789906</v>
      </c>
      <c r="AH63" s="208">
        <f t="shared" si="16"/>
        <v>1570850.1790789906</v>
      </c>
      <c r="AI63" s="208">
        <f>+SUBTOTAL(9,AI64:AI70)</f>
        <v>1570850.1790789906</v>
      </c>
      <c r="AJ63" s="208">
        <f t="shared" si="15"/>
        <v>43190257.123842128</v>
      </c>
    </row>
    <row r="64" spans="2:37">
      <c r="B64" s="43"/>
      <c r="C64" s="38" t="s">
        <v>167</v>
      </c>
      <c r="D64" s="69"/>
      <c r="E64" s="53"/>
      <c r="F64" s="217">
        <f>+SUBTOTAL(9,F65:F70)</f>
        <v>0</v>
      </c>
      <c r="G64" s="211">
        <f>+SUBTOTAL(9,G65:G70)</f>
        <v>1300760.6058108942</v>
      </c>
      <c r="H64" s="211">
        <f t="shared" ref="H64:AI64" si="17">+SUBTOTAL(9,H65:H70)</f>
        <v>1327977.1355112435</v>
      </c>
      <c r="I64" s="211">
        <f t="shared" si="17"/>
        <v>1355193.6652115926</v>
      </c>
      <c r="J64" s="211">
        <f t="shared" si="17"/>
        <v>1382410.1949119421</v>
      </c>
      <c r="K64" s="211">
        <f t="shared" si="17"/>
        <v>1422230.1622663967</v>
      </c>
      <c r="L64" s="211">
        <f t="shared" si="17"/>
        <v>1438143.0885813932</v>
      </c>
      <c r="M64" s="211">
        <f t="shared" si="17"/>
        <v>1465878.7937252198</v>
      </c>
      <c r="N64" s="211">
        <f t="shared" si="17"/>
        <v>1476553.769586392</v>
      </c>
      <c r="O64" s="211">
        <f t="shared" si="17"/>
        <v>1477595.2271665069</v>
      </c>
      <c r="P64" s="211">
        <f t="shared" si="17"/>
        <v>1478112.8492634038</v>
      </c>
      <c r="Q64" s="211">
        <f t="shared" si="17"/>
        <v>1484780.4312115677</v>
      </c>
      <c r="R64" s="211">
        <f t="shared" si="17"/>
        <v>1485820.3354451023</v>
      </c>
      <c r="S64" s="211">
        <f t="shared" si="17"/>
        <v>1493517.4122460838</v>
      </c>
      <c r="T64" s="211">
        <f t="shared" si="17"/>
        <v>1493515.8588995037</v>
      </c>
      <c r="U64" s="211">
        <f t="shared" si="17"/>
        <v>1494036.5876895611</v>
      </c>
      <c r="V64" s="211">
        <f t="shared" si="17"/>
        <v>1494035.0343429809</v>
      </c>
      <c r="W64" s="211">
        <f t="shared" si="17"/>
        <v>1494035.0343429809</v>
      </c>
      <c r="X64" s="211">
        <f t="shared" si="17"/>
        <v>1494035.0343429809</v>
      </c>
      <c r="Y64" s="211">
        <f t="shared" si="17"/>
        <v>1533918.6624333637</v>
      </c>
      <c r="Z64" s="211">
        <f t="shared" si="17"/>
        <v>1533918.6624333637</v>
      </c>
      <c r="AA64" s="211">
        <f t="shared" si="17"/>
        <v>1533918.6624333637</v>
      </c>
      <c r="AB64" s="211">
        <f t="shared" si="17"/>
        <v>1533918.6624333637</v>
      </c>
      <c r="AC64" s="211">
        <f t="shared" si="17"/>
        <v>1570850.1790789906</v>
      </c>
      <c r="AD64" s="211">
        <f t="shared" si="17"/>
        <v>1570850.1790789906</v>
      </c>
      <c r="AE64" s="211">
        <f t="shared" si="17"/>
        <v>1570850.1790789906</v>
      </c>
      <c r="AF64" s="211">
        <f t="shared" si="17"/>
        <v>1570850.1790789906</v>
      </c>
      <c r="AG64" s="211">
        <f t="shared" si="17"/>
        <v>1570850.1790789906</v>
      </c>
      <c r="AH64" s="211">
        <f t="shared" si="17"/>
        <v>1570850.1790789906</v>
      </c>
      <c r="AI64" s="211">
        <f t="shared" si="17"/>
        <v>1570850.1790789906</v>
      </c>
      <c r="AJ64" s="212">
        <f t="shared" si="15"/>
        <v>43190257.123842128</v>
      </c>
    </row>
    <row r="65" spans="2:39" ht="14.4">
      <c r="B65" s="285">
        <v>4915740</v>
      </c>
      <c r="C65" s="287" t="s">
        <v>168</v>
      </c>
      <c r="D65" s="285" t="s">
        <v>169</v>
      </c>
      <c r="E65" s="213">
        <f>VLOOKUP(B65,'Preços Unitários'!B:E,4,FALSE)</f>
        <v>1891.9110371820886</v>
      </c>
      <c r="F65" s="214">
        <f>$E$65*Quantidades!F67</f>
        <v>0</v>
      </c>
      <c r="G65" s="216">
        <f>$E$65*Quantidades!G67</f>
        <v>274493.58856267494</v>
      </c>
      <c r="H65" s="216">
        <f>$E$65*Quantidades!H67</f>
        <v>274493.58856267494</v>
      </c>
      <c r="I65" s="216">
        <f>$E$65*Quantidades!I67</f>
        <v>274493.58856267494</v>
      </c>
      <c r="J65" s="216">
        <f>$E$65*Quantidades!J67</f>
        <v>274493.58856267494</v>
      </c>
      <c r="K65" s="216">
        <f>$E$65*Quantidades!K67</f>
        <v>274495.1626326578</v>
      </c>
      <c r="L65" s="216">
        <f>$E$65*Quantidades!L67</f>
        <v>274494.37559766637</v>
      </c>
      <c r="M65" s="216">
        <f>$E$65*Quantidades!M67</f>
        <v>274494.37559766637</v>
      </c>
      <c r="N65" s="216">
        <f>$E$65*Quantidades!N67</f>
        <v>274493.58856267494</v>
      </c>
      <c r="O65" s="216">
        <f>$E$65*Quantidades!O67</f>
        <v>274495.1626326578</v>
      </c>
      <c r="P65" s="216">
        <f>$E$65*Quantidades!P67</f>
        <v>274494.37559766637</v>
      </c>
      <c r="Q65" s="216">
        <f>$E$65*Quantidades!Q67</f>
        <v>274494.37559766637</v>
      </c>
      <c r="R65" s="216">
        <f>$E$65*Quantidades!R67</f>
        <v>274495.1626326578</v>
      </c>
      <c r="S65" s="216">
        <f>$E$65*Quantidades!S67</f>
        <v>274494.37559766637</v>
      </c>
      <c r="T65" s="216">
        <f>$E$65*Quantidades!T67</f>
        <v>274493.58856267494</v>
      </c>
      <c r="U65" s="216">
        <f>$E$65*Quantidades!U67</f>
        <v>274494.37559766637</v>
      </c>
      <c r="V65" s="216">
        <f>$E$65*Quantidades!V67</f>
        <v>274493.58856267494</v>
      </c>
      <c r="W65" s="216">
        <f>$E$65*Quantidades!W67</f>
        <v>274493.58856267494</v>
      </c>
      <c r="X65" s="216">
        <f>$E$65*Quantidades!X67</f>
        <v>274493.58856267494</v>
      </c>
      <c r="Y65" s="216">
        <f>$E$65*Quantidades!Y67</f>
        <v>274493.58856267494</v>
      </c>
      <c r="Z65" s="216">
        <f>$E$65*Quantidades!Z67</f>
        <v>274493.58856267494</v>
      </c>
      <c r="AA65" s="216">
        <f>$E$65*Quantidades!AA67</f>
        <v>274493.58856267494</v>
      </c>
      <c r="AB65" s="216">
        <f>$E$65*Quantidades!AB67</f>
        <v>274493.58856267494</v>
      </c>
      <c r="AC65" s="216">
        <f>$E$65*Quantidades!AC67</f>
        <v>274493.58856267494</v>
      </c>
      <c r="AD65" s="216">
        <f>$E$65*Quantidades!AD67</f>
        <v>274493.58856267494</v>
      </c>
      <c r="AE65" s="216">
        <f>$E$65*Quantidades!AE67</f>
        <v>274493.58856267494</v>
      </c>
      <c r="AF65" s="216">
        <f>$E$65*Quantidades!AF67</f>
        <v>274493.58856267494</v>
      </c>
      <c r="AG65" s="216">
        <f>$E$65*Quantidades!AG67</f>
        <v>274493.58856267494</v>
      </c>
      <c r="AH65" s="216">
        <f>$E$65*Quantidades!AH67</f>
        <v>274493.58856267494</v>
      </c>
      <c r="AI65" s="216">
        <f>$E$65*Quantidades!AI67</f>
        <v>274493.58856267494</v>
      </c>
      <c r="AJ65" s="215">
        <f t="shared" si="15"/>
        <v>7960323.5127374688</v>
      </c>
    </row>
    <row r="66" spans="2:39" ht="14.4">
      <c r="B66" s="285">
        <v>4915742</v>
      </c>
      <c r="C66" s="287" t="s">
        <v>170</v>
      </c>
      <c r="D66" s="285" t="s">
        <v>169</v>
      </c>
      <c r="E66" s="213">
        <f>VLOOKUP(B66,'Preços Unitários'!B:E,4,FALSE)</f>
        <v>460.52379138724791</v>
      </c>
      <c r="F66" s="214">
        <f>$E$66*Quantidades!F68</f>
        <v>0</v>
      </c>
      <c r="G66" s="216">
        <f>$E$66*Quantidades!G68</f>
        <v>267265.90337917214</v>
      </c>
      <c r="H66" s="216">
        <f>$E$66*Quantidades!H68</f>
        <v>267265.90337917214</v>
      </c>
      <c r="I66" s="216">
        <f>$E$66*Quantidades!I68</f>
        <v>267265.90337917214</v>
      </c>
      <c r="J66" s="216">
        <f>$E$66*Quantidades!J68</f>
        <v>267265.90337917214</v>
      </c>
      <c r="K66" s="216">
        <f>$E$66*Quantidades!K68</f>
        <v>267267.43600234983</v>
      </c>
      <c r="L66" s="216">
        <f>$E$66*Quantidades!L68</f>
        <v>267266.66969076102</v>
      </c>
      <c r="M66" s="216">
        <f>$E$66*Quantidades!M68</f>
        <v>267266.66969076102</v>
      </c>
      <c r="N66" s="216">
        <f>$E$66*Quantidades!N68</f>
        <v>267265.90337917214</v>
      </c>
      <c r="O66" s="216">
        <f>$E$66*Quantidades!O68</f>
        <v>267267.43600234983</v>
      </c>
      <c r="P66" s="216">
        <f>$E$66*Quantidades!P68</f>
        <v>267266.66969076102</v>
      </c>
      <c r="Q66" s="216">
        <f>$E$66*Quantidades!Q68</f>
        <v>267266.66969076102</v>
      </c>
      <c r="R66" s="216">
        <f>$E$66*Quantidades!R68</f>
        <v>267267.43600234983</v>
      </c>
      <c r="S66" s="216">
        <f>$E$66*Quantidades!S68</f>
        <v>267266.66969076102</v>
      </c>
      <c r="T66" s="216">
        <f>$E$66*Quantidades!T68</f>
        <v>267265.90337917214</v>
      </c>
      <c r="U66" s="216">
        <f>$E$66*Quantidades!U68</f>
        <v>267266.66969076102</v>
      </c>
      <c r="V66" s="216">
        <f>$E$66*Quantidades!V68</f>
        <v>267265.90337917214</v>
      </c>
      <c r="W66" s="216">
        <f>$E$66*Quantidades!W68</f>
        <v>267265.90337917214</v>
      </c>
      <c r="X66" s="216">
        <f>$E$66*Quantidades!X68</f>
        <v>267265.90337917214</v>
      </c>
      <c r="Y66" s="216">
        <f>$E$66*Quantidades!Y68</f>
        <v>267265.90337917214</v>
      </c>
      <c r="Z66" s="216">
        <f>$E$66*Quantidades!Z68</f>
        <v>267265.90337917214</v>
      </c>
      <c r="AA66" s="216">
        <f>$E$66*Quantidades!AA68</f>
        <v>267265.90337917214</v>
      </c>
      <c r="AB66" s="216">
        <f>$E$66*Quantidades!AB68</f>
        <v>267265.90337917214</v>
      </c>
      <c r="AC66" s="216">
        <f>$E$66*Quantidades!AC68</f>
        <v>267265.90337917214</v>
      </c>
      <c r="AD66" s="216">
        <f>$E$66*Quantidades!AD68</f>
        <v>267265.90337917214</v>
      </c>
      <c r="AE66" s="216">
        <f>$E$66*Quantidades!AE68</f>
        <v>267265.90337917214</v>
      </c>
      <c r="AF66" s="216">
        <f>$E$66*Quantidades!AF68</f>
        <v>267265.90337917214</v>
      </c>
      <c r="AG66" s="216">
        <f>$E$66*Quantidades!AG68</f>
        <v>267265.90337917214</v>
      </c>
      <c r="AH66" s="216">
        <f>$E$66*Quantidades!AH68</f>
        <v>267265.90337917214</v>
      </c>
      <c r="AI66" s="216">
        <f>$E$66*Quantidades!AI68</f>
        <v>267265.90337917214</v>
      </c>
      <c r="AJ66" s="215">
        <f t="shared" si="15"/>
        <v>7750720.3937350577</v>
      </c>
    </row>
    <row r="67" spans="2:39" ht="14.4">
      <c r="B67" s="285">
        <v>4915744</v>
      </c>
      <c r="C67" s="287" t="s">
        <v>171</v>
      </c>
      <c r="D67" s="285" t="s">
        <v>101</v>
      </c>
      <c r="E67" s="213">
        <f>VLOOKUP(B67,'Preços Unitários'!B:E,4,FALSE)</f>
        <v>0.75605876003014061</v>
      </c>
      <c r="F67" s="214">
        <f>$E$67*Quantidades!F69</f>
        <v>0</v>
      </c>
      <c r="G67" s="216">
        <f>$E$67*Quantidades!G69</f>
        <v>2056.7822507859942</v>
      </c>
      <c r="H67" s="216">
        <f>$E$67*Quantidades!H69</f>
        <v>2056.7822507859942</v>
      </c>
      <c r="I67" s="216">
        <f>$E$67*Quantidades!I69</f>
        <v>2056.7822507859942</v>
      </c>
      <c r="J67" s="216">
        <f>$E$67*Quantidades!J69</f>
        <v>2056.7822507859942</v>
      </c>
      <c r="K67" s="216">
        <f>$E$67*Quantidades!K69</f>
        <v>2056.7822507859942</v>
      </c>
      <c r="L67" s="216">
        <f>$E$67*Quantidades!L69</f>
        <v>2056.7822507859942</v>
      </c>
      <c r="M67" s="216">
        <f>$E$67*Quantidades!M69</f>
        <v>2056.7822507859942</v>
      </c>
      <c r="N67" s="216">
        <f>$E$67*Quantidades!N69</f>
        <v>2056.7822507859942</v>
      </c>
      <c r="O67" s="216">
        <f>$E$67*Quantidades!O69</f>
        <v>2056.7822507859942</v>
      </c>
      <c r="P67" s="216">
        <f>$E$67*Quantidades!P69</f>
        <v>2056.7822507859942</v>
      </c>
      <c r="Q67" s="216">
        <f>$E$67*Quantidades!Q69</f>
        <v>2056.7822507859942</v>
      </c>
      <c r="R67" s="216">
        <f>$E$67*Quantidades!R69</f>
        <v>2056.7822507859942</v>
      </c>
      <c r="S67" s="216">
        <f>$E$67*Quantidades!S69</f>
        <v>2056.7822507859942</v>
      </c>
      <c r="T67" s="216">
        <f>$E$67*Quantidades!T69</f>
        <v>2056.7822507859942</v>
      </c>
      <c r="U67" s="216">
        <f>$E$67*Quantidades!U69</f>
        <v>2056.7822507859942</v>
      </c>
      <c r="V67" s="216">
        <f>$E$67*Quantidades!V69</f>
        <v>2056.7822507859942</v>
      </c>
      <c r="W67" s="216">
        <f>$E$67*Quantidades!W69</f>
        <v>2056.7822507859942</v>
      </c>
      <c r="X67" s="216">
        <f>$E$67*Quantidades!X69</f>
        <v>2056.7822507859942</v>
      </c>
      <c r="Y67" s="216">
        <f>$E$67*Quantidades!Y69</f>
        <v>2056.7822507859942</v>
      </c>
      <c r="Z67" s="216">
        <f>$E$67*Quantidades!Z69</f>
        <v>2056.7822507859942</v>
      </c>
      <c r="AA67" s="216">
        <f>$E$67*Quantidades!AA69</f>
        <v>2056.7822507859942</v>
      </c>
      <c r="AB67" s="216">
        <f>$E$67*Quantidades!AB69</f>
        <v>2056.7822507859942</v>
      </c>
      <c r="AC67" s="216">
        <f>$E$67*Quantidades!AC69</f>
        <v>2056.7822507859942</v>
      </c>
      <c r="AD67" s="216">
        <f>$E$67*Quantidades!AD69</f>
        <v>2056.7822507859942</v>
      </c>
      <c r="AE67" s="216">
        <f>$E$67*Quantidades!AE69</f>
        <v>2056.7822507859942</v>
      </c>
      <c r="AF67" s="216">
        <f>$E$67*Quantidades!AF69</f>
        <v>2056.7822507859942</v>
      </c>
      <c r="AG67" s="216">
        <f>$E$67*Quantidades!AG69</f>
        <v>2056.7822507859942</v>
      </c>
      <c r="AH67" s="216">
        <f>$E$67*Quantidades!AH69</f>
        <v>2056.7822507859942</v>
      </c>
      <c r="AI67" s="216">
        <f>$E$67*Quantidades!AI69</f>
        <v>2056.7822507859942</v>
      </c>
      <c r="AJ67" s="215">
        <f t="shared" si="15"/>
        <v>59646.685272793853</v>
      </c>
    </row>
    <row r="68" spans="2:39" ht="14.4">
      <c r="B68" s="285" t="s">
        <v>172</v>
      </c>
      <c r="C68" s="287" t="s">
        <v>173</v>
      </c>
      <c r="D68" s="285" t="s">
        <v>101</v>
      </c>
      <c r="E68" s="213">
        <f>VLOOKUP(B68,'Preços Unitários'!B:E,4,FALSE)</f>
        <v>6.7940280241597364</v>
      </c>
      <c r="F68" s="214">
        <f>$E$68*Quantidades!F70</f>
        <v>0</v>
      </c>
      <c r="G68" s="216">
        <f>$E$68*Quantidades!G70</f>
        <v>301542.98545415158</v>
      </c>
      <c r="H68" s="216">
        <f>$E$68*Quantidades!H70</f>
        <v>321799.62265204184</v>
      </c>
      <c r="I68" s="216">
        <f>$E$68*Quantidades!I70</f>
        <v>342056.2598499321</v>
      </c>
      <c r="J68" s="216">
        <f>$E$68*Quantidades!J70</f>
        <v>362312.89704782236</v>
      </c>
      <c r="K68" s="216">
        <f>$E$68*Quantidades!K70</f>
        <v>391947.67082886148</v>
      </c>
      <c r="L68" s="216">
        <f>$E$68*Quantidades!L70</f>
        <v>403792.45207933907</v>
      </c>
      <c r="M68" s="216">
        <f>$E$68*Quantidades!M70</f>
        <v>424435.49962110346</v>
      </c>
      <c r="N68" s="216">
        <f>$E$68*Quantidades!N70</f>
        <v>432381.79479816067</v>
      </c>
      <c r="O68" s="216">
        <f>$E$68*Quantidades!O70</f>
        <v>433154.61548590887</v>
      </c>
      <c r="P68" s="216">
        <f>$E$68*Quantidades!P70</f>
        <v>433541.02582978294</v>
      </c>
      <c r="Q68" s="216">
        <f>$E$68*Quantidades!Q70</f>
        <v>438503.55374932976</v>
      </c>
      <c r="R68" s="216">
        <f>$E$68*Quantidades!R70</f>
        <v>439276.37443707796</v>
      </c>
      <c r="S68" s="216">
        <f>$E$68*Quantidades!S70</f>
        <v>445006.28782195365</v>
      </c>
      <c r="T68" s="216">
        <f>$E$68*Quantidades!T70</f>
        <v>445006.28782195365</v>
      </c>
      <c r="U68" s="216">
        <f>$E$68*Quantidades!U70</f>
        <v>445392.69816582778</v>
      </c>
      <c r="V68" s="216">
        <f>$E$68*Quantidades!V70</f>
        <v>445392.69816582778</v>
      </c>
      <c r="W68" s="216">
        <f>$E$68*Quantidades!W70</f>
        <v>445392.69816582778</v>
      </c>
      <c r="X68" s="216">
        <f>$E$68*Quantidades!X70</f>
        <v>445392.69816582778</v>
      </c>
      <c r="Y68" s="216">
        <f>$E$68*Quantidades!Y70</f>
        <v>475077.16540898645</v>
      </c>
      <c r="Z68" s="216">
        <f>$E$68*Quantidades!Z70</f>
        <v>475077.16540898645</v>
      </c>
      <c r="AA68" s="216">
        <f>$E$68*Quantidades!AA70</f>
        <v>475077.16540898645</v>
      </c>
      <c r="AB68" s="216">
        <f>$E$68*Quantidades!AB70</f>
        <v>475077.16540898645</v>
      </c>
      <c r="AC68" s="216">
        <f>$E$68*Quantidades!AC70</f>
        <v>502564.44398913195</v>
      </c>
      <c r="AD68" s="216">
        <f>$E$68*Quantidades!AD70</f>
        <v>502564.44398913195</v>
      </c>
      <c r="AE68" s="216">
        <f>$E$68*Quantidades!AE70</f>
        <v>502564.44398913195</v>
      </c>
      <c r="AF68" s="216">
        <f>$E$68*Quantidades!AF70</f>
        <v>502564.44398913195</v>
      </c>
      <c r="AG68" s="216">
        <f>$E$68*Quantidades!AG70</f>
        <v>502564.44398913195</v>
      </c>
      <c r="AH68" s="216">
        <f>$E$68*Quantidades!AH70</f>
        <v>502564.44398913195</v>
      </c>
      <c r="AI68" s="216">
        <f>$E$68*Quantidades!AI70</f>
        <v>502564.44398913195</v>
      </c>
      <c r="AJ68" s="215">
        <f t="shared" si="15"/>
        <v>12814587.889700595</v>
      </c>
    </row>
    <row r="69" spans="2:39" ht="14.4">
      <c r="B69" s="285" t="s">
        <v>174</v>
      </c>
      <c r="C69" s="287" t="s">
        <v>175</v>
      </c>
      <c r="D69" s="285" t="s">
        <v>97</v>
      </c>
      <c r="E69" s="213">
        <f>VLOOKUP(B69,'Preços Unitários'!B:E,4,FALSE)</f>
        <v>46.686628431861187</v>
      </c>
      <c r="F69" s="214">
        <f>$E$69*Quantidades!F71</f>
        <v>0</v>
      </c>
      <c r="G69" s="216">
        <f>$E$69*Quantidades!G71</f>
        <v>103605.88201925487</v>
      </c>
      <c r="H69" s="216">
        <f>$E$69*Quantidades!H71</f>
        <v>110565.77452171392</v>
      </c>
      <c r="I69" s="216">
        <f>$E$69*Quantidades!I71</f>
        <v>117525.66702417296</v>
      </c>
      <c r="J69" s="216">
        <f>$E$69*Quantidades!J71</f>
        <v>124485.55952663202</v>
      </c>
      <c r="K69" s="216">
        <f>$E$69*Quantidades!K71</f>
        <v>134667.64640688704</v>
      </c>
      <c r="L69" s="216">
        <f>$E$69*Quantidades!L71</f>
        <v>138737.34481798622</v>
      </c>
      <c r="M69" s="216">
        <f>$E$69*Quantidades!M71</f>
        <v>145830.00242004837</v>
      </c>
      <c r="N69" s="216">
        <f>$E$69*Quantidades!N71</f>
        <v>148560.23645074363</v>
      </c>
      <c r="O69" s="216">
        <f>$E$69*Quantidades!O71</f>
        <v>148825.76664994983</v>
      </c>
      <c r="P69" s="216">
        <f>$E$69*Quantidades!P71</f>
        <v>148958.53174955293</v>
      </c>
      <c r="Q69" s="216">
        <f>$E$69*Quantidades!Q71</f>
        <v>150663.58577817003</v>
      </c>
      <c r="R69" s="216">
        <f>$E$69*Quantidades!R71</f>
        <v>150929.11597737623</v>
      </c>
      <c r="S69" s="216">
        <f>$E$69*Quantidades!S71</f>
        <v>152897.83274006229</v>
      </c>
      <c r="T69" s="216">
        <f>$E$69*Quantidades!T71</f>
        <v>152897.83274006229</v>
      </c>
      <c r="U69" s="216">
        <f>$E$69*Quantidades!U71</f>
        <v>153030.5978396654</v>
      </c>
      <c r="V69" s="216">
        <f>$E$69*Quantidades!V71</f>
        <v>153030.5978396654</v>
      </c>
      <c r="W69" s="216">
        <f>$E$69*Quantidades!W71</f>
        <v>153030.5978396654</v>
      </c>
      <c r="X69" s="216">
        <f>$E$69*Quantidades!X71</f>
        <v>153030.5978396654</v>
      </c>
      <c r="Y69" s="216">
        <f>$E$69*Quantidades!Y71</f>
        <v>163229.75868688978</v>
      </c>
      <c r="Z69" s="216">
        <f>$E$69*Quantidades!Z71</f>
        <v>163229.75868688978</v>
      </c>
      <c r="AA69" s="216">
        <f>$E$69*Quantidades!AA71</f>
        <v>163229.75868688978</v>
      </c>
      <c r="AB69" s="216">
        <f>$E$69*Quantidades!AB71</f>
        <v>163229.75868688978</v>
      </c>
      <c r="AC69" s="216">
        <f>$E$69*Quantidades!AC71</f>
        <v>172673.99675237099</v>
      </c>
      <c r="AD69" s="216">
        <f>$E$69*Quantidades!AD71</f>
        <v>172673.99675237099</v>
      </c>
      <c r="AE69" s="216">
        <f>$E$69*Quantidades!AE71</f>
        <v>172673.99675237099</v>
      </c>
      <c r="AF69" s="216">
        <f>$E$69*Quantidades!AF71</f>
        <v>172673.99675237099</v>
      </c>
      <c r="AG69" s="216">
        <f>$E$69*Quantidades!AG71</f>
        <v>172673.99675237099</v>
      </c>
      <c r="AH69" s="216">
        <f>$E$69*Quantidades!AH71</f>
        <v>172673.99675237099</v>
      </c>
      <c r="AI69" s="216">
        <f>$E$69*Quantidades!AI71</f>
        <v>172673.99675237099</v>
      </c>
      <c r="AJ69" s="215">
        <f t="shared" si="15"/>
        <v>4402910.1821954316</v>
      </c>
      <c r="AL69" s="2"/>
      <c r="AM69" s="70"/>
    </row>
    <row r="70" spans="2:39" ht="14.4">
      <c r="B70" s="285" t="s">
        <v>176</v>
      </c>
      <c r="C70" s="287" t="s">
        <v>177</v>
      </c>
      <c r="D70" s="285" t="s">
        <v>135</v>
      </c>
      <c r="E70" s="213">
        <f>VLOOKUP(B70,'Preços Unitários'!B:E,4,FALSE)</f>
        <v>34.484680110263639</v>
      </c>
      <c r="F70" s="214">
        <f>$E$70*Quantidades!F72</f>
        <v>0</v>
      </c>
      <c r="G70" s="216">
        <f>$E$70*Quantidades!G72</f>
        <v>351795.46414485452</v>
      </c>
      <c r="H70" s="216">
        <f>$E$70*Quantidades!H72</f>
        <v>351795.46414485452</v>
      </c>
      <c r="I70" s="216">
        <f>$E$70*Quantidades!I72</f>
        <v>351795.46414485452</v>
      </c>
      <c r="J70" s="216">
        <f>$E$70*Quantidades!J72</f>
        <v>351795.46414485452</v>
      </c>
      <c r="K70" s="216">
        <f>$E$70*Quantidades!K72</f>
        <v>351795.46414485452</v>
      </c>
      <c r="L70" s="216">
        <f>$E$70*Quantidades!L72</f>
        <v>351795.46414485452</v>
      </c>
      <c r="M70" s="216">
        <f>$E$70*Quantidades!M72</f>
        <v>351795.46414485452</v>
      </c>
      <c r="N70" s="216">
        <f>$E$70*Quantidades!N72</f>
        <v>351795.46414485452</v>
      </c>
      <c r="O70" s="216">
        <f>$E$70*Quantidades!O72</f>
        <v>351795.46414485452</v>
      </c>
      <c r="P70" s="216">
        <f>$E$70*Quantidades!P72</f>
        <v>351795.46414485452</v>
      </c>
      <c r="Q70" s="216">
        <f>$E$70*Quantidades!Q72</f>
        <v>351795.46414485452</v>
      </c>
      <c r="R70" s="216">
        <f>$E$70*Quantidades!R72</f>
        <v>351795.46414485452</v>
      </c>
      <c r="S70" s="216">
        <f>$E$70*Quantidades!S72</f>
        <v>351795.46414485452</v>
      </c>
      <c r="T70" s="216">
        <f>$E$70*Quantidades!T72</f>
        <v>351795.46414485452</v>
      </c>
      <c r="U70" s="216">
        <f>$E$70*Quantidades!U72</f>
        <v>351795.46414485452</v>
      </c>
      <c r="V70" s="216">
        <f>$E$70*Quantidades!V72</f>
        <v>351795.46414485452</v>
      </c>
      <c r="W70" s="216">
        <f>$E$70*Quantidades!W72</f>
        <v>351795.46414485452</v>
      </c>
      <c r="X70" s="216">
        <f>$E$70*Quantidades!X72</f>
        <v>351795.46414485452</v>
      </c>
      <c r="Y70" s="216">
        <f>$E$70*Quantidades!Y72</f>
        <v>351795.46414485452</v>
      </c>
      <c r="Z70" s="216">
        <f>$E$70*Quantidades!Z72</f>
        <v>351795.46414485452</v>
      </c>
      <c r="AA70" s="216">
        <f>$E$70*Quantidades!AA72</f>
        <v>351795.46414485452</v>
      </c>
      <c r="AB70" s="216">
        <f>$E$70*Quantidades!AB72</f>
        <v>351795.46414485452</v>
      </c>
      <c r="AC70" s="216">
        <f>$E$70*Quantidades!AC72</f>
        <v>351795.46414485452</v>
      </c>
      <c r="AD70" s="216">
        <f>$E$70*Quantidades!AD72</f>
        <v>351795.46414485452</v>
      </c>
      <c r="AE70" s="216">
        <f>$E$70*Quantidades!AE72</f>
        <v>351795.46414485452</v>
      </c>
      <c r="AF70" s="216">
        <f>$E$70*Quantidades!AF72</f>
        <v>351795.46414485452</v>
      </c>
      <c r="AG70" s="216">
        <f>$E$70*Quantidades!AG72</f>
        <v>351795.46414485452</v>
      </c>
      <c r="AH70" s="216">
        <f>$E$70*Quantidades!AH72</f>
        <v>351795.46414485452</v>
      </c>
      <c r="AI70" s="216">
        <f>$E$70*Quantidades!AI72</f>
        <v>351795.46414485452</v>
      </c>
      <c r="AJ70" s="215">
        <f t="shared" si="15"/>
        <v>10202068.460200779</v>
      </c>
      <c r="AL70" s="2"/>
    </row>
    <row r="71" spans="2:39">
      <c r="B71" s="205"/>
      <c r="C71" s="206" t="s">
        <v>178</v>
      </c>
      <c r="D71" s="205"/>
      <c r="E71" s="207"/>
      <c r="F71" s="208">
        <f t="shared" ref="F71:AH71" si="18">+SUBTOTAL(9,F72:F73)</f>
        <v>0</v>
      </c>
      <c r="G71" s="208">
        <f t="shared" si="18"/>
        <v>68198.189737123117</v>
      </c>
      <c r="H71" s="208">
        <f t="shared" si="18"/>
        <v>68198.189737123117</v>
      </c>
      <c r="I71" s="208">
        <f t="shared" si="18"/>
        <v>68198.189737123117</v>
      </c>
      <c r="J71" s="208">
        <f t="shared" si="18"/>
        <v>68198.189737123117</v>
      </c>
      <c r="K71" s="208">
        <f t="shared" si="18"/>
        <v>68198.189737123117</v>
      </c>
      <c r="L71" s="208">
        <f t="shared" si="18"/>
        <v>68198.189737123117</v>
      </c>
      <c r="M71" s="208">
        <f t="shared" si="18"/>
        <v>68198.189737123117</v>
      </c>
      <c r="N71" s="208">
        <f t="shared" si="18"/>
        <v>68198.189737123117</v>
      </c>
      <c r="O71" s="208">
        <f t="shared" si="18"/>
        <v>68198.189737123117</v>
      </c>
      <c r="P71" s="208">
        <f t="shared" si="18"/>
        <v>68198.189737123117</v>
      </c>
      <c r="Q71" s="208">
        <f t="shared" si="18"/>
        <v>68198.189737123117</v>
      </c>
      <c r="R71" s="208">
        <f t="shared" si="18"/>
        <v>68198.189737123117</v>
      </c>
      <c r="S71" s="208">
        <f t="shared" si="18"/>
        <v>68198.189737123117</v>
      </c>
      <c r="T71" s="208">
        <f t="shared" si="18"/>
        <v>68198.189737123117</v>
      </c>
      <c r="U71" s="208">
        <f t="shared" si="18"/>
        <v>68198.189737123117</v>
      </c>
      <c r="V71" s="208">
        <f t="shared" si="18"/>
        <v>68198.189737123117</v>
      </c>
      <c r="W71" s="208">
        <f t="shared" si="18"/>
        <v>68198.189737123117</v>
      </c>
      <c r="X71" s="208">
        <f t="shared" si="18"/>
        <v>68198.189737123117</v>
      </c>
      <c r="Y71" s="208">
        <f t="shared" si="18"/>
        <v>68198.189737123117</v>
      </c>
      <c r="Z71" s="208">
        <f t="shared" si="18"/>
        <v>68198.189737123117</v>
      </c>
      <c r="AA71" s="208">
        <f t="shared" si="18"/>
        <v>68198.189737123117</v>
      </c>
      <c r="AB71" s="208">
        <f t="shared" si="18"/>
        <v>68198.189737123117</v>
      </c>
      <c r="AC71" s="208">
        <f t="shared" si="18"/>
        <v>68198.189737123117</v>
      </c>
      <c r="AD71" s="208">
        <f t="shared" si="18"/>
        <v>68198.189737123117</v>
      </c>
      <c r="AE71" s="208">
        <f t="shared" si="18"/>
        <v>68198.189737123117</v>
      </c>
      <c r="AF71" s="208">
        <f t="shared" si="18"/>
        <v>68198.189737123117</v>
      </c>
      <c r="AG71" s="208">
        <f t="shared" si="18"/>
        <v>68198.189737123117</v>
      </c>
      <c r="AH71" s="208">
        <f t="shared" si="18"/>
        <v>68198.189737123117</v>
      </c>
      <c r="AI71" s="208">
        <f>+SUBTOTAL(9,AI72:AI73)</f>
        <v>68198.189737123117</v>
      </c>
      <c r="AJ71" s="208">
        <f t="shared" si="15"/>
        <v>1977747.5023765713</v>
      </c>
    </row>
    <row r="72" spans="2:39">
      <c r="B72" s="43"/>
      <c r="C72" s="38" t="s">
        <v>179</v>
      </c>
      <c r="D72" s="55"/>
      <c r="E72" s="46"/>
      <c r="F72" s="217">
        <f>+SUBTOTAL(9,F73)</f>
        <v>0</v>
      </c>
      <c r="G72" s="211">
        <f>+SUBTOTAL(9,G73)</f>
        <v>68198.189737123117</v>
      </c>
      <c r="H72" s="211">
        <f t="shared" ref="H72:AI72" si="19">+SUBTOTAL(9,H73)</f>
        <v>68198.189737123117</v>
      </c>
      <c r="I72" s="211">
        <f t="shared" si="19"/>
        <v>68198.189737123117</v>
      </c>
      <c r="J72" s="211">
        <f t="shared" si="19"/>
        <v>68198.189737123117</v>
      </c>
      <c r="K72" s="211">
        <f t="shared" si="19"/>
        <v>68198.189737123117</v>
      </c>
      <c r="L72" s="211">
        <f t="shared" si="19"/>
        <v>68198.189737123117</v>
      </c>
      <c r="M72" s="211">
        <f t="shared" si="19"/>
        <v>68198.189737123117</v>
      </c>
      <c r="N72" s="211">
        <f t="shared" si="19"/>
        <v>68198.189737123117</v>
      </c>
      <c r="O72" s="211">
        <f t="shared" si="19"/>
        <v>68198.189737123117</v>
      </c>
      <c r="P72" s="211">
        <f t="shared" si="19"/>
        <v>68198.189737123117</v>
      </c>
      <c r="Q72" s="211">
        <f t="shared" si="19"/>
        <v>68198.189737123117</v>
      </c>
      <c r="R72" s="211">
        <f t="shared" si="19"/>
        <v>68198.189737123117</v>
      </c>
      <c r="S72" s="211">
        <f t="shared" si="19"/>
        <v>68198.189737123117</v>
      </c>
      <c r="T72" s="211">
        <f t="shared" si="19"/>
        <v>68198.189737123117</v>
      </c>
      <c r="U72" s="211">
        <f t="shared" si="19"/>
        <v>68198.189737123117</v>
      </c>
      <c r="V72" s="211">
        <f t="shared" si="19"/>
        <v>68198.189737123117</v>
      </c>
      <c r="W72" s="211">
        <f t="shared" si="19"/>
        <v>68198.189737123117</v>
      </c>
      <c r="X72" s="211">
        <f t="shared" si="19"/>
        <v>68198.189737123117</v>
      </c>
      <c r="Y72" s="211">
        <f t="shared" si="19"/>
        <v>68198.189737123117</v>
      </c>
      <c r="Z72" s="211">
        <f t="shared" si="19"/>
        <v>68198.189737123117</v>
      </c>
      <c r="AA72" s="211">
        <f t="shared" si="19"/>
        <v>68198.189737123117</v>
      </c>
      <c r="AB72" s="211">
        <f t="shared" si="19"/>
        <v>68198.189737123117</v>
      </c>
      <c r="AC72" s="211">
        <f t="shared" si="19"/>
        <v>68198.189737123117</v>
      </c>
      <c r="AD72" s="211">
        <f t="shared" si="19"/>
        <v>68198.189737123117</v>
      </c>
      <c r="AE72" s="211">
        <f t="shared" si="19"/>
        <v>68198.189737123117</v>
      </c>
      <c r="AF72" s="211">
        <f t="shared" si="19"/>
        <v>68198.189737123117</v>
      </c>
      <c r="AG72" s="211">
        <f t="shared" si="19"/>
        <v>68198.189737123117</v>
      </c>
      <c r="AH72" s="211">
        <f t="shared" si="19"/>
        <v>68198.189737123117</v>
      </c>
      <c r="AI72" s="211">
        <f t="shared" si="19"/>
        <v>68198.189737123117</v>
      </c>
      <c r="AJ72" s="212">
        <f t="shared" si="15"/>
        <v>1977747.5023765713</v>
      </c>
    </row>
    <row r="73" spans="2:39" ht="14.4">
      <c r="B73" s="285" t="s">
        <v>180</v>
      </c>
      <c r="C73" s="287" t="s">
        <v>181</v>
      </c>
      <c r="D73" s="285" t="s">
        <v>182</v>
      </c>
      <c r="E73" s="213">
        <f>VLOOKUP(B73,'Preços Unitários'!B:E,4,FALSE)</f>
        <v>10376.129421021427</v>
      </c>
      <c r="F73" s="214">
        <f>$E$73*Quantidades!F75</f>
        <v>0</v>
      </c>
      <c r="G73" s="216">
        <f>$E$73*Quantidades!G75</f>
        <v>68198.189737123117</v>
      </c>
      <c r="H73" s="216">
        <f>$E$73*Quantidades!H75</f>
        <v>68198.189737123117</v>
      </c>
      <c r="I73" s="216">
        <f>$E$73*Quantidades!I75</f>
        <v>68198.189737123117</v>
      </c>
      <c r="J73" s="216">
        <f>$E$73*Quantidades!J75</f>
        <v>68198.189737123117</v>
      </c>
      <c r="K73" s="216">
        <f>$E$73*Quantidades!K75</f>
        <v>68198.189737123117</v>
      </c>
      <c r="L73" s="216">
        <f>$E$73*Quantidades!L75</f>
        <v>68198.189737123117</v>
      </c>
      <c r="M73" s="216">
        <f>$E$73*Quantidades!M75</f>
        <v>68198.189737123117</v>
      </c>
      <c r="N73" s="216">
        <f>$E$73*Quantidades!N75</f>
        <v>68198.189737123117</v>
      </c>
      <c r="O73" s="216">
        <f>$E$73*Quantidades!O75</f>
        <v>68198.189737123117</v>
      </c>
      <c r="P73" s="216">
        <f>$E$73*Quantidades!P75</f>
        <v>68198.189737123117</v>
      </c>
      <c r="Q73" s="216">
        <f>$E$73*Quantidades!Q75</f>
        <v>68198.189737123117</v>
      </c>
      <c r="R73" s="216">
        <f>$E$73*Quantidades!R75</f>
        <v>68198.189737123117</v>
      </c>
      <c r="S73" s="216">
        <f>$E$73*Quantidades!S75</f>
        <v>68198.189737123117</v>
      </c>
      <c r="T73" s="216">
        <f>$E$73*Quantidades!T75</f>
        <v>68198.189737123117</v>
      </c>
      <c r="U73" s="216">
        <f>$E$73*Quantidades!U75</f>
        <v>68198.189737123117</v>
      </c>
      <c r="V73" s="216">
        <f>$E$73*Quantidades!V75</f>
        <v>68198.189737123117</v>
      </c>
      <c r="W73" s="216">
        <f>$E$73*Quantidades!W75</f>
        <v>68198.189737123117</v>
      </c>
      <c r="X73" s="216">
        <f>$E$73*Quantidades!X75</f>
        <v>68198.189737123117</v>
      </c>
      <c r="Y73" s="216">
        <f>$E$73*Quantidades!Y75</f>
        <v>68198.189737123117</v>
      </c>
      <c r="Z73" s="216">
        <f>$E$73*Quantidades!Z75</f>
        <v>68198.189737123117</v>
      </c>
      <c r="AA73" s="216">
        <f>$E$73*Quantidades!AA75</f>
        <v>68198.189737123117</v>
      </c>
      <c r="AB73" s="216">
        <f>$E$73*Quantidades!AB75</f>
        <v>68198.189737123117</v>
      </c>
      <c r="AC73" s="216">
        <f>$E$73*Quantidades!AC75</f>
        <v>68198.189737123117</v>
      </c>
      <c r="AD73" s="216">
        <f>$E$73*Quantidades!AD75</f>
        <v>68198.189737123117</v>
      </c>
      <c r="AE73" s="216">
        <f>$E$73*Quantidades!AE75</f>
        <v>68198.189737123117</v>
      </c>
      <c r="AF73" s="216">
        <f>$E$73*Quantidades!AF75</f>
        <v>68198.189737123117</v>
      </c>
      <c r="AG73" s="216">
        <f>$E$73*Quantidades!AG75</f>
        <v>68198.189737123117</v>
      </c>
      <c r="AH73" s="216">
        <f>$E$73*Quantidades!AH75</f>
        <v>68198.189737123117</v>
      </c>
      <c r="AI73" s="216">
        <f>$E$73*Quantidades!AI75</f>
        <v>68198.189737123117</v>
      </c>
      <c r="AJ73" s="215">
        <f t="shared" si="15"/>
        <v>1977747.5023765713</v>
      </c>
      <c r="AK73" s="2"/>
    </row>
    <row r="74" spans="2:39">
      <c r="B74" s="205"/>
      <c r="C74" s="206" t="s">
        <v>183</v>
      </c>
      <c r="D74" s="205"/>
      <c r="E74" s="207"/>
      <c r="F74" s="208">
        <f t="shared" ref="F74:AH74" si="20">+SUBTOTAL(9,F75:F76)</f>
        <v>0</v>
      </c>
      <c r="G74" s="208">
        <f t="shared" si="20"/>
        <v>103876.75480698903</v>
      </c>
      <c r="H74" s="208">
        <f t="shared" si="20"/>
        <v>103876.75480698903</v>
      </c>
      <c r="I74" s="208">
        <f t="shared" si="20"/>
        <v>103876.75480698903</v>
      </c>
      <c r="J74" s="208">
        <f t="shared" si="20"/>
        <v>103876.75480698903</v>
      </c>
      <c r="K74" s="208">
        <f t="shared" si="20"/>
        <v>103876.75480698903</v>
      </c>
      <c r="L74" s="208">
        <f t="shared" si="20"/>
        <v>103876.75480698903</v>
      </c>
      <c r="M74" s="208">
        <f t="shared" si="20"/>
        <v>103876.75480698903</v>
      </c>
      <c r="N74" s="208">
        <f t="shared" si="20"/>
        <v>103876.75480698903</v>
      </c>
      <c r="O74" s="208">
        <f t="shared" si="20"/>
        <v>103876.75480698903</v>
      </c>
      <c r="P74" s="208">
        <f t="shared" si="20"/>
        <v>103876.75480698903</v>
      </c>
      <c r="Q74" s="208">
        <f t="shared" si="20"/>
        <v>103876.75480698903</v>
      </c>
      <c r="R74" s="208">
        <f t="shared" si="20"/>
        <v>103876.75480698903</v>
      </c>
      <c r="S74" s="208">
        <f t="shared" si="20"/>
        <v>103876.75480698903</v>
      </c>
      <c r="T74" s="208">
        <f t="shared" si="20"/>
        <v>103876.75480698903</v>
      </c>
      <c r="U74" s="208">
        <f t="shared" si="20"/>
        <v>103876.75480698903</v>
      </c>
      <c r="V74" s="208">
        <f t="shared" si="20"/>
        <v>103876.75480698903</v>
      </c>
      <c r="W74" s="208">
        <f t="shared" si="20"/>
        <v>103876.75480698903</v>
      </c>
      <c r="X74" s="208">
        <f t="shared" si="20"/>
        <v>103876.75480698903</v>
      </c>
      <c r="Y74" s="208">
        <f t="shared" si="20"/>
        <v>103876.75480698903</v>
      </c>
      <c r="Z74" s="208">
        <f t="shared" si="20"/>
        <v>103876.75480698903</v>
      </c>
      <c r="AA74" s="208">
        <f t="shared" si="20"/>
        <v>103876.75480698903</v>
      </c>
      <c r="AB74" s="208">
        <f t="shared" si="20"/>
        <v>103876.75480698903</v>
      </c>
      <c r="AC74" s="208">
        <f t="shared" si="20"/>
        <v>103876.75480698903</v>
      </c>
      <c r="AD74" s="208">
        <f t="shared" si="20"/>
        <v>103876.75480698903</v>
      </c>
      <c r="AE74" s="208">
        <f t="shared" si="20"/>
        <v>103876.75480698903</v>
      </c>
      <c r="AF74" s="208">
        <f t="shared" si="20"/>
        <v>103876.75480698903</v>
      </c>
      <c r="AG74" s="208">
        <f t="shared" si="20"/>
        <v>103876.75480698903</v>
      </c>
      <c r="AH74" s="208">
        <f t="shared" si="20"/>
        <v>103876.75480698903</v>
      </c>
      <c r="AI74" s="208">
        <f>+SUBTOTAL(9,AI75:AI76)</f>
        <v>103876.75480698903</v>
      </c>
      <c r="AJ74" s="208">
        <f t="shared" si="15"/>
        <v>3012425.889402681</v>
      </c>
    </row>
    <row r="75" spans="2:39">
      <c r="B75" s="43"/>
      <c r="C75" s="38" t="s">
        <v>184</v>
      </c>
      <c r="D75" s="55"/>
      <c r="E75" s="46"/>
      <c r="F75" s="217"/>
      <c r="G75" s="211">
        <f>+SUBTOTAL(9,G76)</f>
        <v>103876.75480698903</v>
      </c>
      <c r="H75" s="211">
        <f t="shared" ref="H75:AI75" si="21">+SUBTOTAL(9,H76)</f>
        <v>103876.75480698903</v>
      </c>
      <c r="I75" s="211">
        <f t="shared" si="21"/>
        <v>103876.75480698903</v>
      </c>
      <c r="J75" s="211">
        <f t="shared" si="21"/>
        <v>103876.75480698903</v>
      </c>
      <c r="K75" s="211">
        <f t="shared" si="21"/>
        <v>103876.75480698903</v>
      </c>
      <c r="L75" s="211">
        <f t="shared" si="21"/>
        <v>103876.75480698903</v>
      </c>
      <c r="M75" s="211">
        <f t="shared" si="21"/>
        <v>103876.75480698903</v>
      </c>
      <c r="N75" s="211">
        <f t="shared" si="21"/>
        <v>103876.75480698903</v>
      </c>
      <c r="O75" s="211">
        <f t="shared" si="21"/>
        <v>103876.75480698903</v>
      </c>
      <c r="P75" s="211">
        <f t="shared" si="21"/>
        <v>103876.75480698903</v>
      </c>
      <c r="Q75" s="211">
        <f t="shared" si="21"/>
        <v>103876.75480698903</v>
      </c>
      <c r="R75" s="211">
        <f t="shared" si="21"/>
        <v>103876.75480698903</v>
      </c>
      <c r="S75" s="211">
        <f t="shared" si="21"/>
        <v>103876.75480698903</v>
      </c>
      <c r="T75" s="211">
        <f t="shared" si="21"/>
        <v>103876.75480698903</v>
      </c>
      <c r="U75" s="211">
        <f t="shared" si="21"/>
        <v>103876.75480698903</v>
      </c>
      <c r="V75" s="211">
        <f t="shared" si="21"/>
        <v>103876.75480698903</v>
      </c>
      <c r="W75" s="211">
        <f t="shared" si="21"/>
        <v>103876.75480698903</v>
      </c>
      <c r="X75" s="211">
        <f t="shared" si="21"/>
        <v>103876.75480698903</v>
      </c>
      <c r="Y75" s="211">
        <f t="shared" si="21"/>
        <v>103876.75480698903</v>
      </c>
      <c r="Z75" s="211">
        <f t="shared" si="21"/>
        <v>103876.75480698903</v>
      </c>
      <c r="AA75" s="211">
        <f t="shared" si="21"/>
        <v>103876.75480698903</v>
      </c>
      <c r="AB75" s="211">
        <f t="shared" si="21"/>
        <v>103876.75480698903</v>
      </c>
      <c r="AC75" s="211">
        <f t="shared" si="21"/>
        <v>103876.75480698903</v>
      </c>
      <c r="AD75" s="211">
        <f t="shared" si="21"/>
        <v>103876.75480698903</v>
      </c>
      <c r="AE75" s="211">
        <f t="shared" si="21"/>
        <v>103876.75480698903</v>
      </c>
      <c r="AF75" s="211">
        <f t="shared" si="21"/>
        <v>103876.75480698903</v>
      </c>
      <c r="AG75" s="211">
        <f t="shared" si="21"/>
        <v>103876.75480698903</v>
      </c>
      <c r="AH75" s="211">
        <f t="shared" si="21"/>
        <v>103876.75480698903</v>
      </c>
      <c r="AI75" s="211">
        <f t="shared" si="21"/>
        <v>103876.75480698903</v>
      </c>
      <c r="AJ75" s="212">
        <f t="shared" si="15"/>
        <v>3012425.889402681</v>
      </c>
    </row>
    <row r="76" spans="2:39" ht="14.4">
      <c r="B76" s="285" t="s">
        <v>185</v>
      </c>
      <c r="C76" s="287" t="s">
        <v>186</v>
      </c>
      <c r="D76" s="285" t="s">
        <v>182</v>
      </c>
      <c r="E76" s="213">
        <f>VLOOKUP(B76,'Preços Unitários'!B:E,4,FALSE)</f>
        <v>15804.505308244499</v>
      </c>
      <c r="F76" s="214">
        <f>$E$76*Quantidades!F78</f>
        <v>0</v>
      </c>
      <c r="G76" s="216">
        <f>$E$76*Quantidades!G78</f>
        <v>103876.75480698903</v>
      </c>
      <c r="H76" s="216">
        <f>$E$76*Quantidades!H78</f>
        <v>103876.75480698903</v>
      </c>
      <c r="I76" s="216">
        <f>$E$76*Quantidades!I78</f>
        <v>103876.75480698903</v>
      </c>
      <c r="J76" s="216">
        <f>$E$76*Quantidades!J78</f>
        <v>103876.75480698903</v>
      </c>
      <c r="K76" s="216">
        <f>$E$76*Quantidades!K78</f>
        <v>103876.75480698903</v>
      </c>
      <c r="L76" s="216">
        <f>$E$76*Quantidades!L78</f>
        <v>103876.75480698903</v>
      </c>
      <c r="M76" s="216">
        <f>$E$76*Quantidades!M78</f>
        <v>103876.75480698903</v>
      </c>
      <c r="N76" s="216">
        <f>$E$76*Quantidades!N78</f>
        <v>103876.75480698903</v>
      </c>
      <c r="O76" s="216">
        <f>$E$76*Quantidades!O78</f>
        <v>103876.75480698903</v>
      </c>
      <c r="P76" s="216">
        <f>$E$76*Quantidades!P78</f>
        <v>103876.75480698903</v>
      </c>
      <c r="Q76" s="216">
        <f>$E$76*Quantidades!Q78</f>
        <v>103876.75480698903</v>
      </c>
      <c r="R76" s="216">
        <f>$E$76*Quantidades!R78</f>
        <v>103876.75480698903</v>
      </c>
      <c r="S76" s="216">
        <f>$E$76*Quantidades!S78</f>
        <v>103876.75480698903</v>
      </c>
      <c r="T76" s="216">
        <f>$E$76*Quantidades!T78</f>
        <v>103876.75480698903</v>
      </c>
      <c r="U76" s="216">
        <f>$E$76*Quantidades!U78</f>
        <v>103876.75480698903</v>
      </c>
      <c r="V76" s="216">
        <f>$E$76*Quantidades!V78</f>
        <v>103876.75480698903</v>
      </c>
      <c r="W76" s="216">
        <f>$E$76*Quantidades!W78</f>
        <v>103876.75480698903</v>
      </c>
      <c r="X76" s="216">
        <f>$E$76*Quantidades!X78</f>
        <v>103876.75480698903</v>
      </c>
      <c r="Y76" s="216">
        <f>$E$76*Quantidades!Y78</f>
        <v>103876.75480698903</v>
      </c>
      <c r="Z76" s="216">
        <f>$E$76*Quantidades!Z78</f>
        <v>103876.75480698903</v>
      </c>
      <c r="AA76" s="216">
        <f>$E$76*Quantidades!AA78</f>
        <v>103876.75480698903</v>
      </c>
      <c r="AB76" s="216">
        <f>$E$76*Quantidades!AB78</f>
        <v>103876.75480698903</v>
      </c>
      <c r="AC76" s="216">
        <f>$E$76*Quantidades!AC78</f>
        <v>103876.75480698903</v>
      </c>
      <c r="AD76" s="216">
        <f>$E$76*Quantidades!AD78</f>
        <v>103876.75480698903</v>
      </c>
      <c r="AE76" s="216">
        <f>$E$76*Quantidades!AE78</f>
        <v>103876.75480698903</v>
      </c>
      <c r="AF76" s="216">
        <f>$E$76*Quantidades!AF78</f>
        <v>103876.75480698903</v>
      </c>
      <c r="AG76" s="216">
        <f>$E$76*Quantidades!AG78</f>
        <v>103876.75480698903</v>
      </c>
      <c r="AH76" s="216">
        <f>$E$76*Quantidades!AH78</f>
        <v>103876.75480698903</v>
      </c>
      <c r="AI76" s="216">
        <f>$E$76*Quantidades!AI78</f>
        <v>103876.75480698903</v>
      </c>
      <c r="AJ76" s="215">
        <f t="shared" si="15"/>
        <v>3012425.889402681</v>
      </c>
      <c r="AK76" s="2"/>
    </row>
    <row r="77" spans="2:39" hidden="1">
      <c r="B77" s="218"/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/>
      <c r="AH77" s="218"/>
      <c r="AI77" s="218"/>
      <c r="AJ77" s="218"/>
    </row>
    <row r="78" spans="2:39" hidden="1">
      <c r="B78" s="71"/>
      <c r="C78" s="219" t="s">
        <v>187</v>
      </c>
      <c r="D78" s="219"/>
      <c r="E78" s="220"/>
      <c r="F78" s="221">
        <f t="shared" ref="F78:AI78" si="22">+SUM(F74,F71,F63,F58,F51,F43,F30,F17)</f>
        <v>0</v>
      </c>
      <c r="G78" s="221">
        <f t="shared" si="22"/>
        <v>4786461.924985894</v>
      </c>
      <c r="H78" s="221">
        <f t="shared" si="22"/>
        <v>4914326.4933392545</v>
      </c>
      <c r="I78" s="221">
        <f t="shared" si="22"/>
        <v>5042191.0616926141</v>
      </c>
      <c r="J78" s="221">
        <f t="shared" si="22"/>
        <v>5170055.6300459746</v>
      </c>
      <c r="K78" s="221">
        <f t="shared" si="22"/>
        <v>5357120.2672757376</v>
      </c>
      <c r="L78" s="221">
        <f t="shared" si="22"/>
        <v>5431885.7064480353</v>
      </c>
      <c r="M78" s="221">
        <f t="shared" si="22"/>
        <v>5562189.3860588092</v>
      </c>
      <c r="N78" s="221">
        <f t="shared" si="22"/>
        <v>5612346.6815328337</v>
      </c>
      <c r="O78" s="221">
        <f t="shared" si="22"/>
        <v>5617228.0107408231</v>
      </c>
      <c r="P78" s="221">
        <f t="shared" si="22"/>
        <v>5619665.5686516576</v>
      </c>
      <c r="Q78" s="221">
        <f t="shared" si="22"/>
        <v>5650990.1900177561</v>
      </c>
      <c r="R78" s="221">
        <f t="shared" si="22"/>
        <v>5655869.9658791665</v>
      </c>
      <c r="S78" s="221">
        <f t="shared" si="22"/>
        <v>5692036.9480353873</v>
      </c>
      <c r="T78" s="221">
        <f t="shared" si="22"/>
        <v>5692035.3946888065</v>
      </c>
      <c r="U78" s="221">
        <f t="shared" si="22"/>
        <v>5694476.0592928026</v>
      </c>
      <c r="V78" s="221">
        <f t="shared" si="22"/>
        <v>5694474.5059462227</v>
      </c>
      <c r="W78" s="221">
        <f t="shared" si="22"/>
        <v>5694474.5059462227</v>
      </c>
      <c r="X78" s="221">
        <f t="shared" si="22"/>
        <v>5694474.5059462227</v>
      </c>
      <c r="Y78" s="221">
        <f t="shared" si="22"/>
        <v>5881849.713082836</v>
      </c>
      <c r="Z78" s="221">
        <f t="shared" si="22"/>
        <v>5881849.713082836</v>
      </c>
      <c r="AA78" s="221">
        <f t="shared" si="22"/>
        <v>5881849.713082836</v>
      </c>
      <c r="AB78" s="221">
        <f t="shared" si="22"/>
        <v>5881849.713082836</v>
      </c>
      <c r="AC78" s="221">
        <f t="shared" si="22"/>
        <v>6055355.7583619058</v>
      </c>
      <c r="AD78" s="221">
        <f t="shared" si="22"/>
        <v>6055355.7583619058</v>
      </c>
      <c r="AE78" s="221">
        <f t="shared" si="22"/>
        <v>6055355.7583619058</v>
      </c>
      <c r="AF78" s="221">
        <f t="shared" si="22"/>
        <v>6055355.7583619058</v>
      </c>
      <c r="AG78" s="221">
        <f t="shared" si="22"/>
        <v>6055355.7583619058</v>
      </c>
      <c r="AH78" s="221">
        <f t="shared" si="22"/>
        <v>6055355.7583619058</v>
      </c>
      <c r="AI78" s="221">
        <f t="shared" si="22"/>
        <v>6055355.7583619058</v>
      </c>
      <c r="AJ78" s="222">
        <f>+SUM(F78:AI78)</f>
        <v>164497191.9673889</v>
      </c>
    </row>
    <row r="79" spans="2:39" hidden="1"/>
    <row r="80" spans="2:39" hidden="1">
      <c r="C80" s="1" t="s">
        <v>188</v>
      </c>
      <c r="AJ80" s="223"/>
    </row>
    <row r="81" spans="2:38" hidden="1">
      <c r="B81" s="36" t="s">
        <v>36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</row>
    <row r="82" spans="2:38" ht="14.4">
      <c r="B82" s="224" t="s">
        <v>72</v>
      </c>
      <c r="C82" s="225" t="str">
        <f>+C17</f>
        <v>PAVIMENTO</v>
      </c>
      <c r="D82" s="226"/>
      <c r="E82" s="226"/>
      <c r="F82" s="208">
        <f t="shared" ref="F82:AJ82" si="23">+F90+F98</f>
        <v>0</v>
      </c>
      <c r="G82" s="208">
        <f t="shared" si="23"/>
        <v>1165374.8854605262</v>
      </c>
      <c r="H82" s="208">
        <f t="shared" si="23"/>
        <v>1243660.8260827335</v>
      </c>
      <c r="I82" s="208">
        <f t="shared" si="23"/>
        <v>1321946.7667049402</v>
      </c>
      <c r="J82" s="208">
        <f t="shared" si="23"/>
        <v>1400232.7073271477</v>
      </c>
      <c r="K82" s="208">
        <f t="shared" si="23"/>
        <v>1514762.3855709084</v>
      </c>
      <c r="L82" s="208">
        <f t="shared" si="23"/>
        <v>1560538.9788227489</v>
      </c>
      <c r="M82" s="208">
        <f t="shared" si="23"/>
        <v>1640318.2816916513</v>
      </c>
      <c r="N82" s="208">
        <f t="shared" si="23"/>
        <v>1671028.373713363</v>
      </c>
      <c r="O82" s="208">
        <f t="shared" si="23"/>
        <v>1674015.0982067534</v>
      </c>
      <c r="P82" s="208">
        <f t="shared" si="23"/>
        <v>1675508.4604534486</v>
      </c>
      <c r="Q82" s="208">
        <f t="shared" si="23"/>
        <v>1694687.1702388101</v>
      </c>
      <c r="R82" s="208">
        <f t="shared" si="23"/>
        <v>1697673.894732201</v>
      </c>
      <c r="S82" s="208">
        <f t="shared" si="23"/>
        <v>1719818.3234760542</v>
      </c>
      <c r="T82" s="208">
        <f t="shared" si="23"/>
        <v>1719818.3234760542</v>
      </c>
      <c r="U82" s="208">
        <f t="shared" si="23"/>
        <v>1721311.6857227497</v>
      </c>
      <c r="V82" s="208">
        <f t="shared" si="23"/>
        <v>1721311.6857227497</v>
      </c>
      <c r="W82" s="208">
        <f t="shared" si="23"/>
        <v>1721311.6857227497</v>
      </c>
      <c r="X82" s="208">
        <f t="shared" si="23"/>
        <v>1721311.6857227497</v>
      </c>
      <c r="Y82" s="208">
        <f t="shared" si="23"/>
        <v>1836033.4145712974</v>
      </c>
      <c r="Z82" s="208">
        <f t="shared" si="23"/>
        <v>1836033.4145712974</v>
      </c>
      <c r="AA82" s="208">
        <f t="shared" si="23"/>
        <v>1836033.4145712974</v>
      </c>
      <c r="AB82" s="208">
        <f t="shared" si="23"/>
        <v>1836033.4145712974</v>
      </c>
      <c r="AC82" s="208">
        <f t="shared" si="23"/>
        <v>1942263.6559370977</v>
      </c>
      <c r="AD82" s="208">
        <f t="shared" si="23"/>
        <v>1942263.6559370977</v>
      </c>
      <c r="AE82" s="208">
        <f t="shared" si="23"/>
        <v>1942263.6559370977</v>
      </c>
      <c r="AF82" s="208">
        <f t="shared" si="23"/>
        <v>1942263.6559370977</v>
      </c>
      <c r="AG82" s="208">
        <f t="shared" si="23"/>
        <v>1942263.6559370977</v>
      </c>
      <c r="AH82" s="208">
        <f t="shared" si="23"/>
        <v>1942263.6559370977</v>
      </c>
      <c r="AI82" s="208">
        <f t="shared" si="23"/>
        <v>1942263.6559370977</v>
      </c>
      <c r="AJ82" s="208">
        <f t="shared" si="23"/>
        <v>49524610.468693197</v>
      </c>
      <c r="AK82" s="2"/>
      <c r="AL82" s="2"/>
    </row>
    <row r="83" spans="2:38" ht="14.4">
      <c r="B83" s="374" t="s">
        <v>74</v>
      </c>
      <c r="C83" s="374" t="str">
        <f>+C18</f>
        <v>Reparos no Pavimento</v>
      </c>
      <c r="D83" s="72" t="s">
        <v>189</v>
      </c>
      <c r="E83" s="288"/>
      <c r="F83" s="289"/>
      <c r="G83" s="290">
        <f t="shared" ref="G83:AJ83" si="24">+G18</f>
        <v>501276.98058763513</v>
      </c>
      <c r="H83" s="290">
        <f t="shared" si="24"/>
        <v>534951.07158373133</v>
      </c>
      <c r="I83" s="290">
        <f t="shared" si="24"/>
        <v>568625.16257982748</v>
      </c>
      <c r="J83" s="290">
        <f t="shared" si="24"/>
        <v>602299.25357592374</v>
      </c>
      <c r="K83" s="290">
        <f t="shared" si="24"/>
        <v>651563.30758462008</v>
      </c>
      <c r="L83" s="290">
        <f t="shared" si="24"/>
        <v>671253.75461000181</v>
      </c>
      <c r="M83" s="290">
        <f t="shared" si="24"/>
        <v>705570.20380969986</v>
      </c>
      <c r="N83" s="290">
        <f t="shared" si="24"/>
        <v>718779.91202829464</v>
      </c>
      <c r="O83" s="290">
        <f t="shared" si="24"/>
        <v>720064.6284354981</v>
      </c>
      <c r="P83" s="290">
        <f t="shared" si="24"/>
        <v>720706.98663909978</v>
      </c>
      <c r="Q83" s="290">
        <f t="shared" si="24"/>
        <v>728956.56010487187</v>
      </c>
      <c r="R83" s="290">
        <f t="shared" si="24"/>
        <v>730241.27651207545</v>
      </c>
      <c r="S83" s="290">
        <f t="shared" si="24"/>
        <v>739766.53101691254</v>
      </c>
      <c r="T83" s="290">
        <f t="shared" si="24"/>
        <v>739766.53101691254</v>
      </c>
      <c r="U83" s="290">
        <f t="shared" si="24"/>
        <v>740408.88922051433</v>
      </c>
      <c r="V83" s="290">
        <f t="shared" si="24"/>
        <v>740408.88922051433</v>
      </c>
      <c r="W83" s="290">
        <f t="shared" si="24"/>
        <v>740408.88922051433</v>
      </c>
      <c r="X83" s="290">
        <f t="shared" si="24"/>
        <v>740408.88922051433</v>
      </c>
      <c r="Y83" s="290">
        <f t="shared" si="24"/>
        <v>789755.55230933486</v>
      </c>
      <c r="Z83" s="290">
        <f t="shared" si="24"/>
        <v>789755.55230933486</v>
      </c>
      <c r="AA83" s="290">
        <f t="shared" si="24"/>
        <v>789755.55230933486</v>
      </c>
      <c r="AB83" s="290">
        <f t="shared" si="24"/>
        <v>789755.55230933486</v>
      </c>
      <c r="AC83" s="290">
        <f t="shared" si="24"/>
        <v>835449.66782813694</v>
      </c>
      <c r="AD83" s="290">
        <f t="shared" si="24"/>
        <v>835449.66782813694</v>
      </c>
      <c r="AE83" s="290">
        <f t="shared" si="24"/>
        <v>835449.66782813694</v>
      </c>
      <c r="AF83" s="290">
        <f t="shared" si="24"/>
        <v>835449.66782813694</v>
      </c>
      <c r="AG83" s="290">
        <f t="shared" si="24"/>
        <v>835449.66782813694</v>
      </c>
      <c r="AH83" s="290">
        <f t="shared" si="24"/>
        <v>835449.66782813694</v>
      </c>
      <c r="AI83" s="290">
        <f t="shared" si="24"/>
        <v>835449.66782813694</v>
      </c>
      <c r="AJ83" s="291">
        <f t="shared" si="24"/>
        <v>21302627.601001445</v>
      </c>
      <c r="AK83" s="2"/>
    </row>
    <row r="84" spans="2:38" ht="14.4">
      <c r="B84" s="375"/>
      <c r="C84" s="375"/>
      <c r="D84" s="73" t="s">
        <v>190</v>
      </c>
      <c r="E84" s="292">
        <v>6.3299999999999995E-2</v>
      </c>
      <c r="F84" s="293"/>
      <c r="G84" s="294">
        <f>+G83*$E84</f>
        <v>31730.832871197301</v>
      </c>
      <c r="H84" s="294">
        <f t="shared" ref="H84:AJ84" si="25">+H83*$E84</f>
        <v>33862.402831250191</v>
      </c>
      <c r="I84" s="294">
        <f t="shared" si="25"/>
        <v>35993.972791303073</v>
      </c>
      <c r="J84" s="294">
        <f t="shared" si="25"/>
        <v>38125.54275135597</v>
      </c>
      <c r="K84" s="294">
        <f t="shared" si="25"/>
        <v>41243.957370106451</v>
      </c>
      <c r="L84" s="294">
        <f t="shared" si="25"/>
        <v>42490.362666813111</v>
      </c>
      <c r="M84" s="294">
        <f t="shared" si="25"/>
        <v>44662.593901153996</v>
      </c>
      <c r="N84" s="294">
        <f t="shared" si="25"/>
        <v>45498.76843139105</v>
      </c>
      <c r="O84" s="294">
        <f t="shared" si="25"/>
        <v>45580.090979967026</v>
      </c>
      <c r="P84" s="294">
        <f t="shared" si="25"/>
        <v>45620.752254255014</v>
      </c>
      <c r="Q84" s="294">
        <f t="shared" si="25"/>
        <v>46142.950254638388</v>
      </c>
      <c r="R84" s="294">
        <f t="shared" si="25"/>
        <v>46224.272803214371</v>
      </c>
      <c r="S84" s="294">
        <f t="shared" si="25"/>
        <v>46827.221413370564</v>
      </c>
      <c r="T84" s="294">
        <f t="shared" si="25"/>
        <v>46827.221413370564</v>
      </c>
      <c r="U84" s="294">
        <f t="shared" si="25"/>
        <v>46867.882687658552</v>
      </c>
      <c r="V84" s="294">
        <f t="shared" si="25"/>
        <v>46867.882687658552</v>
      </c>
      <c r="W84" s="294">
        <f t="shared" si="25"/>
        <v>46867.882687658552</v>
      </c>
      <c r="X84" s="294">
        <f t="shared" si="25"/>
        <v>46867.882687658552</v>
      </c>
      <c r="Y84" s="294">
        <f t="shared" si="25"/>
        <v>49991.526461180896</v>
      </c>
      <c r="Z84" s="294">
        <f t="shared" si="25"/>
        <v>49991.526461180896</v>
      </c>
      <c r="AA84" s="294">
        <f t="shared" si="25"/>
        <v>49991.526461180896</v>
      </c>
      <c r="AB84" s="294">
        <f t="shared" si="25"/>
        <v>49991.526461180896</v>
      </c>
      <c r="AC84" s="294">
        <f t="shared" si="25"/>
        <v>52883.963973521066</v>
      </c>
      <c r="AD84" s="294">
        <f t="shared" si="25"/>
        <v>52883.963973521066</v>
      </c>
      <c r="AE84" s="294">
        <f t="shared" si="25"/>
        <v>52883.963973521066</v>
      </c>
      <c r="AF84" s="294">
        <f t="shared" si="25"/>
        <v>52883.963973521066</v>
      </c>
      <c r="AG84" s="294">
        <f t="shared" si="25"/>
        <v>52883.963973521066</v>
      </c>
      <c r="AH84" s="294">
        <f t="shared" si="25"/>
        <v>52883.963973521066</v>
      </c>
      <c r="AI84" s="294">
        <f t="shared" si="25"/>
        <v>52883.963973521066</v>
      </c>
      <c r="AJ84" s="295">
        <f t="shared" si="25"/>
        <v>1348456.3271433914</v>
      </c>
    </row>
    <row r="85" spans="2:38" ht="14.4">
      <c r="B85" s="375"/>
      <c r="C85" s="375"/>
      <c r="D85" s="73" t="s">
        <v>191</v>
      </c>
      <c r="E85" s="292">
        <v>5.0000000000000001E-3</v>
      </c>
      <c r="F85" s="293"/>
      <c r="G85" s="294">
        <f>+G83*$E85</f>
        <v>2506.3849029381759</v>
      </c>
      <c r="H85" s="294">
        <f t="shared" ref="H85:AJ85" si="26">+H83*$E85</f>
        <v>2674.7553579186565</v>
      </c>
      <c r="I85" s="294">
        <f t="shared" si="26"/>
        <v>2843.1258128991376</v>
      </c>
      <c r="J85" s="294">
        <f t="shared" si="26"/>
        <v>3011.4962678796187</v>
      </c>
      <c r="K85" s="294">
        <f t="shared" si="26"/>
        <v>3257.8165379231004</v>
      </c>
      <c r="L85" s="294">
        <f t="shared" si="26"/>
        <v>3356.2687730500093</v>
      </c>
      <c r="M85" s="294">
        <f t="shared" si="26"/>
        <v>3527.8510190484994</v>
      </c>
      <c r="N85" s="294">
        <f t="shared" si="26"/>
        <v>3593.8995601414731</v>
      </c>
      <c r="O85" s="294">
        <f t="shared" si="26"/>
        <v>3600.3231421774908</v>
      </c>
      <c r="P85" s="294">
        <f t="shared" si="26"/>
        <v>3603.534933195499</v>
      </c>
      <c r="Q85" s="294">
        <f t="shared" si="26"/>
        <v>3644.7828005243596</v>
      </c>
      <c r="R85" s="294">
        <f t="shared" si="26"/>
        <v>3651.2063825603773</v>
      </c>
      <c r="S85" s="294">
        <f t="shared" si="26"/>
        <v>3698.8326550845627</v>
      </c>
      <c r="T85" s="294">
        <f t="shared" si="26"/>
        <v>3698.8326550845627</v>
      </c>
      <c r="U85" s="294">
        <f t="shared" si="26"/>
        <v>3702.0444461025718</v>
      </c>
      <c r="V85" s="294">
        <f t="shared" si="26"/>
        <v>3702.0444461025718</v>
      </c>
      <c r="W85" s="294">
        <f t="shared" si="26"/>
        <v>3702.0444461025718</v>
      </c>
      <c r="X85" s="294">
        <f t="shared" si="26"/>
        <v>3702.0444461025718</v>
      </c>
      <c r="Y85" s="294">
        <f t="shared" si="26"/>
        <v>3948.7777615466744</v>
      </c>
      <c r="Z85" s="294">
        <f t="shared" si="26"/>
        <v>3948.7777615466744</v>
      </c>
      <c r="AA85" s="294">
        <f t="shared" si="26"/>
        <v>3948.7777615466744</v>
      </c>
      <c r="AB85" s="294">
        <f t="shared" si="26"/>
        <v>3948.7777615466744</v>
      </c>
      <c r="AC85" s="294">
        <f t="shared" si="26"/>
        <v>4177.2483391406849</v>
      </c>
      <c r="AD85" s="294">
        <f t="shared" si="26"/>
        <v>4177.2483391406849</v>
      </c>
      <c r="AE85" s="294">
        <f t="shared" si="26"/>
        <v>4177.2483391406849</v>
      </c>
      <c r="AF85" s="294">
        <f t="shared" si="26"/>
        <v>4177.2483391406849</v>
      </c>
      <c r="AG85" s="294">
        <f t="shared" si="26"/>
        <v>4177.2483391406849</v>
      </c>
      <c r="AH85" s="294">
        <f t="shared" si="26"/>
        <v>4177.2483391406849</v>
      </c>
      <c r="AI85" s="294">
        <f t="shared" si="26"/>
        <v>4177.2483391406849</v>
      </c>
      <c r="AJ85" s="295">
        <f t="shared" si="26"/>
        <v>106513.13800500723</v>
      </c>
    </row>
    <row r="86" spans="2:38" ht="14.4">
      <c r="B86" s="375"/>
      <c r="C86" s="375"/>
      <c r="D86" s="73" t="s">
        <v>192</v>
      </c>
      <c r="E86" s="292">
        <v>2.8000000000000001E-2</v>
      </c>
      <c r="F86" s="293"/>
      <c r="G86" s="294">
        <f>+G83*$E86</f>
        <v>14035.755456453784</v>
      </c>
      <c r="H86" s="294">
        <f t="shared" ref="H86:AJ86" si="27">+H83*$E86</f>
        <v>14978.630004344477</v>
      </c>
      <c r="I86" s="294">
        <f t="shared" si="27"/>
        <v>15921.50455223517</v>
      </c>
      <c r="J86" s="294">
        <f t="shared" si="27"/>
        <v>16864.379100125865</v>
      </c>
      <c r="K86" s="294">
        <f t="shared" si="27"/>
        <v>18243.772612369361</v>
      </c>
      <c r="L86" s="294">
        <f t="shared" si="27"/>
        <v>18795.10512908005</v>
      </c>
      <c r="M86" s="294">
        <f t="shared" si="27"/>
        <v>19755.965706671595</v>
      </c>
      <c r="N86" s="294">
        <f t="shared" si="27"/>
        <v>20125.837536792249</v>
      </c>
      <c r="O86" s="294">
        <f t="shared" si="27"/>
        <v>20161.809596193947</v>
      </c>
      <c r="P86" s="294">
        <f t="shared" si="27"/>
        <v>20179.795625894792</v>
      </c>
      <c r="Q86" s="294">
        <f t="shared" si="27"/>
        <v>20410.783682936413</v>
      </c>
      <c r="R86" s="294">
        <f t="shared" si="27"/>
        <v>20446.755742338111</v>
      </c>
      <c r="S86" s="294">
        <f t="shared" si="27"/>
        <v>20713.462868473551</v>
      </c>
      <c r="T86" s="294">
        <f t="shared" si="27"/>
        <v>20713.462868473551</v>
      </c>
      <c r="U86" s="294">
        <f t="shared" si="27"/>
        <v>20731.448898174403</v>
      </c>
      <c r="V86" s="294">
        <f t="shared" si="27"/>
        <v>20731.448898174403</v>
      </c>
      <c r="W86" s="294">
        <f t="shared" si="27"/>
        <v>20731.448898174403</v>
      </c>
      <c r="X86" s="294">
        <f t="shared" si="27"/>
        <v>20731.448898174403</v>
      </c>
      <c r="Y86" s="294">
        <f t="shared" si="27"/>
        <v>22113.155464661377</v>
      </c>
      <c r="Z86" s="294">
        <f t="shared" si="27"/>
        <v>22113.155464661377</v>
      </c>
      <c r="AA86" s="294">
        <f t="shared" si="27"/>
        <v>22113.155464661377</v>
      </c>
      <c r="AB86" s="294">
        <f t="shared" si="27"/>
        <v>22113.155464661377</v>
      </c>
      <c r="AC86" s="294">
        <f t="shared" si="27"/>
        <v>23392.590699187836</v>
      </c>
      <c r="AD86" s="294">
        <f t="shared" si="27"/>
        <v>23392.590699187836</v>
      </c>
      <c r="AE86" s="294">
        <f t="shared" si="27"/>
        <v>23392.590699187836</v>
      </c>
      <c r="AF86" s="294">
        <f t="shared" si="27"/>
        <v>23392.590699187836</v>
      </c>
      <c r="AG86" s="294">
        <f t="shared" si="27"/>
        <v>23392.590699187836</v>
      </c>
      <c r="AH86" s="294">
        <f t="shared" si="27"/>
        <v>23392.590699187836</v>
      </c>
      <c r="AI86" s="294">
        <f t="shared" si="27"/>
        <v>23392.590699187836</v>
      </c>
      <c r="AJ86" s="295">
        <f t="shared" si="27"/>
        <v>596473.57282804046</v>
      </c>
    </row>
    <row r="87" spans="2:38" ht="14.4">
      <c r="B87" s="375"/>
      <c r="C87" s="375"/>
      <c r="D87" s="73" t="s">
        <v>193</v>
      </c>
      <c r="E87" s="292">
        <v>5.0000000000000001E-3</v>
      </c>
      <c r="F87" s="293"/>
      <c r="G87" s="294">
        <f>+G83*$E87</f>
        <v>2506.3849029381759</v>
      </c>
      <c r="H87" s="294">
        <f t="shared" ref="H87:AJ87" si="28">+H83*$E87</f>
        <v>2674.7553579186565</v>
      </c>
      <c r="I87" s="294">
        <f t="shared" si="28"/>
        <v>2843.1258128991376</v>
      </c>
      <c r="J87" s="294">
        <f t="shared" si="28"/>
        <v>3011.4962678796187</v>
      </c>
      <c r="K87" s="294">
        <f t="shared" si="28"/>
        <v>3257.8165379231004</v>
      </c>
      <c r="L87" s="294">
        <f t="shared" si="28"/>
        <v>3356.2687730500093</v>
      </c>
      <c r="M87" s="294">
        <f t="shared" si="28"/>
        <v>3527.8510190484994</v>
      </c>
      <c r="N87" s="294">
        <f t="shared" si="28"/>
        <v>3593.8995601414731</v>
      </c>
      <c r="O87" s="294">
        <f t="shared" si="28"/>
        <v>3600.3231421774908</v>
      </c>
      <c r="P87" s="294">
        <f t="shared" si="28"/>
        <v>3603.534933195499</v>
      </c>
      <c r="Q87" s="294">
        <f t="shared" si="28"/>
        <v>3644.7828005243596</v>
      </c>
      <c r="R87" s="294">
        <f t="shared" si="28"/>
        <v>3651.2063825603773</v>
      </c>
      <c r="S87" s="294">
        <f t="shared" si="28"/>
        <v>3698.8326550845627</v>
      </c>
      <c r="T87" s="294">
        <f t="shared" si="28"/>
        <v>3698.8326550845627</v>
      </c>
      <c r="U87" s="294">
        <f t="shared" si="28"/>
        <v>3702.0444461025718</v>
      </c>
      <c r="V87" s="294">
        <f t="shared" si="28"/>
        <v>3702.0444461025718</v>
      </c>
      <c r="W87" s="294">
        <f t="shared" si="28"/>
        <v>3702.0444461025718</v>
      </c>
      <c r="X87" s="294">
        <f t="shared" si="28"/>
        <v>3702.0444461025718</v>
      </c>
      <c r="Y87" s="294">
        <f t="shared" si="28"/>
        <v>3948.7777615466744</v>
      </c>
      <c r="Z87" s="294">
        <f t="shared" si="28"/>
        <v>3948.7777615466744</v>
      </c>
      <c r="AA87" s="294">
        <f t="shared" si="28"/>
        <v>3948.7777615466744</v>
      </c>
      <c r="AB87" s="294">
        <f t="shared" si="28"/>
        <v>3948.7777615466744</v>
      </c>
      <c r="AC87" s="294">
        <f t="shared" si="28"/>
        <v>4177.2483391406849</v>
      </c>
      <c r="AD87" s="294">
        <f t="shared" si="28"/>
        <v>4177.2483391406849</v>
      </c>
      <c r="AE87" s="294">
        <f t="shared" si="28"/>
        <v>4177.2483391406849</v>
      </c>
      <c r="AF87" s="294">
        <f t="shared" si="28"/>
        <v>4177.2483391406849</v>
      </c>
      <c r="AG87" s="294">
        <f t="shared" si="28"/>
        <v>4177.2483391406849</v>
      </c>
      <c r="AH87" s="294">
        <f t="shared" si="28"/>
        <v>4177.2483391406849</v>
      </c>
      <c r="AI87" s="294">
        <f t="shared" si="28"/>
        <v>4177.2483391406849</v>
      </c>
      <c r="AJ87" s="295">
        <f t="shared" si="28"/>
        <v>106513.13800500723</v>
      </c>
    </row>
    <row r="88" spans="2:38" ht="14.4">
      <c r="B88" s="375"/>
      <c r="C88" s="375"/>
      <c r="D88" s="73" t="s">
        <v>194</v>
      </c>
      <c r="E88" s="296"/>
      <c r="F88" s="293"/>
      <c r="G88" s="294">
        <f>+SUBTOTAL(9,G83:G87)</f>
        <v>552056.33872116252</v>
      </c>
      <c r="H88" s="294">
        <f t="shared" ref="H88:AJ88" si="29">+SUBTOTAL(9,H83:H87)</f>
        <v>589141.61513516342</v>
      </c>
      <c r="I88" s="294">
        <f t="shared" si="29"/>
        <v>626226.89154916385</v>
      </c>
      <c r="J88" s="294">
        <f t="shared" si="29"/>
        <v>663312.16796316474</v>
      </c>
      <c r="K88" s="294">
        <f t="shared" si="29"/>
        <v>717566.67064294207</v>
      </c>
      <c r="L88" s="294">
        <f t="shared" si="29"/>
        <v>739251.75995199499</v>
      </c>
      <c r="M88" s="294">
        <f t="shared" si="29"/>
        <v>777044.46545562241</v>
      </c>
      <c r="N88" s="294">
        <f t="shared" si="29"/>
        <v>791592.317116761</v>
      </c>
      <c r="O88" s="294">
        <f t="shared" si="29"/>
        <v>793007.17529601417</v>
      </c>
      <c r="P88" s="294">
        <f t="shared" si="29"/>
        <v>793714.60438564047</v>
      </c>
      <c r="Q88" s="294">
        <f t="shared" si="29"/>
        <v>802799.85964349553</v>
      </c>
      <c r="R88" s="294">
        <f t="shared" si="29"/>
        <v>804214.71782274882</v>
      </c>
      <c r="S88" s="294">
        <f t="shared" si="29"/>
        <v>814704.88060892583</v>
      </c>
      <c r="T88" s="294">
        <f t="shared" si="29"/>
        <v>814704.88060892583</v>
      </c>
      <c r="U88" s="294">
        <f t="shared" si="29"/>
        <v>815412.30969855248</v>
      </c>
      <c r="V88" s="294">
        <f t="shared" si="29"/>
        <v>815412.30969855248</v>
      </c>
      <c r="W88" s="294">
        <f t="shared" si="29"/>
        <v>815412.30969855248</v>
      </c>
      <c r="X88" s="294">
        <f t="shared" si="29"/>
        <v>815412.30969855248</v>
      </c>
      <c r="Y88" s="294">
        <f t="shared" si="29"/>
        <v>869757.78975827049</v>
      </c>
      <c r="Z88" s="294">
        <f t="shared" si="29"/>
        <v>869757.78975827049</v>
      </c>
      <c r="AA88" s="294">
        <f t="shared" si="29"/>
        <v>869757.78975827049</v>
      </c>
      <c r="AB88" s="294">
        <f t="shared" si="29"/>
        <v>869757.78975827049</v>
      </c>
      <c r="AC88" s="294">
        <f t="shared" si="29"/>
        <v>920080.71917912713</v>
      </c>
      <c r="AD88" s="294">
        <f t="shared" si="29"/>
        <v>920080.71917912713</v>
      </c>
      <c r="AE88" s="294">
        <f t="shared" si="29"/>
        <v>920080.71917912713</v>
      </c>
      <c r="AF88" s="294">
        <f t="shared" si="29"/>
        <v>920080.71917912713</v>
      </c>
      <c r="AG88" s="294">
        <f t="shared" si="29"/>
        <v>920080.71917912713</v>
      </c>
      <c r="AH88" s="294">
        <f t="shared" si="29"/>
        <v>920080.71917912713</v>
      </c>
      <c r="AI88" s="294">
        <f t="shared" si="29"/>
        <v>920080.71917912713</v>
      </c>
      <c r="AJ88" s="295">
        <f t="shared" si="29"/>
        <v>23460583.776982889</v>
      </c>
    </row>
    <row r="89" spans="2:38" ht="14.4">
      <c r="B89" s="375"/>
      <c r="C89" s="375"/>
      <c r="D89" s="73" t="s">
        <v>195</v>
      </c>
      <c r="E89" s="297">
        <f>BDI!$F$33</f>
        <v>0.26450000000000001</v>
      </c>
      <c r="F89" s="293"/>
      <c r="G89" s="294">
        <f>+G88*$E89</f>
        <v>146018.9015917475</v>
      </c>
      <c r="H89" s="294">
        <f t="shared" ref="H89:AJ89" si="30">+H88*$E89</f>
        <v>155827.95720325073</v>
      </c>
      <c r="I89" s="294">
        <f t="shared" si="30"/>
        <v>165637.01281475383</v>
      </c>
      <c r="J89" s="294">
        <f t="shared" si="30"/>
        <v>175446.06842625709</v>
      </c>
      <c r="K89" s="294">
        <f t="shared" si="30"/>
        <v>189796.38438505819</v>
      </c>
      <c r="L89" s="294">
        <f t="shared" si="30"/>
        <v>195532.0905073027</v>
      </c>
      <c r="M89" s="294">
        <f t="shared" si="30"/>
        <v>205528.26111301215</v>
      </c>
      <c r="N89" s="294">
        <f t="shared" si="30"/>
        <v>209376.1678773833</v>
      </c>
      <c r="O89" s="294">
        <f t="shared" si="30"/>
        <v>209750.39786579576</v>
      </c>
      <c r="P89" s="294">
        <f t="shared" si="30"/>
        <v>209937.51286000191</v>
      </c>
      <c r="Q89" s="294">
        <f t="shared" si="30"/>
        <v>212340.56287570458</v>
      </c>
      <c r="R89" s="294">
        <f t="shared" si="30"/>
        <v>212714.79286411707</v>
      </c>
      <c r="S89" s="294">
        <f t="shared" si="30"/>
        <v>215489.44092106089</v>
      </c>
      <c r="T89" s="294">
        <f t="shared" si="30"/>
        <v>215489.44092106089</v>
      </c>
      <c r="U89" s="294">
        <f t="shared" si="30"/>
        <v>215676.55591526715</v>
      </c>
      <c r="V89" s="294">
        <f t="shared" si="30"/>
        <v>215676.55591526715</v>
      </c>
      <c r="W89" s="294">
        <f t="shared" si="30"/>
        <v>215676.55591526715</v>
      </c>
      <c r="X89" s="294">
        <f t="shared" si="30"/>
        <v>215676.55591526715</v>
      </c>
      <c r="Y89" s="294">
        <f t="shared" si="30"/>
        <v>230050.93539106255</v>
      </c>
      <c r="Z89" s="294">
        <f t="shared" si="30"/>
        <v>230050.93539106255</v>
      </c>
      <c r="AA89" s="294">
        <f t="shared" si="30"/>
        <v>230050.93539106255</v>
      </c>
      <c r="AB89" s="294">
        <f t="shared" si="30"/>
        <v>230050.93539106255</v>
      </c>
      <c r="AC89" s="294">
        <f t="shared" si="30"/>
        <v>243361.35022287915</v>
      </c>
      <c r="AD89" s="294">
        <f t="shared" si="30"/>
        <v>243361.35022287915</v>
      </c>
      <c r="AE89" s="294">
        <f t="shared" si="30"/>
        <v>243361.35022287915</v>
      </c>
      <c r="AF89" s="294">
        <f t="shared" si="30"/>
        <v>243361.35022287915</v>
      </c>
      <c r="AG89" s="294">
        <f t="shared" si="30"/>
        <v>243361.35022287915</v>
      </c>
      <c r="AH89" s="294">
        <f t="shared" si="30"/>
        <v>243361.35022287915</v>
      </c>
      <c r="AI89" s="294">
        <f t="shared" si="30"/>
        <v>243361.35022287915</v>
      </c>
      <c r="AJ89" s="295">
        <f t="shared" si="30"/>
        <v>6205324.409011974</v>
      </c>
    </row>
    <row r="90" spans="2:38" ht="14.4">
      <c r="B90" s="376"/>
      <c r="C90" s="376"/>
      <c r="D90" s="74" t="s">
        <v>196</v>
      </c>
      <c r="E90" s="298"/>
      <c r="F90" s="299"/>
      <c r="G90" s="75">
        <f>+SUM(G88:G89)</f>
        <v>698075.24031291006</v>
      </c>
      <c r="H90" s="75">
        <f t="shared" ref="H90:AJ90" si="31">+SUM(H88:H89)</f>
        <v>744969.57233841415</v>
      </c>
      <c r="I90" s="75">
        <f t="shared" si="31"/>
        <v>791863.90436391765</v>
      </c>
      <c r="J90" s="75">
        <f t="shared" si="31"/>
        <v>838758.23638942186</v>
      </c>
      <c r="K90" s="75">
        <f t="shared" si="31"/>
        <v>907363.05502800026</v>
      </c>
      <c r="L90" s="75">
        <f t="shared" si="31"/>
        <v>934783.85045929765</v>
      </c>
      <c r="M90" s="75">
        <f t="shared" si="31"/>
        <v>982572.72656863462</v>
      </c>
      <c r="N90" s="75">
        <f t="shared" si="31"/>
        <v>1000968.4849941443</v>
      </c>
      <c r="O90" s="75">
        <f t="shared" si="31"/>
        <v>1002757.5731618099</v>
      </c>
      <c r="P90" s="75">
        <f t="shared" si="31"/>
        <v>1003652.1172456424</v>
      </c>
      <c r="Q90" s="75">
        <f t="shared" si="31"/>
        <v>1015140.4225192001</v>
      </c>
      <c r="R90" s="75">
        <f t="shared" si="31"/>
        <v>1016929.5106868659</v>
      </c>
      <c r="S90" s="75">
        <f t="shared" si="31"/>
        <v>1030194.3215299867</v>
      </c>
      <c r="T90" s="75">
        <f t="shared" si="31"/>
        <v>1030194.3215299867</v>
      </c>
      <c r="U90" s="75">
        <f t="shared" si="31"/>
        <v>1031088.8656138196</v>
      </c>
      <c r="V90" s="75">
        <f t="shared" si="31"/>
        <v>1031088.8656138196</v>
      </c>
      <c r="W90" s="75">
        <f t="shared" si="31"/>
        <v>1031088.8656138196</v>
      </c>
      <c r="X90" s="75">
        <f t="shared" si="31"/>
        <v>1031088.8656138196</v>
      </c>
      <c r="Y90" s="75">
        <f t="shared" si="31"/>
        <v>1099808.725149333</v>
      </c>
      <c r="Z90" s="75">
        <f t="shared" si="31"/>
        <v>1099808.725149333</v>
      </c>
      <c r="AA90" s="75">
        <f t="shared" si="31"/>
        <v>1099808.725149333</v>
      </c>
      <c r="AB90" s="75">
        <f t="shared" si="31"/>
        <v>1099808.725149333</v>
      </c>
      <c r="AC90" s="75">
        <f t="shared" si="31"/>
        <v>1163442.0694020062</v>
      </c>
      <c r="AD90" s="75">
        <f t="shared" si="31"/>
        <v>1163442.0694020062</v>
      </c>
      <c r="AE90" s="75">
        <f t="shared" si="31"/>
        <v>1163442.0694020062</v>
      </c>
      <c r="AF90" s="75">
        <f t="shared" si="31"/>
        <v>1163442.0694020062</v>
      </c>
      <c r="AG90" s="75">
        <f t="shared" si="31"/>
        <v>1163442.0694020062</v>
      </c>
      <c r="AH90" s="75">
        <f t="shared" si="31"/>
        <v>1163442.0694020062</v>
      </c>
      <c r="AI90" s="75">
        <f t="shared" si="31"/>
        <v>1163442.0694020062</v>
      </c>
      <c r="AJ90" s="227">
        <f t="shared" si="31"/>
        <v>29665908.185994864</v>
      </c>
      <c r="AK90" s="2"/>
    </row>
    <row r="91" spans="2:38" ht="14.4">
      <c r="B91" s="374" t="s">
        <v>76</v>
      </c>
      <c r="C91" s="374" t="str">
        <f>+C25</f>
        <v>Produtos derivados de petróleo</v>
      </c>
      <c r="D91" s="72" t="s">
        <v>189</v>
      </c>
      <c r="E91" s="288"/>
      <c r="F91" s="289"/>
      <c r="G91" s="290">
        <f t="shared" ref="G91:AI91" si="32">+G25</f>
        <v>368970.77773510048</v>
      </c>
      <c r="H91" s="290">
        <f t="shared" si="32"/>
        <v>393756.98581069749</v>
      </c>
      <c r="I91" s="290">
        <f t="shared" si="32"/>
        <v>418543.1938862945</v>
      </c>
      <c r="J91" s="290">
        <f t="shared" si="32"/>
        <v>443329.40196189162</v>
      </c>
      <c r="K91" s="290">
        <f t="shared" si="32"/>
        <v>479590.78444281913</v>
      </c>
      <c r="L91" s="290">
        <f t="shared" si="32"/>
        <v>494084.16800970479</v>
      </c>
      <c r="M91" s="290">
        <f t="shared" si="32"/>
        <v>519343.19134541939</v>
      </c>
      <c r="N91" s="290">
        <f t="shared" si="32"/>
        <v>529066.35140227061</v>
      </c>
      <c r="O91" s="290">
        <f t="shared" si="32"/>
        <v>530011.98192250554</v>
      </c>
      <c r="P91" s="290">
        <f t="shared" si="32"/>
        <v>530484.79718262306</v>
      </c>
      <c r="Q91" s="290">
        <f t="shared" si="32"/>
        <v>536556.99210783304</v>
      </c>
      <c r="R91" s="290">
        <f t="shared" si="32"/>
        <v>537502.62262806797</v>
      </c>
      <c r="S91" s="290">
        <f t="shared" si="32"/>
        <v>544513.79748523876</v>
      </c>
      <c r="T91" s="290">
        <f t="shared" si="32"/>
        <v>544513.79748523876</v>
      </c>
      <c r="U91" s="290">
        <f t="shared" si="32"/>
        <v>544986.61274535628</v>
      </c>
      <c r="V91" s="290">
        <f t="shared" si="32"/>
        <v>544986.61274535628</v>
      </c>
      <c r="W91" s="290">
        <f t="shared" si="32"/>
        <v>544986.61274535628</v>
      </c>
      <c r="X91" s="290">
        <f t="shared" si="32"/>
        <v>544986.61274535628</v>
      </c>
      <c r="Y91" s="290">
        <f t="shared" si="32"/>
        <v>581308.80060479068</v>
      </c>
      <c r="Z91" s="290">
        <f t="shared" si="32"/>
        <v>581308.80060479068</v>
      </c>
      <c r="AA91" s="290">
        <f t="shared" si="32"/>
        <v>581308.80060479068</v>
      </c>
      <c r="AB91" s="290">
        <f t="shared" si="32"/>
        <v>581308.80060479068</v>
      </c>
      <c r="AC91" s="290">
        <f t="shared" si="32"/>
        <v>614942.4881543878</v>
      </c>
      <c r="AD91" s="290">
        <f t="shared" si="32"/>
        <v>614942.4881543878</v>
      </c>
      <c r="AE91" s="290">
        <f t="shared" si="32"/>
        <v>614942.4881543878</v>
      </c>
      <c r="AF91" s="290">
        <f t="shared" si="32"/>
        <v>614942.4881543878</v>
      </c>
      <c r="AG91" s="290">
        <f t="shared" si="32"/>
        <v>614942.4881543878</v>
      </c>
      <c r="AH91" s="290">
        <f t="shared" si="32"/>
        <v>614942.4881543878</v>
      </c>
      <c r="AI91" s="290">
        <f t="shared" si="32"/>
        <v>614942.4881543878</v>
      </c>
      <c r="AJ91" s="291">
        <f t="shared" ref="AJ91:AJ98" si="33">+SUM(F91:AI91)</f>
        <v>15680047.913887</v>
      </c>
    </row>
    <row r="92" spans="2:38" ht="14.4">
      <c r="B92" s="375"/>
      <c r="C92" s="375"/>
      <c r="D92" s="73" t="s">
        <v>190</v>
      </c>
      <c r="E92" s="292">
        <v>6.3299999999999995E-2</v>
      </c>
      <c r="F92" s="293"/>
      <c r="G92" s="294">
        <f t="shared" ref="G92:AI92" si="34">+G91*$E92</f>
        <v>23355.850230631859</v>
      </c>
      <c r="H92" s="294">
        <f t="shared" si="34"/>
        <v>24924.81720181715</v>
      </c>
      <c r="I92" s="294">
        <f t="shared" si="34"/>
        <v>26493.784173002441</v>
      </c>
      <c r="J92" s="294">
        <f t="shared" si="34"/>
        <v>28062.751144187736</v>
      </c>
      <c r="K92" s="294">
        <f t="shared" si="34"/>
        <v>30358.096655230449</v>
      </c>
      <c r="L92" s="294">
        <f t="shared" si="34"/>
        <v>31275.527835014313</v>
      </c>
      <c r="M92" s="294">
        <f t="shared" si="34"/>
        <v>32874.424012165044</v>
      </c>
      <c r="N92" s="294">
        <f t="shared" si="34"/>
        <v>33489.90004376373</v>
      </c>
      <c r="O92" s="294">
        <f t="shared" si="34"/>
        <v>33549.758455694595</v>
      </c>
      <c r="P92" s="294">
        <f t="shared" si="34"/>
        <v>33579.687661660035</v>
      </c>
      <c r="Q92" s="294">
        <f t="shared" si="34"/>
        <v>33964.057600425826</v>
      </c>
      <c r="R92" s="294">
        <f t="shared" si="34"/>
        <v>34023.916012356698</v>
      </c>
      <c r="S92" s="294">
        <f t="shared" si="34"/>
        <v>34467.723380815609</v>
      </c>
      <c r="T92" s="294">
        <f t="shared" si="34"/>
        <v>34467.723380815609</v>
      </c>
      <c r="U92" s="294">
        <f t="shared" si="34"/>
        <v>34497.652586781049</v>
      </c>
      <c r="V92" s="294">
        <f t="shared" si="34"/>
        <v>34497.652586781049</v>
      </c>
      <c r="W92" s="294">
        <f t="shared" si="34"/>
        <v>34497.652586781049</v>
      </c>
      <c r="X92" s="294">
        <f t="shared" si="34"/>
        <v>34497.652586781049</v>
      </c>
      <c r="Y92" s="294">
        <f t="shared" si="34"/>
        <v>36796.847078283245</v>
      </c>
      <c r="Z92" s="294">
        <f t="shared" si="34"/>
        <v>36796.847078283245</v>
      </c>
      <c r="AA92" s="294">
        <f t="shared" si="34"/>
        <v>36796.847078283245</v>
      </c>
      <c r="AB92" s="294">
        <f t="shared" si="34"/>
        <v>36796.847078283245</v>
      </c>
      <c r="AC92" s="294">
        <f t="shared" si="34"/>
        <v>38925.859500172744</v>
      </c>
      <c r="AD92" s="294">
        <f t="shared" si="34"/>
        <v>38925.859500172744</v>
      </c>
      <c r="AE92" s="294">
        <f t="shared" si="34"/>
        <v>38925.859500172744</v>
      </c>
      <c r="AF92" s="294">
        <f t="shared" si="34"/>
        <v>38925.859500172744</v>
      </c>
      <c r="AG92" s="294">
        <f t="shared" si="34"/>
        <v>38925.859500172744</v>
      </c>
      <c r="AH92" s="294">
        <f t="shared" si="34"/>
        <v>38925.859500172744</v>
      </c>
      <c r="AI92" s="294">
        <f t="shared" si="34"/>
        <v>38925.859500172744</v>
      </c>
      <c r="AJ92" s="295">
        <f t="shared" si="33"/>
        <v>992547.03294904763</v>
      </c>
    </row>
    <row r="93" spans="2:38" ht="14.4">
      <c r="B93" s="375"/>
      <c r="C93" s="375"/>
      <c r="D93" s="73" t="s">
        <v>191</v>
      </c>
      <c r="E93" s="292">
        <v>5.0000000000000001E-3</v>
      </c>
      <c r="F93" s="293"/>
      <c r="G93" s="294">
        <f>+G91*$E93</f>
        <v>1844.8538886755025</v>
      </c>
      <c r="H93" s="294">
        <f t="shared" ref="H93:AI93" si="35">+H91*$E93</f>
        <v>1968.7849290534875</v>
      </c>
      <c r="I93" s="294">
        <f t="shared" si="35"/>
        <v>2092.7159694314723</v>
      </c>
      <c r="J93" s="294">
        <f t="shared" si="35"/>
        <v>2216.6470098094583</v>
      </c>
      <c r="K93" s="294">
        <f t="shared" si="35"/>
        <v>2397.9539222140957</v>
      </c>
      <c r="L93" s="294">
        <f t="shared" si="35"/>
        <v>2470.420840048524</v>
      </c>
      <c r="M93" s="294">
        <f t="shared" si="35"/>
        <v>2596.7159567270969</v>
      </c>
      <c r="N93" s="294">
        <f t="shared" si="35"/>
        <v>2645.3317570113531</v>
      </c>
      <c r="O93" s="294">
        <f t="shared" si="35"/>
        <v>2650.0599096125279</v>
      </c>
      <c r="P93" s="294">
        <f t="shared" si="35"/>
        <v>2652.4239859131153</v>
      </c>
      <c r="Q93" s="294">
        <f t="shared" si="35"/>
        <v>2682.7849605391652</v>
      </c>
      <c r="R93" s="294">
        <f t="shared" si="35"/>
        <v>2687.51311314034</v>
      </c>
      <c r="S93" s="294">
        <f t="shared" si="35"/>
        <v>2722.5689874261939</v>
      </c>
      <c r="T93" s="294">
        <f t="shared" si="35"/>
        <v>2722.5689874261939</v>
      </c>
      <c r="U93" s="294">
        <f t="shared" si="35"/>
        <v>2724.9330637267813</v>
      </c>
      <c r="V93" s="294">
        <f t="shared" si="35"/>
        <v>2724.9330637267813</v>
      </c>
      <c r="W93" s="294">
        <f t="shared" si="35"/>
        <v>2724.9330637267813</v>
      </c>
      <c r="X93" s="294">
        <f t="shared" si="35"/>
        <v>2724.9330637267813</v>
      </c>
      <c r="Y93" s="294">
        <f t="shared" si="35"/>
        <v>2906.5440030239533</v>
      </c>
      <c r="Z93" s="294">
        <f t="shared" si="35"/>
        <v>2906.5440030239533</v>
      </c>
      <c r="AA93" s="294">
        <f t="shared" si="35"/>
        <v>2906.5440030239533</v>
      </c>
      <c r="AB93" s="294">
        <f t="shared" si="35"/>
        <v>2906.5440030239533</v>
      </c>
      <c r="AC93" s="294">
        <f t="shared" si="35"/>
        <v>3074.7124407719389</v>
      </c>
      <c r="AD93" s="294">
        <f t="shared" si="35"/>
        <v>3074.7124407719389</v>
      </c>
      <c r="AE93" s="294">
        <f t="shared" si="35"/>
        <v>3074.7124407719389</v>
      </c>
      <c r="AF93" s="294">
        <f t="shared" si="35"/>
        <v>3074.7124407719389</v>
      </c>
      <c r="AG93" s="294">
        <f t="shared" si="35"/>
        <v>3074.7124407719389</v>
      </c>
      <c r="AH93" s="294">
        <f t="shared" si="35"/>
        <v>3074.7124407719389</v>
      </c>
      <c r="AI93" s="294">
        <f t="shared" si="35"/>
        <v>3074.7124407719389</v>
      </c>
      <c r="AJ93" s="295">
        <f t="shared" si="33"/>
        <v>78400.239569435056</v>
      </c>
    </row>
    <row r="94" spans="2:38" ht="14.4">
      <c r="B94" s="375"/>
      <c r="C94" s="375"/>
      <c r="D94" s="73" t="s">
        <v>192</v>
      </c>
      <c r="E94" s="292">
        <v>2.8000000000000001E-2</v>
      </c>
      <c r="F94" s="293"/>
      <c r="G94" s="294">
        <f>+G91*$E94</f>
        <v>10331.181776582813</v>
      </c>
      <c r="H94" s="294">
        <f t="shared" ref="H94:AI94" si="36">+H91*$E94</f>
        <v>11025.19560269953</v>
      </c>
      <c r="I94" s="294">
        <f t="shared" si="36"/>
        <v>11719.209428816246</v>
      </c>
      <c r="J94" s="294">
        <f t="shared" si="36"/>
        <v>12413.223254932966</v>
      </c>
      <c r="K94" s="294">
        <f t="shared" si="36"/>
        <v>13428.541964398935</v>
      </c>
      <c r="L94" s="294">
        <f t="shared" si="36"/>
        <v>13834.356704271735</v>
      </c>
      <c r="M94" s="294">
        <f t="shared" si="36"/>
        <v>14541.609357671743</v>
      </c>
      <c r="N94" s="294">
        <f t="shared" si="36"/>
        <v>14813.857839263577</v>
      </c>
      <c r="O94" s="294">
        <f t="shared" si="36"/>
        <v>14840.335493830155</v>
      </c>
      <c r="P94" s="294">
        <f t="shared" si="36"/>
        <v>14853.574321113447</v>
      </c>
      <c r="Q94" s="294">
        <f t="shared" si="36"/>
        <v>15023.595779019326</v>
      </c>
      <c r="R94" s="294">
        <f t="shared" si="36"/>
        <v>15050.073433585903</v>
      </c>
      <c r="S94" s="294">
        <f t="shared" si="36"/>
        <v>15246.386329586685</v>
      </c>
      <c r="T94" s="294">
        <f t="shared" si="36"/>
        <v>15246.386329586685</v>
      </c>
      <c r="U94" s="294">
        <f t="shared" si="36"/>
        <v>15259.625156869975</v>
      </c>
      <c r="V94" s="294">
        <f t="shared" si="36"/>
        <v>15259.625156869975</v>
      </c>
      <c r="W94" s="294">
        <f t="shared" si="36"/>
        <v>15259.625156869975</v>
      </c>
      <c r="X94" s="294">
        <f t="shared" si="36"/>
        <v>15259.625156869975</v>
      </c>
      <c r="Y94" s="294">
        <f t="shared" si="36"/>
        <v>16276.64641693414</v>
      </c>
      <c r="Z94" s="294">
        <f t="shared" si="36"/>
        <v>16276.64641693414</v>
      </c>
      <c r="AA94" s="294">
        <f t="shared" si="36"/>
        <v>16276.64641693414</v>
      </c>
      <c r="AB94" s="294">
        <f t="shared" si="36"/>
        <v>16276.64641693414</v>
      </c>
      <c r="AC94" s="294">
        <f t="shared" si="36"/>
        <v>17218.38966832286</v>
      </c>
      <c r="AD94" s="294">
        <f t="shared" si="36"/>
        <v>17218.38966832286</v>
      </c>
      <c r="AE94" s="294">
        <f t="shared" si="36"/>
        <v>17218.38966832286</v>
      </c>
      <c r="AF94" s="294">
        <f t="shared" si="36"/>
        <v>17218.38966832286</v>
      </c>
      <c r="AG94" s="294">
        <f t="shared" si="36"/>
        <v>17218.38966832286</v>
      </c>
      <c r="AH94" s="294">
        <f t="shared" si="36"/>
        <v>17218.38966832286</v>
      </c>
      <c r="AI94" s="294">
        <f t="shared" si="36"/>
        <v>17218.38966832286</v>
      </c>
      <c r="AJ94" s="295">
        <f t="shared" si="33"/>
        <v>439041.34158883622</v>
      </c>
    </row>
    <row r="95" spans="2:38" ht="14.4">
      <c r="B95" s="375"/>
      <c r="C95" s="375"/>
      <c r="D95" s="73" t="s">
        <v>193</v>
      </c>
      <c r="E95" s="292">
        <v>5.0000000000000001E-3</v>
      </c>
      <c r="F95" s="293"/>
      <c r="G95" s="294">
        <f>+G91*$E95</f>
        <v>1844.8538886755025</v>
      </c>
      <c r="H95" s="294">
        <f t="shared" ref="H95:AI95" si="37">+H91*$E95</f>
        <v>1968.7849290534875</v>
      </c>
      <c r="I95" s="294">
        <f t="shared" si="37"/>
        <v>2092.7159694314723</v>
      </c>
      <c r="J95" s="294">
        <f t="shared" si="37"/>
        <v>2216.6470098094583</v>
      </c>
      <c r="K95" s="294">
        <f t="shared" si="37"/>
        <v>2397.9539222140957</v>
      </c>
      <c r="L95" s="294">
        <f t="shared" si="37"/>
        <v>2470.420840048524</v>
      </c>
      <c r="M95" s="294">
        <f t="shared" si="37"/>
        <v>2596.7159567270969</v>
      </c>
      <c r="N95" s="294">
        <f t="shared" si="37"/>
        <v>2645.3317570113531</v>
      </c>
      <c r="O95" s="294">
        <f t="shared" si="37"/>
        <v>2650.0599096125279</v>
      </c>
      <c r="P95" s="294">
        <f t="shared" si="37"/>
        <v>2652.4239859131153</v>
      </c>
      <c r="Q95" s="294">
        <f t="shared" si="37"/>
        <v>2682.7849605391652</v>
      </c>
      <c r="R95" s="294">
        <f t="shared" si="37"/>
        <v>2687.51311314034</v>
      </c>
      <c r="S95" s="294">
        <f t="shared" si="37"/>
        <v>2722.5689874261939</v>
      </c>
      <c r="T95" s="294">
        <f t="shared" si="37"/>
        <v>2722.5689874261939</v>
      </c>
      <c r="U95" s="294">
        <f t="shared" si="37"/>
        <v>2724.9330637267813</v>
      </c>
      <c r="V95" s="294">
        <f t="shared" si="37"/>
        <v>2724.9330637267813</v>
      </c>
      <c r="W95" s="294">
        <f t="shared" si="37"/>
        <v>2724.9330637267813</v>
      </c>
      <c r="X95" s="294">
        <f t="shared" si="37"/>
        <v>2724.9330637267813</v>
      </c>
      <c r="Y95" s="294">
        <f t="shared" si="37"/>
        <v>2906.5440030239533</v>
      </c>
      <c r="Z95" s="294">
        <f t="shared" si="37"/>
        <v>2906.5440030239533</v>
      </c>
      <c r="AA95" s="294">
        <f t="shared" si="37"/>
        <v>2906.5440030239533</v>
      </c>
      <c r="AB95" s="294">
        <f t="shared" si="37"/>
        <v>2906.5440030239533</v>
      </c>
      <c r="AC95" s="294">
        <f t="shared" si="37"/>
        <v>3074.7124407719389</v>
      </c>
      <c r="AD95" s="294">
        <f t="shared" si="37"/>
        <v>3074.7124407719389</v>
      </c>
      <c r="AE95" s="294">
        <f t="shared" si="37"/>
        <v>3074.7124407719389</v>
      </c>
      <c r="AF95" s="294">
        <f t="shared" si="37"/>
        <v>3074.7124407719389</v>
      </c>
      <c r="AG95" s="294">
        <f t="shared" si="37"/>
        <v>3074.7124407719389</v>
      </c>
      <c r="AH95" s="294">
        <f t="shared" si="37"/>
        <v>3074.7124407719389</v>
      </c>
      <c r="AI95" s="294">
        <f t="shared" si="37"/>
        <v>3074.7124407719389</v>
      </c>
      <c r="AJ95" s="295">
        <f t="shared" si="33"/>
        <v>78400.239569435056</v>
      </c>
    </row>
    <row r="96" spans="2:38" ht="14.4">
      <c r="B96" s="375"/>
      <c r="C96" s="375"/>
      <c r="D96" s="73" t="s">
        <v>194</v>
      </c>
      <c r="E96" s="296"/>
      <c r="F96" s="293"/>
      <c r="G96" s="294">
        <f t="shared" ref="G96:AI96" si="38">+SUBTOTAL(9,G91:G95)</f>
        <v>406347.51751966617</v>
      </c>
      <c r="H96" s="294">
        <f t="shared" si="38"/>
        <v>433644.56847332121</v>
      </c>
      <c r="I96" s="294">
        <f t="shared" si="38"/>
        <v>460941.61942697607</v>
      </c>
      <c r="J96" s="294">
        <f t="shared" si="38"/>
        <v>488238.67038063123</v>
      </c>
      <c r="K96" s="294">
        <f t="shared" si="38"/>
        <v>528173.33090687671</v>
      </c>
      <c r="L96" s="294">
        <f t="shared" si="38"/>
        <v>544134.89422908798</v>
      </c>
      <c r="M96" s="294">
        <f t="shared" si="38"/>
        <v>571952.65662871022</v>
      </c>
      <c r="N96" s="294">
        <f t="shared" si="38"/>
        <v>582660.77279932064</v>
      </c>
      <c r="O96" s="294">
        <f t="shared" si="38"/>
        <v>583702.19569125527</v>
      </c>
      <c r="P96" s="294">
        <f t="shared" si="38"/>
        <v>584222.90713722282</v>
      </c>
      <c r="Q96" s="294">
        <f t="shared" si="38"/>
        <v>590910.21540835651</v>
      </c>
      <c r="R96" s="294">
        <f t="shared" si="38"/>
        <v>591951.63830029126</v>
      </c>
      <c r="S96" s="294">
        <f t="shared" si="38"/>
        <v>599673.04517049354</v>
      </c>
      <c r="T96" s="294">
        <f t="shared" si="38"/>
        <v>599673.04517049354</v>
      </c>
      <c r="U96" s="294">
        <f t="shared" si="38"/>
        <v>600193.75661646086</v>
      </c>
      <c r="V96" s="294">
        <f t="shared" si="38"/>
        <v>600193.75661646086</v>
      </c>
      <c r="W96" s="294">
        <f t="shared" si="38"/>
        <v>600193.75661646086</v>
      </c>
      <c r="X96" s="294">
        <f t="shared" si="38"/>
        <v>600193.75661646086</v>
      </c>
      <c r="Y96" s="294">
        <f t="shared" si="38"/>
        <v>640195.38210605597</v>
      </c>
      <c r="Z96" s="294">
        <f t="shared" si="38"/>
        <v>640195.38210605597</v>
      </c>
      <c r="AA96" s="294">
        <f t="shared" si="38"/>
        <v>640195.38210605597</v>
      </c>
      <c r="AB96" s="294">
        <f t="shared" si="38"/>
        <v>640195.38210605597</v>
      </c>
      <c r="AC96" s="294">
        <f t="shared" si="38"/>
        <v>677236.16220442741</v>
      </c>
      <c r="AD96" s="294">
        <f t="shared" si="38"/>
        <v>677236.16220442741</v>
      </c>
      <c r="AE96" s="294">
        <f t="shared" si="38"/>
        <v>677236.16220442741</v>
      </c>
      <c r="AF96" s="294">
        <f t="shared" si="38"/>
        <v>677236.16220442741</v>
      </c>
      <c r="AG96" s="294">
        <f t="shared" si="38"/>
        <v>677236.16220442741</v>
      </c>
      <c r="AH96" s="294">
        <f t="shared" si="38"/>
        <v>677236.16220442741</v>
      </c>
      <c r="AI96" s="294">
        <f t="shared" si="38"/>
        <v>677236.16220442741</v>
      </c>
      <c r="AJ96" s="295">
        <f t="shared" si="33"/>
        <v>17268436.767563764</v>
      </c>
    </row>
    <row r="97" spans="2:37" ht="14.4">
      <c r="B97" s="375"/>
      <c r="C97" s="375"/>
      <c r="D97" s="73" t="s">
        <v>197</v>
      </c>
      <c r="E97" s="297">
        <f>BDI!$F$34</f>
        <v>0.15</v>
      </c>
      <c r="F97" s="293"/>
      <c r="G97" s="294">
        <f t="shared" ref="G97:AI97" si="39">+G96*$E97</f>
        <v>60952.127627949922</v>
      </c>
      <c r="H97" s="294">
        <f t="shared" si="39"/>
        <v>65046.685270998176</v>
      </c>
      <c r="I97" s="294">
        <f t="shared" si="39"/>
        <v>69141.242914046408</v>
      </c>
      <c r="J97" s="294">
        <f t="shared" si="39"/>
        <v>73235.800557094684</v>
      </c>
      <c r="K97" s="294">
        <f t="shared" si="39"/>
        <v>79225.999636031498</v>
      </c>
      <c r="L97" s="294">
        <f t="shared" si="39"/>
        <v>81620.2341343632</v>
      </c>
      <c r="M97" s="294">
        <f t="shared" si="39"/>
        <v>85792.89849430653</v>
      </c>
      <c r="N97" s="294">
        <f t="shared" si="39"/>
        <v>87399.115919898089</v>
      </c>
      <c r="O97" s="294">
        <f t="shared" si="39"/>
        <v>87555.329353688285</v>
      </c>
      <c r="P97" s="294">
        <f t="shared" si="39"/>
        <v>87633.436070583426</v>
      </c>
      <c r="Q97" s="294">
        <f t="shared" si="39"/>
        <v>88636.532311253468</v>
      </c>
      <c r="R97" s="294">
        <f t="shared" si="39"/>
        <v>88792.745745043692</v>
      </c>
      <c r="S97" s="294">
        <f t="shared" si="39"/>
        <v>89950.956775574028</v>
      </c>
      <c r="T97" s="294">
        <f t="shared" si="39"/>
        <v>89950.956775574028</v>
      </c>
      <c r="U97" s="294">
        <f t="shared" si="39"/>
        <v>90029.063492469126</v>
      </c>
      <c r="V97" s="294">
        <f t="shared" si="39"/>
        <v>90029.063492469126</v>
      </c>
      <c r="W97" s="294">
        <f t="shared" si="39"/>
        <v>90029.063492469126</v>
      </c>
      <c r="X97" s="294">
        <f t="shared" si="39"/>
        <v>90029.063492469126</v>
      </c>
      <c r="Y97" s="294">
        <f t="shared" si="39"/>
        <v>96029.307315908387</v>
      </c>
      <c r="Z97" s="294">
        <f t="shared" si="39"/>
        <v>96029.307315908387</v>
      </c>
      <c r="AA97" s="294">
        <f t="shared" si="39"/>
        <v>96029.307315908387</v>
      </c>
      <c r="AB97" s="294">
        <f t="shared" si="39"/>
        <v>96029.307315908387</v>
      </c>
      <c r="AC97" s="294">
        <f t="shared" si="39"/>
        <v>101585.42433066411</v>
      </c>
      <c r="AD97" s="294">
        <f t="shared" si="39"/>
        <v>101585.42433066411</v>
      </c>
      <c r="AE97" s="294">
        <f t="shared" si="39"/>
        <v>101585.42433066411</v>
      </c>
      <c r="AF97" s="294">
        <f t="shared" si="39"/>
        <v>101585.42433066411</v>
      </c>
      <c r="AG97" s="294">
        <f t="shared" si="39"/>
        <v>101585.42433066411</v>
      </c>
      <c r="AH97" s="294">
        <f t="shared" si="39"/>
        <v>101585.42433066411</v>
      </c>
      <c r="AI97" s="294">
        <f t="shared" si="39"/>
        <v>101585.42433066411</v>
      </c>
      <c r="AJ97" s="295">
        <f t="shared" si="33"/>
        <v>2590265.5151345651</v>
      </c>
    </row>
    <row r="98" spans="2:37" ht="14.4">
      <c r="B98" s="375"/>
      <c r="C98" s="375"/>
      <c r="D98" s="73" t="s">
        <v>196</v>
      </c>
      <c r="E98" s="296"/>
      <c r="F98" s="293"/>
      <c r="G98" s="76">
        <f t="shared" ref="G98:AI98" si="40">+SUM(G96:G97)</f>
        <v>467299.6451476161</v>
      </c>
      <c r="H98" s="76">
        <f t="shared" si="40"/>
        <v>498691.25374431937</v>
      </c>
      <c r="I98" s="76">
        <f t="shared" si="40"/>
        <v>530082.86234102247</v>
      </c>
      <c r="J98" s="76">
        <f t="shared" si="40"/>
        <v>561474.47093772586</v>
      </c>
      <c r="K98" s="76">
        <f t="shared" si="40"/>
        <v>607399.33054290817</v>
      </c>
      <c r="L98" s="76">
        <f t="shared" si="40"/>
        <v>625755.12836345122</v>
      </c>
      <c r="M98" s="76">
        <f t="shared" si="40"/>
        <v>657745.5551230167</v>
      </c>
      <c r="N98" s="76">
        <f t="shared" si="40"/>
        <v>670059.88871921878</v>
      </c>
      <c r="O98" s="76">
        <f t="shared" si="40"/>
        <v>671257.52504494356</v>
      </c>
      <c r="P98" s="76">
        <f t="shared" si="40"/>
        <v>671856.34320780623</v>
      </c>
      <c r="Q98" s="76">
        <f t="shared" si="40"/>
        <v>679546.74771960999</v>
      </c>
      <c r="R98" s="76">
        <f t="shared" si="40"/>
        <v>680744.384045335</v>
      </c>
      <c r="S98" s="76">
        <f t="shared" si="40"/>
        <v>689624.00194606755</v>
      </c>
      <c r="T98" s="76">
        <f t="shared" si="40"/>
        <v>689624.00194606755</v>
      </c>
      <c r="U98" s="76">
        <f t="shared" si="40"/>
        <v>690222.82010893</v>
      </c>
      <c r="V98" s="76">
        <f t="shared" si="40"/>
        <v>690222.82010893</v>
      </c>
      <c r="W98" s="76">
        <f t="shared" si="40"/>
        <v>690222.82010893</v>
      </c>
      <c r="X98" s="76">
        <f t="shared" si="40"/>
        <v>690222.82010893</v>
      </c>
      <c r="Y98" s="76">
        <f t="shared" si="40"/>
        <v>736224.68942196434</v>
      </c>
      <c r="Z98" s="76">
        <f t="shared" si="40"/>
        <v>736224.68942196434</v>
      </c>
      <c r="AA98" s="76">
        <f t="shared" si="40"/>
        <v>736224.68942196434</v>
      </c>
      <c r="AB98" s="76">
        <f t="shared" si="40"/>
        <v>736224.68942196434</v>
      </c>
      <c r="AC98" s="76">
        <f t="shared" si="40"/>
        <v>778821.58653509151</v>
      </c>
      <c r="AD98" s="76">
        <f t="shared" si="40"/>
        <v>778821.58653509151</v>
      </c>
      <c r="AE98" s="76">
        <f t="shared" si="40"/>
        <v>778821.58653509151</v>
      </c>
      <c r="AF98" s="76">
        <f t="shared" si="40"/>
        <v>778821.58653509151</v>
      </c>
      <c r="AG98" s="76">
        <f t="shared" si="40"/>
        <v>778821.58653509151</v>
      </c>
      <c r="AH98" s="76">
        <f t="shared" si="40"/>
        <v>778821.58653509151</v>
      </c>
      <c r="AI98" s="76">
        <f t="shared" si="40"/>
        <v>778821.58653509151</v>
      </c>
      <c r="AJ98" s="228">
        <f t="shared" si="33"/>
        <v>19858702.282698333</v>
      </c>
      <c r="AK98" s="2"/>
    </row>
    <row r="99" spans="2:37" ht="14.4">
      <c r="B99" s="224" t="s">
        <v>198</v>
      </c>
      <c r="C99" s="225" t="str">
        <f>+C30</f>
        <v>ELEMENTOS DE PROTEÇÃO E SEGURANÇA</v>
      </c>
      <c r="D99" s="226"/>
      <c r="E99" s="226"/>
      <c r="F99" s="208">
        <f t="shared" ref="F99:AJ99" si="41">+F107+F115+F123</f>
        <v>0</v>
      </c>
      <c r="G99" s="208">
        <f t="shared" si="41"/>
        <v>2919514.7117385305</v>
      </c>
      <c r="H99" s="208">
        <f t="shared" si="41"/>
        <v>2949909.653420391</v>
      </c>
      <c r="I99" s="208">
        <f t="shared" si="41"/>
        <v>2980304.5951022515</v>
      </c>
      <c r="J99" s="208">
        <f t="shared" si="41"/>
        <v>3010699.5367841125</v>
      </c>
      <c r="K99" s="208">
        <f t="shared" si="41"/>
        <v>3055166.3064670693</v>
      </c>
      <c r="L99" s="208">
        <f t="shared" si="41"/>
        <v>3072939.3174473988</v>
      </c>
      <c r="M99" s="208">
        <f t="shared" si="41"/>
        <v>3103914.0651332168</v>
      </c>
      <c r="N99" s="208">
        <f t="shared" si="41"/>
        <v>3115837.4251723974</v>
      </c>
      <c r="O99" s="208">
        <f t="shared" si="41"/>
        <v>3116997.037180312</v>
      </c>
      <c r="P99" s="208">
        <f t="shared" si="41"/>
        <v>3117576.843184269</v>
      </c>
      <c r="Q99" s="208">
        <f t="shared" si="41"/>
        <v>3125023.0814337716</v>
      </c>
      <c r="R99" s="208">
        <f t="shared" si="41"/>
        <v>3126182.6934416862</v>
      </c>
      <c r="S99" s="208">
        <f t="shared" si="41"/>
        <v>3134780.3881860808</v>
      </c>
      <c r="T99" s="208">
        <f t="shared" si="41"/>
        <v>3134780.3881860808</v>
      </c>
      <c r="U99" s="208">
        <f t="shared" si="41"/>
        <v>3135360.1941900384</v>
      </c>
      <c r="V99" s="208">
        <f t="shared" si="41"/>
        <v>3135360.1941900384</v>
      </c>
      <c r="W99" s="208">
        <f t="shared" si="41"/>
        <v>3135360.1941900384</v>
      </c>
      <c r="X99" s="208">
        <f t="shared" si="41"/>
        <v>3135360.1941900384</v>
      </c>
      <c r="Y99" s="208">
        <f t="shared" si="41"/>
        <v>3179901.5285634887</v>
      </c>
      <c r="Z99" s="208">
        <f t="shared" si="41"/>
        <v>3179901.5285634887</v>
      </c>
      <c r="AA99" s="208">
        <f t="shared" si="41"/>
        <v>3179901.5285634887</v>
      </c>
      <c r="AB99" s="208">
        <f t="shared" si="41"/>
        <v>3179901.5285634887</v>
      </c>
      <c r="AC99" s="208">
        <f t="shared" si="41"/>
        <v>3221145.9967975146</v>
      </c>
      <c r="AD99" s="208">
        <f t="shared" si="41"/>
        <v>3221145.9967975146</v>
      </c>
      <c r="AE99" s="208">
        <f t="shared" si="41"/>
        <v>3221145.9967975146</v>
      </c>
      <c r="AF99" s="208">
        <f t="shared" si="41"/>
        <v>3221145.9967975146</v>
      </c>
      <c r="AG99" s="208">
        <f t="shared" si="41"/>
        <v>3221145.9967975146</v>
      </c>
      <c r="AH99" s="208">
        <f t="shared" si="41"/>
        <v>3221145.9967975146</v>
      </c>
      <c r="AI99" s="208">
        <f t="shared" si="41"/>
        <v>3221145.9967975146</v>
      </c>
      <c r="AJ99" s="208">
        <f t="shared" si="41"/>
        <v>90772694.911474258</v>
      </c>
    </row>
    <row r="100" spans="2:37" ht="14.4">
      <c r="B100" s="374" t="s">
        <v>199</v>
      </c>
      <c r="C100" s="374" t="str">
        <f>+C31</f>
        <v>Sinalização Horizontal</v>
      </c>
      <c r="D100" s="72" t="s">
        <v>189</v>
      </c>
      <c r="E100" s="288"/>
      <c r="F100" s="289"/>
      <c r="G100" s="290">
        <f t="shared" ref="G100:AI100" si="42">+G31</f>
        <v>133800.57272140268</v>
      </c>
      <c r="H100" s="290">
        <f t="shared" si="42"/>
        <v>142788.8423520338</v>
      </c>
      <c r="I100" s="290">
        <f t="shared" si="42"/>
        <v>151777.11198266485</v>
      </c>
      <c r="J100" s="290">
        <f t="shared" si="42"/>
        <v>160765.38161329602</v>
      </c>
      <c r="K100" s="290">
        <f t="shared" si="42"/>
        <v>173914.91549616965</v>
      </c>
      <c r="L100" s="290">
        <f t="shared" si="42"/>
        <v>179170.67865937742</v>
      </c>
      <c r="M100" s="290">
        <f t="shared" si="42"/>
        <v>188330.40618427182</v>
      </c>
      <c r="N100" s="290">
        <f t="shared" si="42"/>
        <v>191856.33415139822</v>
      </c>
      <c r="O100" s="290">
        <f t="shared" si="42"/>
        <v>192199.24993992469</v>
      </c>
      <c r="P100" s="290">
        <f t="shared" si="42"/>
        <v>192370.70783418798</v>
      </c>
      <c r="Q100" s="290">
        <f t="shared" si="42"/>
        <v>194572.67939317244</v>
      </c>
      <c r="R100" s="290">
        <f t="shared" si="42"/>
        <v>194915.59518169906</v>
      </c>
      <c r="S100" s="290">
        <f t="shared" si="42"/>
        <v>197458.07081377428</v>
      </c>
      <c r="T100" s="290">
        <f t="shared" si="42"/>
        <v>197458.07081377428</v>
      </c>
      <c r="U100" s="290">
        <f t="shared" si="42"/>
        <v>197629.52870803751</v>
      </c>
      <c r="V100" s="290">
        <f t="shared" si="42"/>
        <v>197629.52870803751</v>
      </c>
      <c r="W100" s="290">
        <f t="shared" si="42"/>
        <v>197629.52870803751</v>
      </c>
      <c r="X100" s="290">
        <f t="shared" si="42"/>
        <v>197629.52870803751</v>
      </c>
      <c r="Y100" s="290">
        <f t="shared" si="42"/>
        <v>210801.11256060985</v>
      </c>
      <c r="Z100" s="290">
        <f t="shared" si="42"/>
        <v>210801.11256060985</v>
      </c>
      <c r="AA100" s="290">
        <f t="shared" si="42"/>
        <v>210801.11256060985</v>
      </c>
      <c r="AB100" s="290">
        <f t="shared" si="42"/>
        <v>210801.11256060985</v>
      </c>
      <c r="AC100" s="290">
        <f t="shared" si="42"/>
        <v>222997.76044826367</v>
      </c>
      <c r="AD100" s="290">
        <f t="shared" si="42"/>
        <v>222997.76044826367</v>
      </c>
      <c r="AE100" s="290">
        <f t="shared" si="42"/>
        <v>222997.76044826367</v>
      </c>
      <c r="AF100" s="290">
        <f t="shared" si="42"/>
        <v>222997.76044826367</v>
      </c>
      <c r="AG100" s="290">
        <f t="shared" si="42"/>
        <v>222997.76044826367</v>
      </c>
      <c r="AH100" s="290">
        <f t="shared" si="42"/>
        <v>222997.76044826367</v>
      </c>
      <c r="AI100" s="290">
        <f t="shared" si="42"/>
        <v>222997.76044826367</v>
      </c>
      <c r="AJ100" s="291">
        <f t="shared" ref="AJ100:AJ123" si="43">+SUM(F100:AI100)</f>
        <v>5686085.5053495839</v>
      </c>
    </row>
    <row r="101" spans="2:37" ht="14.4">
      <c r="B101" s="375"/>
      <c r="C101" s="375"/>
      <c r="D101" s="73" t="s">
        <v>190</v>
      </c>
      <c r="E101" s="292">
        <v>6.3299999999999995E-2</v>
      </c>
      <c r="F101" s="293"/>
      <c r="G101" s="294">
        <f t="shared" ref="G101:AI101" si="44">+G100*$E101</f>
        <v>8469.5762532647896</v>
      </c>
      <c r="H101" s="294">
        <f t="shared" si="44"/>
        <v>9038.5337208837391</v>
      </c>
      <c r="I101" s="294">
        <f t="shared" si="44"/>
        <v>9607.491188502685</v>
      </c>
      <c r="J101" s="294">
        <f t="shared" si="44"/>
        <v>10176.448656121638</v>
      </c>
      <c r="K101" s="294">
        <f t="shared" si="44"/>
        <v>11008.814150907538</v>
      </c>
      <c r="L101" s="294">
        <f t="shared" si="44"/>
        <v>11341.50395913859</v>
      </c>
      <c r="M101" s="294">
        <f t="shared" si="44"/>
        <v>11921.314711464405</v>
      </c>
      <c r="N101" s="294">
        <f t="shared" si="44"/>
        <v>12144.505951783507</v>
      </c>
      <c r="O101" s="294">
        <f t="shared" si="44"/>
        <v>12166.212521197232</v>
      </c>
      <c r="P101" s="294">
        <f t="shared" si="44"/>
        <v>12177.065805904098</v>
      </c>
      <c r="Q101" s="294">
        <f t="shared" si="44"/>
        <v>12316.450605587814</v>
      </c>
      <c r="R101" s="294">
        <f t="shared" si="44"/>
        <v>12338.15717500155</v>
      </c>
      <c r="S101" s="294">
        <f t="shared" si="44"/>
        <v>12499.095882511911</v>
      </c>
      <c r="T101" s="294">
        <f t="shared" si="44"/>
        <v>12499.095882511911</v>
      </c>
      <c r="U101" s="294">
        <f t="shared" si="44"/>
        <v>12509.949167218774</v>
      </c>
      <c r="V101" s="294">
        <f t="shared" si="44"/>
        <v>12509.949167218774</v>
      </c>
      <c r="W101" s="294">
        <f t="shared" si="44"/>
        <v>12509.949167218774</v>
      </c>
      <c r="X101" s="294">
        <f t="shared" si="44"/>
        <v>12509.949167218774</v>
      </c>
      <c r="Y101" s="294">
        <f t="shared" si="44"/>
        <v>13343.710425086603</v>
      </c>
      <c r="Z101" s="294">
        <f t="shared" si="44"/>
        <v>13343.710425086603</v>
      </c>
      <c r="AA101" s="294">
        <f t="shared" si="44"/>
        <v>13343.710425086603</v>
      </c>
      <c r="AB101" s="294">
        <f t="shared" si="44"/>
        <v>13343.710425086603</v>
      </c>
      <c r="AC101" s="294">
        <f t="shared" si="44"/>
        <v>14115.75823637509</v>
      </c>
      <c r="AD101" s="294">
        <f t="shared" si="44"/>
        <v>14115.75823637509</v>
      </c>
      <c r="AE101" s="294">
        <f t="shared" si="44"/>
        <v>14115.75823637509</v>
      </c>
      <c r="AF101" s="294">
        <f t="shared" si="44"/>
        <v>14115.75823637509</v>
      </c>
      <c r="AG101" s="294">
        <f t="shared" si="44"/>
        <v>14115.75823637509</v>
      </c>
      <c r="AH101" s="294">
        <f t="shared" si="44"/>
        <v>14115.75823637509</v>
      </c>
      <c r="AI101" s="294">
        <f t="shared" si="44"/>
        <v>14115.75823637509</v>
      </c>
      <c r="AJ101" s="295">
        <f t="shared" si="43"/>
        <v>359929.21248862875</v>
      </c>
    </row>
    <row r="102" spans="2:37" ht="14.4">
      <c r="B102" s="375"/>
      <c r="C102" s="375"/>
      <c r="D102" s="73" t="s">
        <v>191</v>
      </c>
      <c r="E102" s="292">
        <v>5.0000000000000001E-3</v>
      </c>
      <c r="F102" s="293"/>
      <c r="G102" s="294">
        <f>+G100*$E102</f>
        <v>669.00286360701341</v>
      </c>
      <c r="H102" s="294">
        <f t="shared" ref="H102:AI102" si="45">+H100*$E102</f>
        <v>713.94421176016897</v>
      </c>
      <c r="I102" s="294">
        <f t="shared" si="45"/>
        <v>758.8855599133243</v>
      </c>
      <c r="J102" s="294">
        <f t="shared" si="45"/>
        <v>803.82690806648009</v>
      </c>
      <c r="K102" s="294">
        <f t="shared" si="45"/>
        <v>869.57457748084823</v>
      </c>
      <c r="L102" s="294">
        <f t="shared" si="45"/>
        <v>895.85339329688713</v>
      </c>
      <c r="M102" s="294">
        <f t="shared" si="45"/>
        <v>941.65203092135914</v>
      </c>
      <c r="N102" s="294">
        <f t="shared" si="45"/>
        <v>959.28167075699105</v>
      </c>
      <c r="O102" s="294">
        <f t="shared" si="45"/>
        <v>960.99624969962349</v>
      </c>
      <c r="P102" s="294">
        <f t="shared" si="45"/>
        <v>961.85353917093994</v>
      </c>
      <c r="Q102" s="294">
        <f t="shared" si="45"/>
        <v>972.86339696586219</v>
      </c>
      <c r="R102" s="294">
        <f t="shared" si="45"/>
        <v>974.57797590849532</v>
      </c>
      <c r="S102" s="294">
        <f t="shared" si="45"/>
        <v>987.29035406887135</v>
      </c>
      <c r="T102" s="294">
        <f t="shared" si="45"/>
        <v>987.29035406887135</v>
      </c>
      <c r="U102" s="294">
        <f t="shared" si="45"/>
        <v>988.14764354018757</v>
      </c>
      <c r="V102" s="294">
        <f t="shared" si="45"/>
        <v>988.14764354018757</v>
      </c>
      <c r="W102" s="294">
        <f t="shared" si="45"/>
        <v>988.14764354018757</v>
      </c>
      <c r="X102" s="294">
        <f t="shared" si="45"/>
        <v>988.14764354018757</v>
      </c>
      <c r="Y102" s="294">
        <f t="shared" si="45"/>
        <v>1054.0055628030493</v>
      </c>
      <c r="Z102" s="294">
        <f t="shared" si="45"/>
        <v>1054.0055628030493</v>
      </c>
      <c r="AA102" s="294">
        <f t="shared" si="45"/>
        <v>1054.0055628030493</v>
      </c>
      <c r="AB102" s="294">
        <f t="shared" si="45"/>
        <v>1054.0055628030493</v>
      </c>
      <c r="AC102" s="294">
        <f t="shared" si="45"/>
        <v>1114.9888022413184</v>
      </c>
      <c r="AD102" s="294">
        <f t="shared" si="45"/>
        <v>1114.9888022413184</v>
      </c>
      <c r="AE102" s="294">
        <f t="shared" si="45"/>
        <v>1114.9888022413184</v>
      </c>
      <c r="AF102" s="294">
        <f t="shared" si="45"/>
        <v>1114.9888022413184</v>
      </c>
      <c r="AG102" s="294">
        <f t="shared" si="45"/>
        <v>1114.9888022413184</v>
      </c>
      <c r="AH102" s="294">
        <f t="shared" si="45"/>
        <v>1114.9888022413184</v>
      </c>
      <c r="AI102" s="294">
        <f t="shared" si="45"/>
        <v>1114.9888022413184</v>
      </c>
      <c r="AJ102" s="295">
        <f t="shared" si="43"/>
        <v>28430.427526747906</v>
      </c>
    </row>
    <row r="103" spans="2:37" ht="14.4">
      <c r="B103" s="375"/>
      <c r="C103" s="375"/>
      <c r="D103" s="73" t="s">
        <v>192</v>
      </c>
      <c r="E103" s="292">
        <v>2.8000000000000001E-2</v>
      </c>
      <c r="F103" s="293"/>
      <c r="G103" s="294">
        <f>+G100*$E103</f>
        <v>3746.4160361992754</v>
      </c>
      <c r="H103" s="294">
        <f t="shared" ref="H103:AI103" si="46">+H100*$E103</f>
        <v>3998.0875858569466</v>
      </c>
      <c r="I103" s="294">
        <f t="shared" si="46"/>
        <v>4249.759135514616</v>
      </c>
      <c r="J103" s="294">
        <f t="shared" si="46"/>
        <v>4501.4306851722886</v>
      </c>
      <c r="K103" s="294">
        <f t="shared" si="46"/>
        <v>4869.6176338927498</v>
      </c>
      <c r="L103" s="294">
        <f t="shared" si="46"/>
        <v>5016.7790024625674</v>
      </c>
      <c r="M103" s="294">
        <f t="shared" si="46"/>
        <v>5273.2513731596109</v>
      </c>
      <c r="N103" s="294">
        <f t="shared" si="46"/>
        <v>5371.9773562391501</v>
      </c>
      <c r="O103" s="294">
        <f t="shared" si="46"/>
        <v>5381.5789983178911</v>
      </c>
      <c r="P103" s="294">
        <f t="shared" si="46"/>
        <v>5386.3798193572638</v>
      </c>
      <c r="Q103" s="294">
        <f t="shared" si="46"/>
        <v>5448.0350230088288</v>
      </c>
      <c r="R103" s="294">
        <f t="shared" si="46"/>
        <v>5457.6366650875734</v>
      </c>
      <c r="S103" s="294">
        <f t="shared" si="46"/>
        <v>5528.82598278568</v>
      </c>
      <c r="T103" s="294">
        <f t="shared" si="46"/>
        <v>5528.82598278568</v>
      </c>
      <c r="U103" s="294">
        <f t="shared" si="46"/>
        <v>5533.62680382505</v>
      </c>
      <c r="V103" s="294">
        <f t="shared" si="46"/>
        <v>5533.62680382505</v>
      </c>
      <c r="W103" s="294">
        <f t="shared" si="46"/>
        <v>5533.62680382505</v>
      </c>
      <c r="X103" s="294">
        <f t="shared" si="46"/>
        <v>5533.62680382505</v>
      </c>
      <c r="Y103" s="294">
        <f t="shared" si="46"/>
        <v>5902.4311516970756</v>
      </c>
      <c r="Z103" s="294">
        <f t="shared" si="46"/>
        <v>5902.4311516970756</v>
      </c>
      <c r="AA103" s="294">
        <f t="shared" si="46"/>
        <v>5902.4311516970756</v>
      </c>
      <c r="AB103" s="294">
        <f t="shared" si="46"/>
        <v>5902.4311516970756</v>
      </c>
      <c r="AC103" s="294">
        <f t="shared" si="46"/>
        <v>6243.9372925513826</v>
      </c>
      <c r="AD103" s="294">
        <f t="shared" si="46"/>
        <v>6243.9372925513826</v>
      </c>
      <c r="AE103" s="294">
        <f t="shared" si="46"/>
        <v>6243.9372925513826</v>
      </c>
      <c r="AF103" s="294">
        <f t="shared" si="46"/>
        <v>6243.9372925513826</v>
      </c>
      <c r="AG103" s="294">
        <f t="shared" si="46"/>
        <v>6243.9372925513826</v>
      </c>
      <c r="AH103" s="294">
        <f t="shared" si="46"/>
        <v>6243.9372925513826</v>
      </c>
      <c r="AI103" s="294">
        <f t="shared" si="46"/>
        <v>6243.9372925513826</v>
      </c>
      <c r="AJ103" s="295">
        <f t="shared" si="43"/>
        <v>159210.39414978836</v>
      </c>
    </row>
    <row r="104" spans="2:37" ht="14.4">
      <c r="B104" s="375"/>
      <c r="C104" s="375"/>
      <c r="D104" s="73" t="s">
        <v>193</v>
      </c>
      <c r="E104" s="292">
        <v>5.0000000000000001E-3</v>
      </c>
      <c r="F104" s="293"/>
      <c r="G104" s="294">
        <f>+G100*$E104</f>
        <v>669.00286360701341</v>
      </c>
      <c r="H104" s="294">
        <f t="shared" ref="H104:AI104" si="47">+H100*$E104</f>
        <v>713.94421176016897</v>
      </c>
      <c r="I104" s="294">
        <f t="shared" si="47"/>
        <v>758.8855599133243</v>
      </c>
      <c r="J104" s="294">
        <f t="shared" si="47"/>
        <v>803.82690806648009</v>
      </c>
      <c r="K104" s="294">
        <f t="shared" si="47"/>
        <v>869.57457748084823</v>
      </c>
      <c r="L104" s="294">
        <f t="shared" si="47"/>
        <v>895.85339329688713</v>
      </c>
      <c r="M104" s="294">
        <f t="shared" si="47"/>
        <v>941.65203092135914</v>
      </c>
      <c r="N104" s="294">
        <f t="shared" si="47"/>
        <v>959.28167075699105</v>
      </c>
      <c r="O104" s="294">
        <f t="shared" si="47"/>
        <v>960.99624969962349</v>
      </c>
      <c r="P104" s="294">
        <f t="shared" si="47"/>
        <v>961.85353917093994</v>
      </c>
      <c r="Q104" s="294">
        <f t="shared" si="47"/>
        <v>972.86339696586219</v>
      </c>
      <c r="R104" s="294">
        <f t="shared" si="47"/>
        <v>974.57797590849532</v>
      </c>
      <c r="S104" s="294">
        <f t="shared" si="47"/>
        <v>987.29035406887135</v>
      </c>
      <c r="T104" s="294">
        <f t="shared" si="47"/>
        <v>987.29035406887135</v>
      </c>
      <c r="U104" s="294">
        <f t="shared" si="47"/>
        <v>988.14764354018757</v>
      </c>
      <c r="V104" s="294">
        <f t="shared" si="47"/>
        <v>988.14764354018757</v>
      </c>
      <c r="W104" s="294">
        <f t="shared" si="47"/>
        <v>988.14764354018757</v>
      </c>
      <c r="X104" s="294">
        <f t="shared" si="47"/>
        <v>988.14764354018757</v>
      </c>
      <c r="Y104" s="294">
        <f t="shared" si="47"/>
        <v>1054.0055628030493</v>
      </c>
      <c r="Z104" s="294">
        <f t="shared" si="47"/>
        <v>1054.0055628030493</v>
      </c>
      <c r="AA104" s="294">
        <f t="shared" si="47"/>
        <v>1054.0055628030493</v>
      </c>
      <c r="AB104" s="294">
        <f t="shared" si="47"/>
        <v>1054.0055628030493</v>
      </c>
      <c r="AC104" s="294">
        <f t="shared" si="47"/>
        <v>1114.9888022413184</v>
      </c>
      <c r="AD104" s="294">
        <f t="shared" si="47"/>
        <v>1114.9888022413184</v>
      </c>
      <c r="AE104" s="294">
        <f t="shared" si="47"/>
        <v>1114.9888022413184</v>
      </c>
      <c r="AF104" s="294">
        <f t="shared" si="47"/>
        <v>1114.9888022413184</v>
      </c>
      <c r="AG104" s="294">
        <f t="shared" si="47"/>
        <v>1114.9888022413184</v>
      </c>
      <c r="AH104" s="294">
        <f t="shared" si="47"/>
        <v>1114.9888022413184</v>
      </c>
      <c r="AI104" s="294">
        <f t="shared" si="47"/>
        <v>1114.9888022413184</v>
      </c>
      <c r="AJ104" s="295">
        <f t="shared" si="43"/>
        <v>28430.427526747906</v>
      </c>
    </row>
    <row r="105" spans="2:37" ht="14.4">
      <c r="B105" s="375"/>
      <c r="C105" s="375"/>
      <c r="D105" s="73" t="s">
        <v>194</v>
      </c>
      <c r="E105" s="296"/>
      <c r="F105" s="293"/>
      <c r="G105" s="294">
        <f t="shared" ref="G105:AI105" si="48">+SUBTOTAL(9,G100:G104)</f>
        <v>147354.5707380808</v>
      </c>
      <c r="H105" s="294">
        <f t="shared" si="48"/>
        <v>157253.35208229479</v>
      </c>
      <c r="I105" s="294">
        <f t="shared" si="48"/>
        <v>167152.13342650881</v>
      </c>
      <c r="J105" s="294">
        <f t="shared" si="48"/>
        <v>177050.91477072294</v>
      </c>
      <c r="K105" s="294">
        <f t="shared" si="48"/>
        <v>191532.49643593162</v>
      </c>
      <c r="L105" s="294">
        <f t="shared" si="48"/>
        <v>197320.66840757235</v>
      </c>
      <c r="M105" s="294">
        <f t="shared" si="48"/>
        <v>207408.27633073856</v>
      </c>
      <c r="N105" s="294">
        <f t="shared" si="48"/>
        <v>211291.38080093486</v>
      </c>
      <c r="O105" s="294">
        <f t="shared" si="48"/>
        <v>211669.03395883905</v>
      </c>
      <c r="P105" s="294">
        <f t="shared" si="48"/>
        <v>211857.86053779122</v>
      </c>
      <c r="Q105" s="294">
        <f t="shared" si="48"/>
        <v>214282.8918157008</v>
      </c>
      <c r="R105" s="294">
        <f t="shared" si="48"/>
        <v>214660.54497360517</v>
      </c>
      <c r="S105" s="294">
        <f t="shared" si="48"/>
        <v>217460.57338720962</v>
      </c>
      <c r="T105" s="294">
        <f t="shared" si="48"/>
        <v>217460.57338720962</v>
      </c>
      <c r="U105" s="294">
        <f t="shared" si="48"/>
        <v>217649.39996616176</v>
      </c>
      <c r="V105" s="294">
        <f t="shared" si="48"/>
        <v>217649.39996616176</v>
      </c>
      <c r="W105" s="294">
        <f t="shared" si="48"/>
        <v>217649.39996616176</v>
      </c>
      <c r="X105" s="294">
        <f t="shared" si="48"/>
        <v>217649.39996616176</v>
      </c>
      <c r="Y105" s="294">
        <f t="shared" si="48"/>
        <v>232155.2652629996</v>
      </c>
      <c r="Z105" s="294">
        <f t="shared" si="48"/>
        <v>232155.2652629996</v>
      </c>
      <c r="AA105" s="294">
        <f t="shared" si="48"/>
        <v>232155.2652629996</v>
      </c>
      <c r="AB105" s="294">
        <f t="shared" si="48"/>
        <v>232155.2652629996</v>
      </c>
      <c r="AC105" s="294">
        <f t="shared" si="48"/>
        <v>245587.43358167275</v>
      </c>
      <c r="AD105" s="294">
        <f t="shared" si="48"/>
        <v>245587.43358167275</v>
      </c>
      <c r="AE105" s="294">
        <f t="shared" si="48"/>
        <v>245587.43358167275</v>
      </c>
      <c r="AF105" s="294">
        <f t="shared" si="48"/>
        <v>245587.43358167275</v>
      </c>
      <c r="AG105" s="294">
        <f t="shared" si="48"/>
        <v>245587.43358167275</v>
      </c>
      <c r="AH105" s="294">
        <f t="shared" si="48"/>
        <v>245587.43358167275</v>
      </c>
      <c r="AI105" s="294">
        <f t="shared" si="48"/>
        <v>245587.43358167275</v>
      </c>
      <c r="AJ105" s="295">
        <f t="shared" si="43"/>
        <v>6262085.9670414943</v>
      </c>
    </row>
    <row r="106" spans="2:37" ht="14.4">
      <c r="B106" s="375"/>
      <c r="C106" s="375"/>
      <c r="D106" s="73" t="s">
        <v>195</v>
      </c>
      <c r="E106" s="297">
        <f>BDI!$F$33</f>
        <v>0.26450000000000001</v>
      </c>
      <c r="F106" s="293"/>
      <c r="G106" s="294">
        <f t="shared" ref="G106:AI106" si="49">+G105*$E106</f>
        <v>38975.283960222376</v>
      </c>
      <c r="H106" s="294">
        <f t="shared" si="49"/>
        <v>41593.511625766972</v>
      </c>
      <c r="I106" s="294">
        <f t="shared" si="49"/>
        <v>44211.739291311584</v>
      </c>
      <c r="J106" s="294">
        <f t="shared" si="49"/>
        <v>46829.966956856224</v>
      </c>
      <c r="K106" s="294">
        <f t="shared" si="49"/>
        <v>50660.34530730392</v>
      </c>
      <c r="L106" s="294">
        <f t="shared" si="49"/>
        <v>52191.316793802886</v>
      </c>
      <c r="M106" s="294">
        <f t="shared" si="49"/>
        <v>54859.489089480354</v>
      </c>
      <c r="N106" s="294">
        <f t="shared" si="49"/>
        <v>55886.570221847272</v>
      </c>
      <c r="O106" s="294">
        <f t="shared" si="49"/>
        <v>55986.459482112929</v>
      </c>
      <c r="P106" s="294">
        <f t="shared" si="49"/>
        <v>56036.404112245778</v>
      </c>
      <c r="Q106" s="294">
        <f t="shared" si="49"/>
        <v>56677.824885252863</v>
      </c>
      <c r="R106" s="294">
        <f t="shared" si="49"/>
        <v>56777.71414551857</v>
      </c>
      <c r="S106" s="294">
        <f t="shared" si="49"/>
        <v>57518.321660916947</v>
      </c>
      <c r="T106" s="294">
        <f t="shared" si="49"/>
        <v>57518.321660916947</v>
      </c>
      <c r="U106" s="294">
        <f t="shared" si="49"/>
        <v>57568.266291049789</v>
      </c>
      <c r="V106" s="294">
        <f t="shared" si="49"/>
        <v>57568.266291049789</v>
      </c>
      <c r="W106" s="294">
        <f t="shared" si="49"/>
        <v>57568.266291049789</v>
      </c>
      <c r="X106" s="294">
        <f t="shared" si="49"/>
        <v>57568.266291049789</v>
      </c>
      <c r="Y106" s="294">
        <f t="shared" si="49"/>
        <v>61405.067662063397</v>
      </c>
      <c r="Z106" s="294">
        <f t="shared" si="49"/>
        <v>61405.067662063397</v>
      </c>
      <c r="AA106" s="294">
        <f t="shared" si="49"/>
        <v>61405.067662063397</v>
      </c>
      <c r="AB106" s="294">
        <f t="shared" si="49"/>
        <v>61405.067662063397</v>
      </c>
      <c r="AC106" s="294">
        <f t="shared" si="49"/>
        <v>64957.876182352447</v>
      </c>
      <c r="AD106" s="294">
        <f t="shared" si="49"/>
        <v>64957.876182352447</v>
      </c>
      <c r="AE106" s="294">
        <f t="shared" si="49"/>
        <v>64957.876182352447</v>
      </c>
      <c r="AF106" s="294">
        <f t="shared" si="49"/>
        <v>64957.876182352447</v>
      </c>
      <c r="AG106" s="294">
        <f t="shared" si="49"/>
        <v>64957.876182352447</v>
      </c>
      <c r="AH106" s="294">
        <f t="shared" si="49"/>
        <v>64957.876182352447</v>
      </c>
      <c r="AI106" s="294">
        <f t="shared" si="49"/>
        <v>64957.876182352447</v>
      </c>
      <c r="AJ106" s="295">
        <f t="shared" si="43"/>
        <v>1656321.7382824749</v>
      </c>
    </row>
    <row r="107" spans="2:37" ht="14.4">
      <c r="B107" s="375"/>
      <c r="C107" s="375"/>
      <c r="D107" s="73" t="s">
        <v>196</v>
      </c>
      <c r="E107" s="296"/>
      <c r="F107" s="293"/>
      <c r="G107" s="76">
        <f t="shared" ref="G107:AI107" si="50">+SUM(G105:G106)</f>
        <v>186329.85469830318</v>
      </c>
      <c r="H107" s="76">
        <f t="shared" si="50"/>
        <v>198846.86370806175</v>
      </c>
      <c r="I107" s="76">
        <f t="shared" si="50"/>
        <v>211363.8727178204</v>
      </c>
      <c r="J107" s="76">
        <f t="shared" si="50"/>
        <v>223880.88172757917</v>
      </c>
      <c r="K107" s="76">
        <f t="shared" si="50"/>
        <v>242192.84174323553</v>
      </c>
      <c r="L107" s="76">
        <f t="shared" si="50"/>
        <v>249511.98520137524</v>
      </c>
      <c r="M107" s="76">
        <f t="shared" si="50"/>
        <v>262267.76542021893</v>
      </c>
      <c r="N107" s="76">
        <f t="shared" si="50"/>
        <v>267177.95102278213</v>
      </c>
      <c r="O107" s="76">
        <f t="shared" si="50"/>
        <v>267655.49344095198</v>
      </c>
      <c r="P107" s="76">
        <f t="shared" si="50"/>
        <v>267894.26465003699</v>
      </c>
      <c r="Q107" s="76">
        <f t="shared" si="50"/>
        <v>270960.71670095366</v>
      </c>
      <c r="R107" s="76">
        <f t="shared" si="50"/>
        <v>271438.25911912374</v>
      </c>
      <c r="S107" s="76">
        <f t="shared" si="50"/>
        <v>274978.89504812658</v>
      </c>
      <c r="T107" s="76">
        <f t="shared" si="50"/>
        <v>274978.89504812658</v>
      </c>
      <c r="U107" s="76">
        <f t="shared" si="50"/>
        <v>275217.66625721153</v>
      </c>
      <c r="V107" s="76">
        <f t="shared" si="50"/>
        <v>275217.66625721153</v>
      </c>
      <c r="W107" s="76">
        <f t="shared" si="50"/>
        <v>275217.66625721153</v>
      </c>
      <c r="X107" s="76">
        <f t="shared" si="50"/>
        <v>275217.66625721153</v>
      </c>
      <c r="Y107" s="76">
        <f t="shared" si="50"/>
        <v>293560.33292506298</v>
      </c>
      <c r="Z107" s="76">
        <f t="shared" si="50"/>
        <v>293560.33292506298</v>
      </c>
      <c r="AA107" s="76">
        <f t="shared" si="50"/>
        <v>293560.33292506298</v>
      </c>
      <c r="AB107" s="76">
        <f t="shared" si="50"/>
        <v>293560.33292506298</v>
      </c>
      <c r="AC107" s="76">
        <f t="shared" si="50"/>
        <v>310545.30976402521</v>
      </c>
      <c r="AD107" s="76">
        <f t="shared" si="50"/>
        <v>310545.30976402521</v>
      </c>
      <c r="AE107" s="76">
        <f t="shared" si="50"/>
        <v>310545.30976402521</v>
      </c>
      <c r="AF107" s="76">
        <f t="shared" si="50"/>
        <v>310545.30976402521</v>
      </c>
      <c r="AG107" s="76">
        <f t="shared" si="50"/>
        <v>310545.30976402521</v>
      </c>
      <c r="AH107" s="76">
        <f t="shared" si="50"/>
        <v>310545.30976402521</v>
      </c>
      <c r="AI107" s="76">
        <f t="shared" si="50"/>
        <v>310545.30976402521</v>
      </c>
      <c r="AJ107" s="228">
        <f t="shared" si="43"/>
        <v>7918407.7053239662</v>
      </c>
      <c r="AK107" s="2"/>
    </row>
    <row r="108" spans="2:37" ht="14.4">
      <c r="B108" s="374" t="s">
        <v>200</v>
      </c>
      <c r="C108" s="374" t="str">
        <f>+C36</f>
        <v>Sinalização Vertical</v>
      </c>
      <c r="D108" s="72" t="s">
        <v>189</v>
      </c>
      <c r="E108" s="288"/>
      <c r="F108" s="289"/>
      <c r="G108" s="290">
        <f t="shared" ref="G108:AI108" si="51">+G36</f>
        <v>191106.16831360923</v>
      </c>
      <c r="H108" s="290">
        <f t="shared" si="51"/>
        <v>203944.03390672654</v>
      </c>
      <c r="I108" s="290">
        <f t="shared" si="51"/>
        <v>216781.89949984386</v>
      </c>
      <c r="J108" s="290">
        <f t="shared" si="51"/>
        <v>229619.76509296123</v>
      </c>
      <c r="K108" s="290">
        <f t="shared" si="51"/>
        <v>248401.12741715991</v>
      </c>
      <c r="L108" s="290">
        <f t="shared" si="51"/>
        <v>255907.88721090023</v>
      </c>
      <c r="M108" s="290">
        <f t="shared" si="51"/>
        <v>268990.6445898547</v>
      </c>
      <c r="N108" s="290">
        <f t="shared" si="51"/>
        <v>274026.69615407591</v>
      </c>
      <c r="O108" s="290">
        <f t="shared" si="51"/>
        <v>274516.4797257501</v>
      </c>
      <c r="P108" s="290">
        <f t="shared" si="51"/>
        <v>274761.37151158723</v>
      </c>
      <c r="Q108" s="290">
        <f t="shared" si="51"/>
        <v>277906.42791018187</v>
      </c>
      <c r="R108" s="290">
        <f t="shared" si="51"/>
        <v>278396.21148185607</v>
      </c>
      <c r="S108" s="290">
        <f t="shared" si="51"/>
        <v>282027.60682041204</v>
      </c>
      <c r="T108" s="290">
        <f t="shared" si="51"/>
        <v>282027.60682041204</v>
      </c>
      <c r="U108" s="290">
        <f t="shared" si="51"/>
        <v>282272.49860624922</v>
      </c>
      <c r="V108" s="290">
        <f t="shared" si="51"/>
        <v>282272.49860624922</v>
      </c>
      <c r="W108" s="290">
        <f t="shared" si="51"/>
        <v>282272.49860624922</v>
      </c>
      <c r="X108" s="290">
        <f t="shared" si="51"/>
        <v>282272.49860624922</v>
      </c>
      <c r="Y108" s="290">
        <f t="shared" si="51"/>
        <v>301085.35470610845</v>
      </c>
      <c r="Z108" s="290">
        <f t="shared" si="51"/>
        <v>301085.35470610845</v>
      </c>
      <c r="AA108" s="290">
        <f t="shared" si="51"/>
        <v>301085.35470610845</v>
      </c>
      <c r="AB108" s="290">
        <f t="shared" si="51"/>
        <v>301085.35470610845</v>
      </c>
      <c r="AC108" s="290">
        <f t="shared" si="51"/>
        <v>318505.71843603853</v>
      </c>
      <c r="AD108" s="290">
        <f t="shared" si="51"/>
        <v>318505.71843603853</v>
      </c>
      <c r="AE108" s="290">
        <f t="shared" si="51"/>
        <v>318505.71843603853</v>
      </c>
      <c r="AF108" s="290">
        <f t="shared" si="51"/>
        <v>318505.71843603853</v>
      </c>
      <c r="AG108" s="290">
        <f t="shared" si="51"/>
        <v>318505.71843603853</v>
      </c>
      <c r="AH108" s="290">
        <f t="shared" si="51"/>
        <v>318505.71843603853</v>
      </c>
      <c r="AI108" s="290">
        <f t="shared" si="51"/>
        <v>318505.71843603853</v>
      </c>
      <c r="AJ108" s="291">
        <f t="shared" si="43"/>
        <v>8121385.36875703</v>
      </c>
    </row>
    <row r="109" spans="2:37" ht="14.4">
      <c r="B109" s="375"/>
      <c r="C109" s="375"/>
      <c r="D109" s="73" t="s">
        <v>190</v>
      </c>
      <c r="E109" s="292">
        <v>6.3299999999999995E-2</v>
      </c>
      <c r="F109" s="293"/>
      <c r="G109" s="294">
        <f t="shared" ref="G109:AI109" si="52">+G108*$E109</f>
        <v>12097.020454251464</v>
      </c>
      <c r="H109" s="294">
        <f t="shared" si="52"/>
        <v>12909.657346295789</v>
      </c>
      <c r="I109" s="294">
        <f t="shared" si="52"/>
        <v>13722.294238340115</v>
      </c>
      <c r="J109" s="294">
        <f t="shared" si="52"/>
        <v>14534.931130384444</v>
      </c>
      <c r="K109" s="294">
        <f t="shared" si="52"/>
        <v>15723.79136550622</v>
      </c>
      <c r="L109" s="294">
        <f t="shared" si="52"/>
        <v>16198.969260449983</v>
      </c>
      <c r="M109" s="294">
        <f t="shared" si="52"/>
        <v>17027.107802537801</v>
      </c>
      <c r="N109" s="294">
        <f t="shared" si="52"/>
        <v>17345.889866553003</v>
      </c>
      <c r="O109" s="294">
        <f t="shared" si="52"/>
        <v>17376.89316663998</v>
      </c>
      <c r="P109" s="294">
        <f t="shared" si="52"/>
        <v>17392.394816683471</v>
      </c>
      <c r="Q109" s="294">
        <f t="shared" si="52"/>
        <v>17591.47688671451</v>
      </c>
      <c r="R109" s="294">
        <f t="shared" si="52"/>
        <v>17622.480186801487</v>
      </c>
      <c r="S109" s="294">
        <f t="shared" si="52"/>
        <v>17852.347511732081</v>
      </c>
      <c r="T109" s="294">
        <f t="shared" si="52"/>
        <v>17852.347511732081</v>
      </c>
      <c r="U109" s="294">
        <f t="shared" si="52"/>
        <v>17867.849161775575</v>
      </c>
      <c r="V109" s="294">
        <f t="shared" si="52"/>
        <v>17867.849161775575</v>
      </c>
      <c r="W109" s="294">
        <f t="shared" si="52"/>
        <v>17867.849161775575</v>
      </c>
      <c r="X109" s="294">
        <f t="shared" si="52"/>
        <v>17867.849161775575</v>
      </c>
      <c r="Y109" s="294">
        <f t="shared" si="52"/>
        <v>19058.702952896663</v>
      </c>
      <c r="Z109" s="294">
        <f t="shared" si="52"/>
        <v>19058.702952896663</v>
      </c>
      <c r="AA109" s="294">
        <f t="shared" si="52"/>
        <v>19058.702952896663</v>
      </c>
      <c r="AB109" s="294">
        <f t="shared" si="52"/>
        <v>19058.702952896663</v>
      </c>
      <c r="AC109" s="294">
        <f t="shared" si="52"/>
        <v>20161.411977001237</v>
      </c>
      <c r="AD109" s="294">
        <f t="shared" si="52"/>
        <v>20161.411977001237</v>
      </c>
      <c r="AE109" s="294">
        <f t="shared" si="52"/>
        <v>20161.411977001237</v>
      </c>
      <c r="AF109" s="294">
        <f t="shared" si="52"/>
        <v>20161.411977001237</v>
      </c>
      <c r="AG109" s="294">
        <f t="shared" si="52"/>
        <v>20161.411977001237</v>
      </c>
      <c r="AH109" s="294">
        <f t="shared" si="52"/>
        <v>20161.411977001237</v>
      </c>
      <c r="AI109" s="294">
        <f t="shared" si="52"/>
        <v>20161.411977001237</v>
      </c>
      <c r="AJ109" s="295">
        <f t="shared" si="43"/>
        <v>514083.69384231995</v>
      </c>
    </row>
    <row r="110" spans="2:37" ht="14.4">
      <c r="B110" s="375"/>
      <c r="C110" s="375"/>
      <c r="D110" s="73" t="s">
        <v>191</v>
      </c>
      <c r="E110" s="292">
        <v>5.0000000000000001E-3</v>
      </c>
      <c r="F110" s="293"/>
      <c r="G110" s="294">
        <f>+G108*$E110</f>
        <v>955.53084156804618</v>
      </c>
      <c r="H110" s="294">
        <f t="shared" ref="H110:AI110" si="53">+H108*$E110</f>
        <v>1019.7201695336328</v>
      </c>
      <c r="I110" s="294">
        <f t="shared" si="53"/>
        <v>1083.9094974992192</v>
      </c>
      <c r="J110" s="294">
        <f t="shared" si="53"/>
        <v>1148.0988254648062</v>
      </c>
      <c r="K110" s="294">
        <f t="shared" si="53"/>
        <v>1242.0056370857997</v>
      </c>
      <c r="L110" s="294">
        <f t="shared" si="53"/>
        <v>1279.5394360545013</v>
      </c>
      <c r="M110" s="294">
        <f t="shared" si="53"/>
        <v>1344.9532229492736</v>
      </c>
      <c r="N110" s="294">
        <f t="shared" si="53"/>
        <v>1370.1334807703795</v>
      </c>
      <c r="O110" s="294">
        <f t="shared" si="53"/>
        <v>1372.5823986287505</v>
      </c>
      <c r="P110" s="294">
        <f t="shared" si="53"/>
        <v>1373.8068575579362</v>
      </c>
      <c r="Q110" s="294">
        <f t="shared" si="53"/>
        <v>1389.5321395509093</v>
      </c>
      <c r="R110" s="294">
        <f t="shared" si="53"/>
        <v>1391.9810574092803</v>
      </c>
      <c r="S110" s="294">
        <f t="shared" si="53"/>
        <v>1410.1380341020601</v>
      </c>
      <c r="T110" s="294">
        <f t="shared" si="53"/>
        <v>1410.1380341020601</v>
      </c>
      <c r="U110" s="294">
        <f t="shared" si="53"/>
        <v>1411.3624930312462</v>
      </c>
      <c r="V110" s="294">
        <f t="shared" si="53"/>
        <v>1411.3624930312462</v>
      </c>
      <c r="W110" s="294">
        <f t="shared" si="53"/>
        <v>1411.3624930312462</v>
      </c>
      <c r="X110" s="294">
        <f t="shared" si="53"/>
        <v>1411.3624930312462</v>
      </c>
      <c r="Y110" s="294">
        <f t="shared" si="53"/>
        <v>1505.4267735305423</v>
      </c>
      <c r="Z110" s="294">
        <f t="shared" si="53"/>
        <v>1505.4267735305423</v>
      </c>
      <c r="AA110" s="294">
        <f t="shared" si="53"/>
        <v>1505.4267735305423</v>
      </c>
      <c r="AB110" s="294">
        <f t="shared" si="53"/>
        <v>1505.4267735305423</v>
      </c>
      <c r="AC110" s="294">
        <f t="shared" si="53"/>
        <v>1592.5285921801926</v>
      </c>
      <c r="AD110" s="294">
        <f t="shared" si="53"/>
        <v>1592.5285921801926</v>
      </c>
      <c r="AE110" s="294">
        <f t="shared" si="53"/>
        <v>1592.5285921801926</v>
      </c>
      <c r="AF110" s="294">
        <f t="shared" si="53"/>
        <v>1592.5285921801926</v>
      </c>
      <c r="AG110" s="294">
        <f t="shared" si="53"/>
        <v>1592.5285921801926</v>
      </c>
      <c r="AH110" s="294">
        <f t="shared" si="53"/>
        <v>1592.5285921801926</v>
      </c>
      <c r="AI110" s="294">
        <f t="shared" si="53"/>
        <v>1592.5285921801926</v>
      </c>
      <c r="AJ110" s="295">
        <f t="shared" si="43"/>
        <v>40606.926843785164</v>
      </c>
    </row>
    <row r="111" spans="2:37" ht="14.4">
      <c r="B111" s="375"/>
      <c r="C111" s="375"/>
      <c r="D111" s="73" t="s">
        <v>192</v>
      </c>
      <c r="E111" s="292">
        <v>2.8000000000000001E-2</v>
      </c>
      <c r="F111" s="293"/>
      <c r="G111" s="294">
        <f>+G108*$E111</f>
        <v>5350.9727127810584</v>
      </c>
      <c r="H111" s="294">
        <f t="shared" ref="H111:AI111" si="54">+H108*$E111</f>
        <v>5710.4329493883433</v>
      </c>
      <c r="I111" s="294">
        <f t="shared" si="54"/>
        <v>6069.8931859956283</v>
      </c>
      <c r="J111" s="294">
        <f t="shared" si="54"/>
        <v>6429.3534226029142</v>
      </c>
      <c r="K111" s="294">
        <f t="shared" si="54"/>
        <v>6955.2315676804774</v>
      </c>
      <c r="L111" s="294">
        <f t="shared" si="54"/>
        <v>7165.4208419052065</v>
      </c>
      <c r="M111" s="294">
        <f t="shared" si="54"/>
        <v>7531.738048515932</v>
      </c>
      <c r="N111" s="294">
        <f t="shared" si="54"/>
        <v>7672.7474923141253</v>
      </c>
      <c r="O111" s="294">
        <f t="shared" si="54"/>
        <v>7686.4614323210035</v>
      </c>
      <c r="P111" s="294">
        <f t="shared" si="54"/>
        <v>7693.318402324443</v>
      </c>
      <c r="Q111" s="294">
        <f t="shared" si="54"/>
        <v>7781.3799814850927</v>
      </c>
      <c r="R111" s="294">
        <f t="shared" si="54"/>
        <v>7795.0939214919699</v>
      </c>
      <c r="S111" s="294">
        <f t="shared" si="54"/>
        <v>7896.7729909715372</v>
      </c>
      <c r="T111" s="294">
        <f t="shared" si="54"/>
        <v>7896.7729909715372</v>
      </c>
      <c r="U111" s="294">
        <f t="shared" si="54"/>
        <v>7903.6299609749785</v>
      </c>
      <c r="V111" s="294">
        <f t="shared" si="54"/>
        <v>7903.6299609749785</v>
      </c>
      <c r="W111" s="294">
        <f t="shared" si="54"/>
        <v>7903.6299609749785</v>
      </c>
      <c r="X111" s="294">
        <f t="shared" si="54"/>
        <v>7903.6299609749785</v>
      </c>
      <c r="Y111" s="294">
        <f t="shared" si="54"/>
        <v>8430.3899317710366</v>
      </c>
      <c r="Z111" s="294">
        <f t="shared" si="54"/>
        <v>8430.3899317710366</v>
      </c>
      <c r="AA111" s="294">
        <f t="shared" si="54"/>
        <v>8430.3899317710366</v>
      </c>
      <c r="AB111" s="294">
        <f t="shared" si="54"/>
        <v>8430.3899317710366</v>
      </c>
      <c r="AC111" s="294">
        <f t="shared" si="54"/>
        <v>8918.1601162090792</v>
      </c>
      <c r="AD111" s="294">
        <f t="shared" si="54"/>
        <v>8918.1601162090792</v>
      </c>
      <c r="AE111" s="294">
        <f t="shared" si="54"/>
        <v>8918.1601162090792</v>
      </c>
      <c r="AF111" s="294">
        <f t="shared" si="54"/>
        <v>8918.1601162090792</v>
      </c>
      <c r="AG111" s="294">
        <f t="shared" si="54"/>
        <v>8918.1601162090792</v>
      </c>
      <c r="AH111" s="294">
        <f t="shared" si="54"/>
        <v>8918.1601162090792</v>
      </c>
      <c r="AI111" s="294">
        <f t="shared" si="54"/>
        <v>8918.1601162090792</v>
      </c>
      <c r="AJ111" s="295">
        <f t="shared" si="43"/>
        <v>227398.79032519681</v>
      </c>
    </row>
    <row r="112" spans="2:37" ht="14.4">
      <c r="B112" s="375"/>
      <c r="C112" s="375"/>
      <c r="D112" s="73" t="s">
        <v>193</v>
      </c>
      <c r="E112" s="292">
        <v>5.0000000000000001E-3</v>
      </c>
      <c r="F112" s="293"/>
      <c r="G112" s="294">
        <f>+G108*$E112</f>
        <v>955.53084156804618</v>
      </c>
      <c r="H112" s="294">
        <f t="shared" ref="H112:AI112" si="55">+H108*$E112</f>
        <v>1019.7201695336328</v>
      </c>
      <c r="I112" s="294">
        <f t="shared" si="55"/>
        <v>1083.9094974992192</v>
      </c>
      <c r="J112" s="294">
        <f t="shared" si="55"/>
        <v>1148.0988254648062</v>
      </c>
      <c r="K112" s="294">
        <f t="shared" si="55"/>
        <v>1242.0056370857997</v>
      </c>
      <c r="L112" s="294">
        <f t="shared" si="55"/>
        <v>1279.5394360545013</v>
      </c>
      <c r="M112" s="294">
        <f t="shared" si="55"/>
        <v>1344.9532229492736</v>
      </c>
      <c r="N112" s="294">
        <f t="shared" si="55"/>
        <v>1370.1334807703795</v>
      </c>
      <c r="O112" s="294">
        <f t="shared" si="55"/>
        <v>1372.5823986287505</v>
      </c>
      <c r="P112" s="294">
        <f t="shared" si="55"/>
        <v>1373.8068575579362</v>
      </c>
      <c r="Q112" s="294">
        <f t="shared" si="55"/>
        <v>1389.5321395509093</v>
      </c>
      <c r="R112" s="294">
        <f t="shared" si="55"/>
        <v>1391.9810574092803</v>
      </c>
      <c r="S112" s="294">
        <f t="shared" si="55"/>
        <v>1410.1380341020601</v>
      </c>
      <c r="T112" s="294">
        <f t="shared" si="55"/>
        <v>1410.1380341020601</v>
      </c>
      <c r="U112" s="294">
        <f t="shared" si="55"/>
        <v>1411.3624930312462</v>
      </c>
      <c r="V112" s="294">
        <f t="shared" si="55"/>
        <v>1411.3624930312462</v>
      </c>
      <c r="W112" s="294">
        <f t="shared" si="55"/>
        <v>1411.3624930312462</v>
      </c>
      <c r="X112" s="294">
        <f t="shared" si="55"/>
        <v>1411.3624930312462</v>
      </c>
      <c r="Y112" s="294">
        <f t="shared" si="55"/>
        <v>1505.4267735305423</v>
      </c>
      <c r="Z112" s="294">
        <f t="shared" si="55"/>
        <v>1505.4267735305423</v>
      </c>
      <c r="AA112" s="294">
        <f t="shared" si="55"/>
        <v>1505.4267735305423</v>
      </c>
      <c r="AB112" s="294">
        <f t="shared" si="55"/>
        <v>1505.4267735305423</v>
      </c>
      <c r="AC112" s="294">
        <f t="shared" si="55"/>
        <v>1592.5285921801926</v>
      </c>
      <c r="AD112" s="294">
        <f t="shared" si="55"/>
        <v>1592.5285921801926</v>
      </c>
      <c r="AE112" s="294">
        <f t="shared" si="55"/>
        <v>1592.5285921801926</v>
      </c>
      <c r="AF112" s="294">
        <f t="shared" si="55"/>
        <v>1592.5285921801926</v>
      </c>
      <c r="AG112" s="294">
        <f t="shared" si="55"/>
        <v>1592.5285921801926</v>
      </c>
      <c r="AH112" s="294">
        <f t="shared" si="55"/>
        <v>1592.5285921801926</v>
      </c>
      <c r="AI112" s="294">
        <f t="shared" si="55"/>
        <v>1592.5285921801926</v>
      </c>
      <c r="AJ112" s="295">
        <f t="shared" si="43"/>
        <v>40606.926843785164</v>
      </c>
    </row>
    <row r="113" spans="2:37" ht="14.4">
      <c r="B113" s="375"/>
      <c r="C113" s="375"/>
      <c r="D113" s="73" t="s">
        <v>194</v>
      </c>
      <c r="E113" s="296"/>
      <c r="F113" s="293"/>
      <c r="G113" s="294">
        <f t="shared" ref="G113:AI113" si="56">+SUBTOTAL(9,G108:G112)</f>
        <v>210465.22316377785</v>
      </c>
      <c r="H113" s="294">
        <f t="shared" si="56"/>
        <v>224603.56454147794</v>
      </c>
      <c r="I113" s="294">
        <f t="shared" si="56"/>
        <v>238741.90591917807</v>
      </c>
      <c r="J113" s="294">
        <f t="shared" si="56"/>
        <v>252880.24729687819</v>
      </c>
      <c r="K113" s="294">
        <f t="shared" si="56"/>
        <v>273564.16162451828</v>
      </c>
      <c r="L113" s="294">
        <f t="shared" si="56"/>
        <v>281831.35618536436</v>
      </c>
      <c r="M113" s="294">
        <f t="shared" si="56"/>
        <v>296239.39688680699</v>
      </c>
      <c r="N113" s="294">
        <f t="shared" si="56"/>
        <v>301785.60047448386</v>
      </c>
      <c r="O113" s="294">
        <f t="shared" si="56"/>
        <v>302324.99912196858</v>
      </c>
      <c r="P113" s="294">
        <f t="shared" si="56"/>
        <v>302594.69844571099</v>
      </c>
      <c r="Q113" s="294">
        <f t="shared" si="56"/>
        <v>306058.34905748325</v>
      </c>
      <c r="R113" s="294">
        <f t="shared" si="56"/>
        <v>306597.74770496803</v>
      </c>
      <c r="S113" s="294">
        <f t="shared" si="56"/>
        <v>310597.00339131971</v>
      </c>
      <c r="T113" s="294">
        <f t="shared" si="56"/>
        <v>310597.00339131971</v>
      </c>
      <c r="U113" s="294">
        <f t="shared" si="56"/>
        <v>310866.70271506225</v>
      </c>
      <c r="V113" s="294">
        <f t="shared" si="56"/>
        <v>310866.70271506225</v>
      </c>
      <c r="W113" s="294">
        <f t="shared" si="56"/>
        <v>310866.70271506225</v>
      </c>
      <c r="X113" s="294">
        <f t="shared" si="56"/>
        <v>310866.70271506225</v>
      </c>
      <c r="Y113" s="294">
        <f t="shared" si="56"/>
        <v>331585.30113783723</v>
      </c>
      <c r="Z113" s="294">
        <f t="shared" si="56"/>
        <v>331585.30113783723</v>
      </c>
      <c r="AA113" s="294">
        <f t="shared" si="56"/>
        <v>331585.30113783723</v>
      </c>
      <c r="AB113" s="294">
        <f t="shared" si="56"/>
        <v>331585.30113783723</v>
      </c>
      <c r="AC113" s="294">
        <f t="shared" si="56"/>
        <v>350770.34771360917</v>
      </c>
      <c r="AD113" s="294">
        <f t="shared" si="56"/>
        <v>350770.34771360917</v>
      </c>
      <c r="AE113" s="294">
        <f t="shared" si="56"/>
        <v>350770.34771360917</v>
      </c>
      <c r="AF113" s="294">
        <f t="shared" si="56"/>
        <v>350770.34771360917</v>
      </c>
      <c r="AG113" s="294">
        <f t="shared" si="56"/>
        <v>350770.34771360917</v>
      </c>
      <c r="AH113" s="294">
        <f t="shared" si="56"/>
        <v>350770.34771360917</v>
      </c>
      <c r="AI113" s="294">
        <f t="shared" si="56"/>
        <v>350770.34771360917</v>
      </c>
      <c r="AJ113" s="295">
        <f t="shared" si="43"/>
        <v>8944081.7066121195</v>
      </c>
    </row>
    <row r="114" spans="2:37" ht="14.4">
      <c r="B114" s="375"/>
      <c r="C114" s="375"/>
      <c r="D114" s="73" t="s">
        <v>195</v>
      </c>
      <c r="E114" s="297">
        <f>BDI!$F$33</f>
        <v>0.26450000000000001</v>
      </c>
      <c r="F114" s="293"/>
      <c r="G114" s="294">
        <f t="shared" ref="G114:AI114" si="57">+G113*$E114</f>
        <v>55668.051526819239</v>
      </c>
      <c r="H114" s="294">
        <f t="shared" si="57"/>
        <v>59407.642821220921</v>
      </c>
      <c r="I114" s="294">
        <f t="shared" si="57"/>
        <v>63147.234115622603</v>
      </c>
      <c r="J114" s="294">
        <f t="shared" si="57"/>
        <v>66886.825410024292</v>
      </c>
      <c r="K114" s="294">
        <f t="shared" si="57"/>
        <v>72357.72074968509</v>
      </c>
      <c r="L114" s="294">
        <f t="shared" si="57"/>
        <v>74544.393711028883</v>
      </c>
      <c r="M114" s="294">
        <f t="shared" si="57"/>
        <v>78355.320476560461</v>
      </c>
      <c r="N114" s="294">
        <f t="shared" si="57"/>
        <v>79822.291325500977</v>
      </c>
      <c r="O114" s="294">
        <f t="shared" si="57"/>
        <v>79964.962267760697</v>
      </c>
      <c r="P114" s="294">
        <f t="shared" si="57"/>
        <v>80036.297738890557</v>
      </c>
      <c r="Q114" s="294">
        <f t="shared" si="57"/>
        <v>80952.433325704318</v>
      </c>
      <c r="R114" s="294">
        <f t="shared" si="57"/>
        <v>81095.104267964052</v>
      </c>
      <c r="S114" s="294">
        <f t="shared" si="57"/>
        <v>82152.907397004063</v>
      </c>
      <c r="T114" s="294">
        <f t="shared" si="57"/>
        <v>82152.907397004063</v>
      </c>
      <c r="U114" s="294">
        <f t="shared" si="57"/>
        <v>82224.242868133966</v>
      </c>
      <c r="V114" s="294">
        <f t="shared" si="57"/>
        <v>82224.242868133966</v>
      </c>
      <c r="W114" s="294">
        <f t="shared" si="57"/>
        <v>82224.242868133966</v>
      </c>
      <c r="X114" s="294">
        <f t="shared" si="57"/>
        <v>82224.242868133966</v>
      </c>
      <c r="Y114" s="294">
        <f t="shared" si="57"/>
        <v>87704.312150957951</v>
      </c>
      <c r="Z114" s="294">
        <f t="shared" si="57"/>
        <v>87704.312150957951</v>
      </c>
      <c r="AA114" s="294">
        <f t="shared" si="57"/>
        <v>87704.312150957951</v>
      </c>
      <c r="AB114" s="294">
        <f t="shared" si="57"/>
        <v>87704.312150957951</v>
      </c>
      <c r="AC114" s="294">
        <f t="shared" si="57"/>
        <v>92778.756970249626</v>
      </c>
      <c r="AD114" s="294">
        <f t="shared" si="57"/>
        <v>92778.756970249626</v>
      </c>
      <c r="AE114" s="294">
        <f t="shared" si="57"/>
        <v>92778.756970249626</v>
      </c>
      <c r="AF114" s="294">
        <f t="shared" si="57"/>
        <v>92778.756970249626</v>
      </c>
      <c r="AG114" s="294">
        <f t="shared" si="57"/>
        <v>92778.756970249626</v>
      </c>
      <c r="AH114" s="294">
        <f t="shared" si="57"/>
        <v>92778.756970249626</v>
      </c>
      <c r="AI114" s="294">
        <f t="shared" si="57"/>
        <v>92778.756970249626</v>
      </c>
      <c r="AJ114" s="295">
        <f t="shared" si="43"/>
        <v>2365709.6113989055</v>
      </c>
    </row>
    <row r="115" spans="2:37" ht="14.4">
      <c r="B115" s="375"/>
      <c r="C115" s="375"/>
      <c r="D115" s="73" t="s">
        <v>196</v>
      </c>
      <c r="E115" s="296"/>
      <c r="F115" s="293"/>
      <c r="G115" s="76">
        <f t="shared" ref="G115:AI115" si="58">+SUM(G113:G114)</f>
        <v>266133.27469059709</v>
      </c>
      <c r="H115" s="76">
        <f t="shared" si="58"/>
        <v>284011.20736269886</v>
      </c>
      <c r="I115" s="76">
        <f t="shared" si="58"/>
        <v>301889.14003480069</v>
      </c>
      <c r="J115" s="76">
        <f t="shared" si="58"/>
        <v>319767.07270690252</v>
      </c>
      <c r="K115" s="76">
        <f t="shared" si="58"/>
        <v>345921.88237420336</v>
      </c>
      <c r="L115" s="76">
        <f t="shared" si="58"/>
        <v>356375.74989639327</v>
      </c>
      <c r="M115" s="76">
        <f t="shared" si="58"/>
        <v>374594.71736336744</v>
      </c>
      <c r="N115" s="76">
        <f t="shared" si="58"/>
        <v>381607.89179998485</v>
      </c>
      <c r="O115" s="76">
        <f t="shared" si="58"/>
        <v>382289.96138972929</v>
      </c>
      <c r="P115" s="76">
        <f t="shared" si="58"/>
        <v>382630.99618460156</v>
      </c>
      <c r="Q115" s="76">
        <f t="shared" si="58"/>
        <v>387010.78238318756</v>
      </c>
      <c r="R115" s="76">
        <f t="shared" si="58"/>
        <v>387692.85197293211</v>
      </c>
      <c r="S115" s="76">
        <f t="shared" si="58"/>
        <v>392749.91078832379</v>
      </c>
      <c r="T115" s="76">
        <f t="shared" si="58"/>
        <v>392749.91078832379</v>
      </c>
      <c r="U115" s="76">
        <f t="shared" si="58"/>
        <v>393090.94558319624</v>
      </c>
      <c r="V115" s="76">
        <f t="shared" si="58"/>
        <v>393090.94558319624</v>
      </c>
      <c r="W115" s="76">
        <f t="shared" si="58"/>
        <v>393090.94558319624</v>
      </c>
      <c r="X115" s="76">
        <f t="shared" si="58"/>
        <v>393090.94558319624</v>
      </c>
      <c r="Y115" s="76">
        <f t="shared" si="58"/>
        <v>419289.61328879517</v>
      </c>
      <c r="Z115" s="76">
        <f t="shared" si="58"/>
        <v>419289.61328879517</v>
      </c>
      <c r="AA115" s="76">
        <f t="shared" si="58"/>
        <v>419289.61328879517</v>
      </c>
      <c r="AB115" s="76">
        <f t="shared" si="58"/>
        <v>419289.61328879517</v>
      </c>
      <c r="AC115" s="76">
        <f t="shared" si="58"/>
        <v>443549.10468385881</v>
      </c>
      <c r="AD115" s="76">
        <f t="shared" si="58"/>
        <v>443549.10468385881</v>
      </c>
      <c r="AE115" s="76">
        <f t="shared" si="58"/>
        <v>443549.10468385881</v>
      </c>
      <c r="AF115" s="76">
        <f t="shared" si="58"/>
        <v>443549.10468385881</v>
      </c>
      <c r="AG115" s="76">
        <f t="shared" si="58"/>
        <v>443549.10468385881</v>
      </c>
      <c r="AH115" s="76">
        <f t="shared" si="58"/>
        <v>443549.10468385881</v>
      </c>
      <c r="AI115" s="76">
        <f t="shared" si="58"/>
        <v>443549.10468385881</v>
      </c>
      <c r="AJ115" s="228">
        <f t="shared" si="43"/>
        <v>11309791.318011029</v>
      </c>
      <c r="AK115" s="2"/>
    </row>
    <row r="116" spans="2:37" ht="14.4">
      <c r="B116" s="374" t="s">
        <v>201</v>
      </c>
      <c r="C116" s="374" t="str">
        <f>+C39</f>
        <v>Dispositivos de Proteção e Segurança</v>
      </c>
      <c r="D116" s="72" t="s">
        <v>189</v>
      </c>
      <c r="E116" s="288"/>
      <c r="F116" s="289"/>
      <c r="G116" s="290">
        <f t="shared" ref="G116:AI116" si="59">+G39</f>
        <v>1771551.3983848419</v>
      </c>
      <c r="H116" s="290">
        <f t="shared" si="59"/>
        <v>1771551.3983848419</v>
      </c>
      <c r="I116" s="290">
        <f t="shared" si="59"/>
        <v>1771551.3983848419</v>
      </c>
      <c r="J116" s="290">
        <f t="shared" si="59"/>
        <v>1771551.3983848419</v>
      </c>
      <c r="K116" s="290">
        <f t="shared" si="59"/>
        <v>1771551.3983848419</v>
      </c>
      <c r="L116" s="290">
        <f t="shared" si="59"/>
        <v>1771551.3983848419</v>
      </c>
      <c r="M116" s="290">
        <f t="shared" si="59"/>
        <v>1771551.3983848419</v>
      </c>
      <c r="N116" s="290">
        <f t="shared" si="59"/>
        <v>1771551.3983848419</v>
      </c>
      <c r="O116" s="290">
        <f t="shared" si="59"/>
        <v>1771551.3983848419</v>
      </c>
      <c r="P116" s="290">
        <f t="shared" si="59"/>
        <v>1771551.3983848419</v>
      </c>
      <c r="Q116" s="290">
        <f t="shared" si="59"/>
        <v>1771551.3983848419</v>
      </c>
      <c r="R116" s="290">
        <f t="shared" si="59"/>
        <v>1771551.3983848419</v>
      </c>
      <c r="S116" s="290">
        <f t="shared" si="59"/>
        <v>1771551.3983848419</v>
      </c>
      <c r="T116" s="290">
        <f t="shared" si="59"/>
        <v>1771551.3983848419</v>
      </c>
      <c r="U116" s="290">
        <f t="shared" si="59"/>
        <v>1771551.3983848419</v>
      </c>
      <c r="V116" s="290">
        <f t="shared" si="59"/>
        <v>1771551.3983848419</v>
      </c>
      <c r="W116" s="290">
        <f t="shared" si="59"/>
        <v>1771551.3983848419</v>
      </c>
      <c r="X116" s="290">
        <f t="shared" si="59"/>
        <v>1771551.3983848419</v>
      </c>
      <c r="Y116" s="290">
        <f t="shared" si="59"/>
        <v>1771551.3983848419</v>
      </c>
      <c r="Z116" s="290">
        <f t="shared" si="59"/>
        <v>1771551.3983848419</v>
      </c>
      <c r="AA116" s="290">
        <f t="shared" si="59"/>
        <v>1771551.3983848419</v>
      </c>
      <c r="AB116" s="290">
        <f t="shared" si="59"/>
        <v>1771551.3983848419</v>
      </c>
      <c r="AC116" s="290">
        <f t="shared" si="59"/>
        <v>1771551.3983848419</v>
      </c>
      <c r="AD116" s="290">
        <f t="shared" si="59"/>
        <v>1771551.3983848419</v>
      </c>
      <c r="AE116" s="290">
        <f t="shared" si="59"/>
        <v>1771551.3983848419</v>
      </c>
      <c r="AF116" s="290">
        <f t="shared" si="59"/>
        <v>1771551.3983848419</v>
      </c>
      <c r="AG116" s="290">
        <f t="shared" si="59"/>
        <v>1771551.3983848419</v>
      </c>
      <c r="AH116" s="290">
        <f t="shared" si="59"/>
        <v>1771551.3983848419</v>
      </c>
      <c r="AI116" s="290">
        <f t="shared" si="59"/>
        <v>1771551.3983848419</v>
      </c>
      <c r="AJ116" s="291">
        <f t="shared" si="43"/>
        <v>51374990.553160392</v>
      </c>
    </row>
    <row r="117" spans="2:37" ht="14.4">
      <c r="B117" s="375"/>
      <c r="C117" s="375"/>
      <c r="D117" s="73" t="s">
        <v>190</v>
      </c>
      <c r="E117" s="292">
        <v>6.3299999999999995E-2</v>
      </c>
      <c r="F117" s="293"/>
      <c r="G117" s="294">
        <f t="shared" ref="G117:AI117" si="60">+G116*$E117</f>
        <v>112139.20351776048</v>
      </c>
      <c r="H117" s="294">
        <f t="shared" si="60"/>
        <v>112139.20351776048</v>
      </c>
      <c r="I117" s="294">
        <f t="shared" si="60"/>
        <v>112139.20351776048</v>
      </c>
      <c r="J117" s="294">
        <f t="shared" si="60"/>
        <v>112139.20351776048</v>
      </c>
      <c r="K117" s="294">
        <f t="shared" si="60"/>
        <v>112139.20351776048</v>
      </c>
      <c r="L117" s="294">
        <f t="shared" si="60"/>
        <v>112139.20351776048</v>
      </c>
      <c r="M117" s="294">
        <f t="shared" si="60"/>
        <v>112139.20351776048</v>
      </c>
      <c r="N117" s="294">
        <f t="shared" si="60"/>
        <v>112139.20351776048</v>
      </c>
      <c r="O117" s="294">
        <f t="shared" si="60"/>
        <v>112139.20351776048</v>
      </c>
      <c r="P117" s="294">
        <f t="shared" si="60"/>
        <v>112139.20351776048</v>
      </c>
      <c r="Q117" s="294">
        <f t="shared" si="60"/>
        <v>112139.20351776048</v>
      </c>
      <c r="R117" s="294">
        <f t="shared" si="60"/>
        <v>112139.20351776048</v>
      </c>
      <c r="S117" s="294">
        <f t="shared" si="60"/>
        <v>112139.20351776048</v>
      </c>
      <c r="T117" s="294">
        <f t="shared" si="60"/>
        <v>112139.20351776048</v>
      </c>
      <c r="U117" s="294">
        <f t="shared" si="60"/>
        <v>112139.20351776048</v>
      </c>
      <c r="V117" s="294">
        <f t="shared" si="60"/>
        <v>112139.20351776048</v>
      </c>
      <c r="W117" s="294">
        <f t="shared" si="60"/>
        <v>112139.20351776048</v>
      </c>
      <c r="X117" s="294">
        <f t="shared" si="60"/>
        <v>112139.20351776048</v>
      </c>
      <c r="Y117" s="294">
        <f t="shared" si="60"/>
        <v>112139.20351776048</v>
      </c>
      <c r="Z117" s="294">
        <f t="shared" si="60"/>
        <v>112139.20351776048</v>
      </c>
      <c r="AA117" s="294">
        <f t="shared" si="60"/>
        <v>112139.20351776048</v>
      </c>
      <c r="AB117" s="294">
        <f t="shared" si="60"/>
        <v>112139.20351776048</v>
      </c>
      <c r="AC117" s="294">
        <f t="shared" si="60"/>
        <v>112139.20351776048</v>
      </c>
      <c r="AD117" s="294">
        <f t="shared" si="60"/>
        <v>112139.20351776048</v>
      </c>
      <c r="AE117" s="294">
        <f t="shared" si="60"/>
        <v>112139.20351776048</v>
      </c>
      <c r="AF117" s="294">
        <f t="shared" si="60"/>
        <v>112139.20351776048</v>
      </c>
      <c r="AG117" s="294">
        <f t="shared" si="60"/>
        <v>112139.20351776048</v>
      </c>
      <c r="AH117" s="294">
        <f t="shared" si="60"/>
        <v>112139.20351776048</v>
      </c>
      <c r="AI117" s="294">
        <f t="shared" si="60"/>
        <v>112139.20351776048</v>
      </c>
      <c r="AJ117" s="295">
        <f t="shared" si="43"/>
        <v>3252036.9020150546</v>
      </c>
    </row>
    <row r="118" spans="2:37" ht="14.4">
      <c r="B118" s="375"/>
      <c r="C118" s="375"/>
      <c r="D118" s="73" t="s">
        <v>191</v>
      </c>
      <c r="E118" s="292">
        <v>5.0000000000000001E-3</v>
      </c>
      <c r="F118" s="293"/>
      <c r="G118" s="294">
        <f>+G116*$E118</f>
        <v>8857.7569919242087</v>
      </c>
      <c r="H118" s="294">
        <f t="shared" ref="H118:AI118" si="61">+H116*$E118</f>
        <v>8857.7569919242087</v>
      </c>
      <c r="I118" s="294">
        <f t="shared" si="61"/>
        <v>8857.7569919242087</v>
      </c>
      <c r="J118" s="294">
        <f t="shared" si="61"/>
        <v>8857.7569919242087</v>
      </c>
      <c r="K118" s="294">
        <f t="shared" si="61"/>
        <v>8857.7569919242087</v>
      </c>
      <c r="L118" s="294">
        <f t="shared" si="61"/>
        <v>8857.7569919242087</v>
      </c>
      <c r="M118" s="294">
        <f t="shared" si="61"/>
        <v>8857.7569919242087</v>
      </c>
      <c r="N118" s="294">
        <f t="shared" si="61"/>
        <v>8857.7569919242087</v>
      </c>
      <c r="O118" s="294">
        <f t="shared" si="61"/>
        <v>8857.7569919242087</v>
      </c>
      <c r="P118" s="294">
        <f t="shared" si="61"/>
        <v>8857.7569919242087</v>
      </c>
      <c r="Q118" s="294">
        <f t="shared" si="61"/>
        <v>8857.7569919242087</v>
      </c>
      <c r="R118" s="294">
        <f t="shared" si="61"/>
        <v>8857.7569919242087</v>
      </c>
      <c r="S118" s="294">
        <f t="shared" si="61"/>
        <v>8857.7569919242087</v>
      </c>
      <c r="T118" s="294">
        <f t="shared" si="61"/>
        <v>8857.7569919242087</v>
      </c>
      <c r="U118" s="294">
        <f t="shared" si="61"/>
        <v>8857.7569919242087</v>
      </c>
      <c r="V118" s="294">
        <f t="shared" si="61"/>
        <v>8857.7569919242087</v>
      </c>
      <c r="W118" s="294">
        <f t="shared" si="61"/>
        <v>8857.7569919242087</v>
      </c>
      <c r="X118" s="294">
        <f t="shared" si="61"/>
        <v>8857.7569919242087</v>
      </c>
      <c r="Y118" s="294">
        <f t="shared" si="61"/>
        <v>8857.7569919242087</v>
      </c>
      <c r="Z118" s="294">
        <f t="shared" si="61"/>
        <v>8857.7569919242087</v>
      </c>
      <c r="AA118" s="294">
        <f t="shared" si="61"/>
        <v>8857.7569919242087</v>
      </c>
      <c r="AB118" s="294">
        <f t="shared" si="61"/>
        <v>8857.7569919242087</v>
      </c>
      <c r="AC118" s="294">
        <f t="shared" si="61"/>
        <v>8857.7569919242087</v>
      </c>
      <c r="AD118" s="294">
        <f t="shared" si="61"/>
        <v>8857.7569919242087</v>
      </c>
      <c r="AE118" s="294">
        <f t="shared" si="61"/>
        <v>8857.7569919242087</v>
      </c>
      <c r="AF118" s="294">
        <f t="shared" si="61"/>
        <v>8857.7569919242087</v>
      </c>
      <c r="AG118" s="294">
        <f t="shared" si="61"/>
        <v>8857.7569919242087</v>
      </c>
      <c r="AH118" s="294">
        <f t="shared" si="61"/>
        <v>8857.7569919242087</v>
      </c>
      <c r="AI118" s="294">
        <f t="shared" si="61"/>
        <v>8857.7569919242087</v>
      </c>
      <c r="AJ118" s="295">
        <f t="shared" si="43"/>
        <v>256874.95276580186</v>
      </c>
    </row>
    <row r="119" spans="2:37" ht="14.4">
      <c r="B119" s="375"/>
      <c r="C119" s="375"/>
      <c r="D119" s="73" t="s">
        <v>192</v>
      </c>
      <c r="E119" s="292">
        <v>2.8000000000000001E-2</v>
      </c>
      <c r="F119" s="293"/>
      <c r="G119" s="294">
        <f>+G116*$E119</f>
        <v>49603.439154775573</v>
      </c>
      <c r="H119" s="294">
        <f t="shared" ref="H119:AI119" si="62">+H116*$E119</f>
        <v>49603.439154775573</v>
      </c>
      <c r="I119" s="294">
        <f t="shared" si="62"/>
        <v>49603.439154775573</v>
      </c>
      <c r="J119" s="294">
        <f t="shared" si="62"/>
        <v>49603.439154775573</v>
      </c>
      <c r="K119" s="294">
        <f t="shared" si="62"/>
        <v>49603.439154775573</v>
      </c>
      <c r="L119" s="294">
        <f t="shared" si="62"/>
        <v>49603.439154775573</v>
      </c>
      <c r="M119" s="294">
        <f t="shared" si="62"/>
        <v>49603.439154775573</v>
      </c>
      <c r="N119" s="294">
        <f t="shared" si="62"/>
        <v>49603.439154775573</v>
      </c>
      <c r="O119" s="294">
        <f t="shared" si="62"/>
        <v>49603.439154775573</v>
      </c>
      <c r="P119" s="294">
        <f t="shared" si="62"/>
        <v>49603.439154775573</v>
      </c>
      <c r="Q119" s="294">
        <f t="shared" si="62"/>
        <v>49603.439154775573</v>
      </c>
      <c r="R119" s="294">
        <f t="shared" si="62"/>
        <v>49603.439154775573</v>
      </c>
      <c r="S119" s="294">
        <f t="shared" si="62"/>
        <v>49603.439154775573</v>
      </c>
      <c r="T119" s="294">
        <f t="shared" si="62"/>
        <v>49603.439154775573</v>
      </c>
      <c r="U119" s="294">
        <f t="shared" si="62"/>
        <v>49603.439154775573</v>
      </c>
      <c r="V119" s="294">
        <f t="shared" si="62"/>
        <v>49603.439154775573</v>
      </c>
      <c r="W119" s="294">
        <f t="shared" si="62"/>
        <v>49603.439154775573</v>
      </c>
      <c r="X119" s="294">
        <f t="shared" si="62"/>
        <v>49603.439154775573</v>
      </c>
      <c r="Y119" s="294">
        <f t="shared" si="62"/>
        <v>49603.439154775573</v>
      </c>
      <c r="Z119" s="294">
        <f t="shared" si="62"/>
        <v>49603.439154775573</v>
      </c>
      <c r="AA119" s="294">
        <f t="shared" si="62"/>
        <v>49603.439154775573</v>
      </c>
      <c r="AB119" s="294">
        <f t="shared" si="62"/>
        <v>49603.439154775573</v>
      </c>
      <c r="AC119" s="294">
        <f t="shared" si="62"/>
        <v>49603.439154775573</v>
      </c>
      <c r="AD119" s="294">
        <f t="shared" si="62"/>
        <v>49603.439154775573</v>
      </c>
      <c r="AE119" s="294">
        <f t="shared" si="62"/>
        <v>49603.439154775573</v>
      </c>
      <c r="AF119" s="294">
        <f t="shared" si="62"/>
        <v>49603.439154775573</v>
      </c>
      <c r="AG119" s="294">
        <f t="shared" si="62"/>
        <v>49603.439154775573</v>
      </c>
      <c r="AH119" s="294">
        <f t="shared" si="62"/>
        <v>49603.439154775573</v>
      </c>
      <c r="AI119" s="294">
        <f t="shared" si="62"/>
        <v>49603.439154775573</v>
      </c>
      <c r="AJ119" s="295">
        <f t="shared" si="43"/>
        <v>1438499.7354884916</v>
      </c>
    </row>
    <row r="120" spans="2:37" ht="14.4">
      <c r="B120" s="375"/>
      <c r="C120" s="375"/>
      <c r="D120" s="73" t="s">
        <v>193</v>
      </c>
      <c r="E120" s="292">
        <v>5.0000000000000001E-3</v>
      </c>
      <c r="F120" s="293"/>
      <c r="G120" s="294">
        <f>+G116*$E120</f>
        <v>8857.7569919242087</v>
      </c>
      <c r="H120" s="294">
        <f t="shared" ref="H120:AI120" si="63">+H116*$E120</f>
        <v>8857.7569919242087</v>
      </c>
      <c r="I120" s="294">
        <f t="shared" si="63"/>
        <v>8857.7569919242087</v>
      </c>
      <c r="J120" s="294">
        <f t="shared" si="63"/>
        <v>8857.7569919242087</v>
      </c>
      <c r="K120" s="294">
        <f t="shared" si="63"/>
        <v>8857.7569919242087</v>
      </c>
      <c r="L120" s="294">
        <f t="shared" si="63"/>
        <v>8857.7569919242087</v>
      </c>
      <c r="M120" s="294">
        <f t="shared" si="63"/>
        <v>8857.7569919242087</v>
      </c>
      <c r="N120" s="294">
        <f t="shared" si="63"/>
        <v>8857.7569919242087</v>
      </c>
      <c r="O120" s="294">
        <f t="shared" si="63"/>
        <v>8857.7569919242087</v>
      </c>
      <c r="P120" s="294">
        <f t="shared" si="63"/>
        <v>8857.7569919242087</v>
      </c>
      <c r="Q120" s="294">
        <f t="shared" si="63"/>
        <v>8857.7569919242087</v>
      </c>
      <c r="R120" s="294">
        <f t="shared" si="63"/>
        <v>8857.7569919242087</v>
      </c>
      <c r="S120" s="294">
        <f t="shared" si="63"/>
        <v>8857.7569919242087</v>
      </c>
      <c r="T120" s="294">
        <f t="shared" si="63"/>
        <v>8857.7569919242087</v>
      </c>
      <c r="U120" s="294">
        <f t="shared" si="63"/>
        <v>8857.7569919242087</v>
      </c>
      <c r="V120" s="294">
        <f t="shared" si="63"/>
        <v>8857.7569919242087</v>
      </c>
      <c r="W120" s="294">
        <f t="shared" si="63"/>
        <v>8857.7569919242087</v>
      </c>
      <c r="X120" s="294">
        <f t="shared" si="63"/>
        <v>8857.7569919242087</v>
      </c>
      <c r="Y120" s="294">
        <f t="shared" si="63"/>
        <v>8857.7569919242087</v>
      </c>
      <c r="Z120" s="294">
        <f t="shared" si="63"/>
        <v>8857.7569919242087</v>
      </c>
      <c r="AA120" s="294">
        <f t="shared" si="63"/>
        <v>8857.7569919242087</v>
      </c>
      <c r="AB120" s="294">
        <f t="shared" si="63"/>
        <v>8857.7569919242087</v>
      </c>
      <c r="AC120" s="294">
        <f t="shared" si="63"/>
        <v>8857.7569919242087</v>
      </c>
      <c r="AD120" s="294">
        <f t="shared" si="63"/>
        <v>8857.7569919242087</v>
      </c>
      <c r="AE120" s="294">
        <f t="shared" si="63"/>
        <v>8857.7569919242087</v>
      </c>
      <c r="AF120" s="294">
        <f t="shared" si="63"/>
        <v>8857.7569919242087</v>
      </c>
      <c r="AG120" s="294">
        <f t="shared" si="63"/>
        <v>8857.7569919242087</v>
      </c>
      <c r="AH120" s="294">
        <f t="shared" si="63"/>
        <v>8857.7569919242087</v>
      </c>
      <c r="AI120" s="294">
        <f t="shared" si="63"/>
        <v>8857.7569919242087</v>
      </c>
      <c r="AJ120" s="295">
        <f t="shared" si="43"/>
        <v>256874.95276580186</v>
      </c>
    </row>
    <row r="121" spans="2:37" ht="14.4">
      <c r="B121" s="375"/>
      <c r="C121" s="375"/>
      <c r="D121" s="73" t="s">
        <v>194</v>
      </c>
      <c r="E121" s="296"/>
      <c r="F121" s="293"/>
      <c r="G121" s="294">
        <f t="shared" ref="G121:AI121" si="64">+SUBTOTAL(9,G116:G120)</f>
        <v>1951009.5550412263</v>
      </c>
      <c r="H121" s="294">
        <f t="shared" si="64"/>
        <v>1951009.5550412263</v>
      </c>
      <c r="I121" s="294">
        <f t="shared" si="64"/>
        <v>1951009.5550412263</v>
      </c>
      <c r="J121" s="294">
        <f t="shared" si="64"/>
        <v>1951009.5550412263</v>
      </c>
      <c r="K121" s="294">
        <f t="shared" si="64"/>
        <v>1951009.5550412263</v>
      </c>
      <c r="L121" s="294">
        <f t="shared" si="64"/>
        <v>1951009.5550412263</v>
      </c>
      <c r="M121" s="294">
        <f t="shared" si="64"/>
        <v>1951009.5550412263</v>
      </c>
      <c r="N121" s="294">
        <f t="shared" si="64"/>
        <v>1951009.5550412263</v>
      </c>
      <c r="O121" s="294">
        <f t="shared" si="64"/>
        <v>1951009.5550412263</v>
      </c>
      <c r="P121" s="294">
        <f t="shared" si="64"/>
        <v>1951009.5550412263</v>
      </c>
      <c r="Q121" s="294">
        <f t="shared" si="64"/>
        <v>1951009.5550412263</v>
      </c>
      <c r="R121" s="294">
        <f t="shared" si="64"/>
        <v>1951009.5550412263</v>
      </c>
      <c r="S121" s="294">
        <f t="shared" si="64"/>
        <v>1951009.5550412263</v>
      </c>
      <c r="T121" s="294">
        <f t="shared" si="64"/>
        <v>1951009.5550412263</v>
      </c>
      <c r="U121" s="294">
        <f t="shared" si="64"/>
        <v>1951009.5550412263</v>
      </c>
      <c r="V121" s="294">
        <f t="shared" si="64"/>
        <v>1951009.5550412263</v>
      </c>
      <c r="W121" s="294">
        <f t="shared" si="64"/>
        <v>1951009.5550412263</v>
      </c>
      <c r="X121" s="294">
        <f t="shared" si="64"/>
        <v>1951009.5550412263</v>
      </c>
      <c r="Y121" s="294">
        <f t="shared" si="64"/>
        <v>1951009.5550412263</v>
      </c>
      <c r="Z121" s="294">
        <f t="shared" si="64"/>
        <v>1951009.5550412263</v>
      </c>
      <c r="AA121" s="294">
        <f t="shared" si="64"/>
        <v>1951009.5550412263</v>
      </c>
      <c r="AB121" s="294">
        <f t="shared" si="64"/>
        <v>1951009.5550412263</v>
      </c>
      <c r="AC121" s="294">
        <f t="shared" si="64"/>
        <v>1951009.5550412263</v>
      </c>
      <c r="AD121" s="294">
        <f t="shared" si="64"/>
        <v>1951009.5550412263</v>
      </c>
      <c r="AE121" s="294">
        <f t="shared" si="64"/>
        <v>1951009.5550412263</v>
      </c>
      <c r="AF121" s="294">
        <f t="shared" si="64"/>
        <v>1951009.5550412263</v>
      </c>
      <c r="AG121" s="294">
        <f t="shared" si="64"/>
        <v>1951009.5550412263</v>
      </c>
      <c r="AH121" s="294">
        <f t="shared" si="64"/>
        <v>1951009.5550412263</v>
      </c>
      <c r="AI121" s="294">
        <f t="shared" si="64"/>
        <v>1951009.5550412263</v>
      </c>
      <c r="AJ121" s="295">
        <f t="shared" si="43"/>
        <v>56579277.096195541</v>
      </c>
    </row>
    <row r="122" spans="2:37" ht="14.4">
      <c r="B122" s="375"/>
      <c r="C122" s="375"/>
      <c r="D122" s="73" t="s">
        <v>195</v>
      </c>
      <c r="E122" s="297">
        <f>BDI!$F$33</f>
        <v>0.26450000000000001</v>
      </c>
      <c r="F122" s="293"/>
      <c r="G122" s="294">
        <f t="shared" ref="G122:AI122" si="65">+G121*$E122</f>
        <v>516042.02730840439</v>
      </c>
      <c r="H122" s="294">
        <f t="shared" si="65"/>
        <v>516042.02730840439</v>
      </c>
      <c r="I122" s="294">
        <f t="shared" si="65"/>
        <v>516042.02730840439</v>
      </c>
      <c r="J122" s="294">
        <f t="shared" si="65"/>
        <v>516042.02730840439</v>
      </c>
      <c r="K122" s="294">
        <f t="shared" si="65"/>
        <v>516042.02730840439</v>
      </c>
      <c r="L122" s="294">
        <f t="shared" si="65"/>
        <v>516042.02730840439</v>
      </c>
      <c r="M122" s="294">
        <f t="shared" si="65"/>
        <v>516042.02730840439</v>
      </c>
      <c r="N122" s="294">
        <f t="shared" si="65"/>
        <v>516042.02730840439</v>
      </c>
      <c r="O122" s="294">
        <f t="shared" si="65"/>
        <v>516042.02730840439</v>
      </c>
      <c r="P122" s="294">
        <f t="shared" si="65"/>
        <v>516042.02730840439</v>
      </c>
      <c r="Q122" s="294">
        <f t="shared" si="65"/>
        <v>516042.02730840439</v>
      </c>
      <c r="R122" s="294">
        <f t="shared" si="65"/>
        <v>516042.02730840439</v>
      </c>
      <c r="S122" s="294">
        <f t="shared" si="65"/>
        <v>516042.02730840439</v>
      </c>
      <c r="T122" s="294">
        <f t="shared" si="65"/>
        <v>516042.02730840439</v>
      </c>
      <c r="U122" s="294">
        <f t="shared" si="65"/>
        <v>516042.02730840439</v>
      </c>
      <c r="V122" s="294">
        <f t="shared" si="65"/>
        <v>516042.02730840439</v>
      </c>
      <c r="W122" s="294">
        <f t="shared" si="65"/>
        <v>516042.02730840439</v>
      </c>
      <c r="X122" s="294">
        <f t="shared" si="65"/>
        <v>516042.02730840439</v>
      </c>
      <c r="Y122" s="294">
        <f t="shared" si="65"/>
        <v>516042.02730840439</v>
      </c>
      <c r="Z122" s="294">
        <f t="shared" si="65"/>
        <v>516042.02730840439</v>
      </c>
      <c r="AA122" s="294">
        <f t="shared" si="65"/>
        <v>516042.02730840439</v>
      </c>
      <c r="AB122" s="294">
        <f t="shared" si="65"/>
        <v>516042.02730840439</v>
      </c>
      <c r="AC122" s="294">
        <f t="shared" si="65"/>
        <v>516042.02730840439</v>
      </c>
      <c r="AD122" s="294">
        <f t="shared" si="65"/>
        <v>516042.02730840439</v>
      </c>
      <c r="AE122" s="294">
        <f t="shared" si="65"/>
        <v>516042.02730840439</v>
      </c>
      <c r="AF122" s="294">
        <f t="shared" si="65"/>
        <v>516042.02730840439</v>
      </c>
      <c r="AG122" s="294">
        <f t="shared" si="65"/>
        <v>516042.02730840439</v>
      </c>
      <c r="AH122" s="294">
        <f t="shared" si="65"/>
        <v>516042.02730840439</v>
      </c>
      <c r="AI122" s="294">
        <f t="shared" si="65"/>
        <v>516042.02730840439</v>
      </c>
      <c r="AJ122" s="295">
        <f t="shared" si="43"/>
        <v>14965218.791943727</v>
      </c>
    </row>
    <row r="123" spans="2:37" ht="14.4">
      <c r="B123" s="375"/>
      <c r="C123" s="375"/>
      <c r="D123" s="73" t="s">
        <v>196</v>
      </c>
      <c r="E123" s="296"/>
      <c r="F123" s="293"/>
      <c r="G123" s="76">
        <f t="shared" ref="G123:AI123" si="66">+SUM(G121:G122)</f>
        <v>2467051.5823496305</v>
      </c>
      <c r="H123" s="76">
        <f t="shared" si="66"/>
        <v>2467051.5823496305</v>
      </c>
      <c r="I123" s="76">
        <f t="shared" si="66"/>
        <v>2467051.5823496305</v>
      </c>
      <c r="J123" s="76">
        <f t="shared" si="66"/>
        <v>2467051.5823496305</v>
      </c>
      <c r="K123" s="76">
        <f t="shared" si="66"/>
        <v>2467051.5823496305</v>
      </c>
      <c r="L123" s="76">
        <f t="shared" si="66"/>
        <v>2467051.5823496305</v>
      </c>
      <c r="M123" s="76">
        <f t="shared" si="66"/>
        <v>2467051.5823496305</v>
      </c>
      <c r="N123" s="76">
        <f t="shared" si="66"/>
        <v>2467051.5823496305</v>
      </c>
      <c r="O123" s="76">
        <f t="shared" si="66"/>
        <v>2467051.5823496305</v>
      </c>
      <c r="P123" s="76">
        <f t="shared" si="66"/>
        <v>2467051.5823496305</v>
      </c>
      <c r="Q123" s="76">
        <f t="shared" si="66"/>
        <v>2467051.5823496305</v>
      </c>
      <c r="R123" s="76">
        <f t="shared" si="66"/>
        <v>2467051.5823496305</v>
      </c>
      <c r="S123" s="76">
        <f t="shared" si="66"/>
        <v>2467051.5823496305</v>
      </c>
      <c r="T123" s="76">
        <f t="shared" si="66"/>
        <v>2467051.5823496305</v>
      </c>
      <c r="U123" s="76">
        <f t="shared" si="66"/>
        <v>2467051.5823496305</v>
      </c>
      <c r="V123" s="76">
        <f t="shared" si="66"/>
        <v>2467051.5823496305</v>
      </c>
      <c r="W123" s="76">
        <f t="shared" si="66"/>
        <v>2467051.5823496305</v>
      </c>
      <c r="X123" s="76">
        <f t="shared" si="66"/>
        <v>2467051.5823496305</v>
      </c>
      <c r="Y123" s="76">
        <f t="shared" si="66"/>
        <v>2467051.5823496305</v>
      </c>
      <c r="Z123" s="76">
        <f t="shared" si="66"/>
        <v>2467051.5823496305</v>
      </c>
      <c r="AA123" s="76">
        <f t="shared" si="66"/>
        <v>2467051.5823496305</v>
      </c>
      <c r="AB123" s="76">
        <f t="shared" si="66"/>
        <v>2467051.5823496305</v>
      </c>
      <c r="AC123" s="76">
        <f t="shared" si="66"/>
        <v>2467051.5823496305</v>
      </c>
      <c r="AD123" s="76">
        <f t="shared" si="66"/>
        <v>2467051.5823496305</v>
      </c>
      <c r="AE123" s="76">
        <f t="shared" si="66"/>
        <v>2467051.5823496305</v>
      </c>
      <c r="AF123" s="76">
        <f t="shared" si="66"/>
        <v>2467051.5823496305</v>
      </c>
      <c r="AG123" s="76">
        <f t="shared" si="66"/>
        <v>2467051.5823496305</v>
      </c>
      <c r="AH123" s="76">
        <f t="shared" si="66"/>
        <v>2467051.5823496305</v>
      </c>
      <c r="AI123" s="76">
        <f t="shared" si="66"/>
        <v>2467051.5823496305</v>
      </c>
      <c r="AJ123" s="228">
        <f t="shared" si="43"/>
        <v>71544495.888139263</v>
      </c>
      <c r="AK123" s="2"/>
    </row>
    <row r="124" spans="2:37" ht="14.4">
      <c r="B124" s="224" t="s">
        <v>202</v>
      </c>
      <c r="C124" s="225" t="s">
        <v>140</v>
      </c>
      <c r="D124" s="226"/>
      <c r="E124" s="226"/>
      <c r="F124" s="208">
        <f t="shared" ref="F124:AI124" si="67">+F132</f>
        <v>0</v>
      </c>
      <c r="G124" s="208">
        <f t="shared" si="67"/>
        <v>20265.268731646545</v>
      </c>
      <c r="H124" s="208">
        <f t="shared" si="67"/>
        <v>20265.268731646545</v>
      </c>
      <c r="I124" s="208">
        <f t="shared" si="67"/>
        <v>20265.268731646545</v>
      </c>
      <c r="J124" s="208">
        <f t="shared" si="67"/>
        <v>20265.268731646545</v>
      </c>
      <c r="K124" s="208">
        <f t="shared" si="67"/>
        <v>20265.268731646545</v>
      </c>
      <c r="L124" s="208">
        <f t="shared" si="67"/>
        <v>20265.268731646545</v>
      </c>
      <c r="M124" s="208">
        <f t="shared" si="67"/>
        <v>20265.268731646545</v>
      </c>
      <c r="N124" s="208">
        <f t="shared" si="67"/>
        <v>20265.268731646545</v>
      </c>
      <c r="O124" s="208">
        <f t="shared" si="67"/>
        <v>20265.268731646545</v>
      </c>
      <c r="P124" s="208">
        <f t="shared" si="67"/>
        <v>20265.268731646545</v>
      </c>
      <c r="Q124" s="208">
        <f t="shared" si="67"/>
        <v>20265.268731646545</v>
      </c>
      <c r="R124" s="208">
        <f t="shared" si="67"/>
        <v>20265.268731646545</v>
      </c>
      <c r="S124" s="208">
        <f t="shared" si="67"/>
        <v>20265.268731646545</v>
      </c>
      <c r="T124" s="208">
        <f t="shared" si="67"/>
        <v>20265.268731646545</v>
      </c>
      <c r="U124" s="208">
        <f t="shared" si="67"/>
        <v>20265.268731646545</v>
      </c>
      <c r="V124" s="208">
        <f t="shared" si="67"/>
        <v>20265.268731646545</v>
      </c>
      <c r="W124" s="208">
        <f t="shared" si="67"/>
        <v>20265.268731646545</v>
      </c>
      <c r="X124" s="208">
        <f t="shared" si="67"/>
        <v>20265.268731646545</v>
      </c>
      <c r="Y124" s="208">
        <f t="shared" si="67"/>
        <v>20265.268731646545</v>
      </c>
      <c r="Z124" s="208">
        <f t="shared" si="67"/>
        <v>20265.268731646545</v>
      </c>
      <c r="AA124" s="208">
        <f t="shared" si="67"/>
        <v>20265.268731646545</v>
      </c>
      <c r="AB124" s="208">
        <f t="shared" si="67"/>
        <v>20265.268731646545</v>
      </c>
      <c r="AC124" s="208">
        <f t="shared" si="67"/>
        <v>20265.268731646545</v>
      </c>
      <c r="AD124" s="208">
        <f t="shared" si="67"/>
        <v>20265.268731646545</v>
      </c>
      <c r="AE124" s="208">
        <f t="shared" si="67"/>
        <v>20265.268731646545</v>
      </c>
      <c r="AF124" s="208">
        <f t="shared" si="67"/>
        <v>20265.268731646545</v>
      </c>
      <c r="AG124" s="208">
        <f t="shared" si="67"/>
        <v>20265.268731646545</v>
      </c>
      <c r="AH124" s="208">
        <f t="shared" si="67"/>
        <v>20265.268731646545</v>
      </c>
      <c r="AI124" s="208">
        <f t="shared" si="67"/>
        <v>20265.268731646545</v>
      </c>
      <c r="AJ124" s="208">
        <f>+AJ132</f>
        <v>587692.79321774968</v>
      </c>
    </row>
    <row r="125" spans="2:37" ht="14.4">
      <c r="B125" s="374" t="s">
        <v>203</v>
      </c>
      <c r="C125" s="374" t="str">
        <f>+C44</f>
        <v>Intervenções em OAE's</v>
      </c>
      <c r="D125" s="72" t="s">
        <v>189</v>
      </c>
      <c r="E125" s="288"/>
      <c r="F125" s="289"/>
      <c r="G125" s="290">
        <f t="shared" ref="G125:AI125" si="68">+G43</f>
        <v>14552.174513514148</v>
      </c>
      <c r="H125" s="290">
        <f t="shared" si="68"/>
        <v>14552.174513514148</v>
      </c>
      <c r="I125" s="290">
        <f t="shared" si="68"/>
        <v>14552.174513514148</v>
      </c>
      <c r="J125" s="290">
        <f t="shared" si="68"/>
        <v>14552.174513514148</v>
      </c>
      <c r="K125" s="290">
        <f t="shared" si="68"/>
        <v>14552.174513514148</v>
      </c>
      <c r="L125" s="290">
        <f t="shared" si="68"/>
        <v>14552.174513514148</v>
      </c>
      <c r="M125" s="290">
        <f t="shared" si="68"/>
        <v>14552.174513514148</v>
      </c>
      <c r="N125" s="290">
        <f t="shared" si="68"/>
        <v>14552.174513514148</v>
      </c>
      <c r="O125" s="290">
        <f t="shared" si="68"/>
        <v>14552.174513514148</v>
      </c>
      <c r="P125" s="290">
        <f t="shared" si="68"/>
        <v>14552.174513514148</v>
      </c>
      <c r="Q125" s="290">
        <f t="shared" si="68"/>
        <v>14552.174513514148</v>
      </c>
      <c r="R125" s="290">
        <f t="shared" si="68"/>
        <v>14552.174513514148</v>
      </c>
      <c r="S125" s="290">
        <f t="shared" si="68"/>
        <v>14552.174513514148</v>
      </c>
      <c r="T125" s="290">
        <f t="shared" si="68"/>
        <v>14552.174513514148</v>
      </c>
      <c r="U125" s="290">
        <f t="shared" si="68"/>
        <v>14552.174513514148</v>
      </c>
      <c r="V125" s="290">
        <f t="shared" si="68"/>
        <v>14552.174513514148</v>
      </c>
      <c r="W125" s="290">
        <f t="shared" si="68"/>
        <v>14552.174513514148</v>
      </c>
      <c r="X125" s="290">
        <f t="shared" si="68"/>
        <v>14552.174513514148</v>
      </c>
      <c r="Y125" s="290">
        <f t="shared" si="68"/>
        <v>14552.174513514148</v>
      </c>
      <c r="Z125" s="290">
        <f t="shared" si="68"/>
        <v>14552.174513514148</v>
      </c>
      <c r="AA125" s="290">
        <f t="shared" si="68"/>
        <v>14552.174513514148</v>
      </c>
      <c r="AB125" s="290">
        <f t="shared" si="68"/>
        <v>14552.174513514148</v>
      </c>
      <c r="AC125" s="290">
        <f t="shared" si="68"/>
        <v>14552.174513514148</v>
      </c>
      <c r="AD125" s="290">
        <f t="shared" si="68"/>
        <v>14552.174513514148</v>
      </c>
      <c r="AE125" s="290">
        <f t="shared" si="68"/>
        <v>14552.174513514148</v>
      </c>
      <c r="AF125" s="290">
        <f t="shared" si="68"/>
        <v>14552.174513514148</v>
      </c>
      <c r="AG125" s="290">
        <f t="shared" si="68"/>
        <v>14552.174513514148</v>
      </c>
      <c r="AH125" s="290">
        <f t="shared" si="68"/>
        <v>14552.174513514148</v>
      </c>
      <c r="AI125" s="290">
        <f t="shared" si="68"/>
        <v>14552.174513514148</v>
      </c>
      <c r="AJ125" s="291">
        <f t="shared" ref="AJ125:AJ132" si="69">+SUM(F125:AI125)</f>
        <v>422013.0608919104</v>
      </c>
    </row>
    <row r="126" spans="2:37" ht="14.4">
      <c r="B126" s="375"/>
      <c r="C126" s="375"/>
      <c r="D126" s="73" t="s">
        <v>190</v>
      </c>
      <c r="E126" s="292">
        <v>6.3299999999999995E-2</v>
      </c>
      <c r="F126" s="293"/>
      <c r="G126" s="294">
        <f t="shared" ref="G126:AI126" si="70">+G125*$E126</f>
        <v>921.15264670544548</v>
      </c>
      <c r="H126" s="294">
        <f t="shared" si="70"/>
        <v>921.15264670544548</v>
      </c>
      <c r="I126" s="294">
        <f t="shared" si="70"/>
        <v>921.15264670544548</v>
      </c>
      <c r="J126" s="294">
        <f t="shared" si="70"/>
        <v>921.15264670544548</v>
      </c>
      <c r="K126" s="294">
        <f t="shared" si="70"/>
        <v>921.15264670544548</v>
      </c>
      <c r="L126" s="294">
        <f t="shared" si="70"/>
        <v>921.15264670544548</v>
      </c>
      <c r="M126" s="294">
        <f t="shared" si="70"/>
        <v>921.15264670544548</v>
      </c>
      <c r="N126" s="294">
        <f t="shared" si="70"/>
        <v>921.15264670544548</v>
      </c>
      <c r="O126" s="294">
        <f t="shared" si="70"/>
        <v>921.15264670544548</v>
      </c>
      <c r="P126" s="294">
        <f t="shared" si="70"/>
        <v>921.15264670544548</v>
      </c>
      <c r="Q126" s="294">
        <f t="shared" si="70"/>
        <v>921.15264670544548</v>
      </c>
      <c r="R126" s="294">
        <f t="shared" si="70"/>
        <v>921.15264670544548</v>
      </c>
      <c r="S126" s="294">
        <f t="shared" si="70"/>
        <v>921.15264670544548</v>
      </c>
      <c r="T126" s="294">
        <f t="shared" si="70"/>
        <v>921.15264670544548</v>
      </c>
      <c r="U126" s="294">
        <f t="shared" si="70"/>
        <v>921.15264670544548</v>
      </c>
      <c r="V126" s="294">
        <f t="shared" si="70"/>
        <v>921.15264670544548</v>
      </c>
      <c r="W126" s="294">
        <f t="shared" si="70"/>
        <v>921.15264670544548</v>
      </c>
      <c r="X126" s="294">
        <f t="shared" si="70"/>
        <v>921.15264670544548</v>
      </c>
      <c r="Y126" s="294">
        <f t="shared" si="70"/>
        <v>921.15264670544548</v>
      </c>
      <c r="Z126" s="294">
        <f t="shared" si="70"/>
        <v>921.15264670544548</v>
      </c>
      <c r="AA126" s="294">
        <f t="shared" si="70"/>
        <v>921.15264670544548</v>
      </c>
      <c r="AB126" s="294">
        <f t="shared" si="70"/>
        <v>921.15264670544548</v>
      </c>
      <c r="AC126" s="294">
        <f t="shared" si="70"/>
        <v>921.15264670544548</v>
      </c>
      <c r="AD126" s="294">
        <f t="shared" si="70"/>
        <v>921.15264670544548</v>
      </c>
      <c r="AE126" s="294">
        <f t="shared" si="70"/>
        <v>921.15264670544548</v>
      </c>
      <c r="AF126" s="294">
        <f t="shared" si="70"/>
        <v>921.15264670544548</v>
      </c>
      <c r="AG126" s="294">
        <f t="shared" si="70"/>
        <v>921.15264670544548</v>
      </c>
      <c r="AH126" s="294">
        <f t="shared" si="70"/>
        <v>921.15264670544548</v>
      </c>
      <c r="AI126" s="294">
        <f t="shared" si="70"/>
        <v>921.15264670544548</v>
      </c>
      <c r="AJ126" s="295">
        <f t="shared" si="69"/>
        <v>26713.426754457938</v>
      </c>
    </row>
    <row r="127" spans="2:37" ht="14.4">
      <c r="B127" s="375"/>
      <c r="C127" s="375"/>
      <c r="D127" s="73" t="s">
        <v>191</v>
      </c>
      <c r="E127" s="292">
        <v>5.0000000000000001E-3</v>
      </c>
      <c r="F127" s="293"/>
      <c r="G127" s="294">
        <f>+G125*$E127</f>
        <v>72.760872567570743</v>
      </c>
      <c r="H127" s="294">
        <f t="shared" ref="H127:AI127" si="71">+H125*$E127</f>
        <v>72.760872567570743</v>
      </c>
      <c r="I127" s="294">
        <f t="shared" si="71"/>
        <v>72.760872567570743</v>
      </c>
      <c r="J127" s="294">
        <f t="shared" si="71"/>
        <v>72.760872567570743</v>
      </c>
      <c r="K127" s="294">
        <f t="shared" si="71"/>
        <v>72.760872567570743</v>
      </c>
      <c r="L127" s="294">
        <f t="shared" si="71"/>
        <v>72.760872567570743</v>
      </c>
      <c r="M127" s="294">
        <f t="shared" si="71"/>
        <v>72.760872567570743</v>
      </c>
      <c r="N127" s="294">
        <f t="shared" si="71"/>
        <v>72.760872567570743</v>
      </c>
      <c r="O127" s="294">
        <f t="shared" si="71"/>
        <v>72.760872567570743</v>
      </c>
      <c r="P127" s="294">
        <f t="shared" si="71"/>
        <v>72.760872567570743</v>
      </c>
      <c r="Q127" s="294">
        <f t="shared" si="71"/>
        <v>72.760872567570743</v>
      </c>
      <c r="R127" s="294">
        <f t="shared" si="71"/>
        <v>72.760872567570743</v>
      </c>
      <c r="S127" s="294">
        <f t="shared" si="71"/>
        <v>72.760872567570743</v>
      </c>
      <c r="T127" s="294">
        <f t="shared" si="71"/>
        <v>72.760872567570743</v>
      </c>
      <c r="U127" s="294">
        <f t="shared" si="71"/>
        <v>72.760872567570743</v>
      </c>
      <c r="V127" s="294">
        <f t="shared" si="71"/>
        <v>72.760872567570743</v>
      </c>
      <c r="W127" s="294">
        <f t="shared" si="71"/>
        <v>72.760872567570743</v>
      </c>
      <c r="X127" s="294">
        <f t="shared" si="71"/>
        <v>72.760872567570743</v>
      </c>
      <c r="Y127" s="294">
        <f t="shared" si="71"/>
        <v>72.760872567570743</v>
      </c>
      <c r="Z127" s="294">
        <f t="shared" si="71"/>
        <v>72.760872567570743</v>
      </c>
      <c r="AA127" s="294">
        <f t="shared" si="71"/>
        <v>72.760872567570743</v>
      </c>
      <c r="AB127" s="294">
        <f t="shared" si="71"/>
        <v>72.760872567570743</v>
      </c>
      <c r="AC127" s="294">
        <f t="shared" si="71"/>
        <v>72.760872567570743</v>
      </c>
      <c r="AD127" s="294">
        <f t="shared" si="71"/>
        <v>72.760872567570743</v>
      </c>
      <c r="AE127" s="294">
        <f t="shared" si="71"/>
        <v>72.760872567570743</v>
      </c>
      <c r="AF127" s="294">
        <f t="shared" si="71"/>
        <v>72.760872567570743</v>
      </c>
      <c r="AG127" s="294">
        <f t="shared" si="71"/>
        <v>72.760872567570743</v>
      </c>
      <c r="AH127" s="294">
        <f t="shared" si="71"/>
        <v>72.760872567570743</v>
      </c>
      <c r="AI127" s="294">
        <f t="shared" si="71"/>
        <v>72.760872567570743</v>
      </c>
      <c r="AJ127" s="295">
        <f t="shared" si="69"/>
        <v>2110.0653044595506</v>
      </c>
    </row>
    <row r="128" spans="2:37" ht="14.4">
      <c r="B128" s="375"/>
      <c r="C128" s="375"/>
      <c r="D128" s="73" t="s">
        <v>192</v>
      </c>
      <c r="E128" s="292">
        <v>2.8000000000000001E-2</v>
      </c>
      <c r="F128" s="293"/>
      <c r="G128" s="294">
        <f>+G125*$E128</f>
        <v>407.46088637839614</v>
      </c>
      <c r="H128" s="294">
        <f t="shared" ref="H128:AI128" si="72">+H125*$E128</f>
        <v>407.46088637839614</v>
      </c>
      <c r="I128" s="294">
        <f t="shared" si="72"/>
        <v>407.46088637839614</v>
      </c>
      <c r="J128" s="294">
        <f t="shared" si="72"/>
        <v>407.46088637839614</v>
      </c>
      <c r="K128" s="294">
        <f t="shared" si="72"/>
        <v>407.46088637839614</v>
      </c>
      <c r="L128" s="294">
        <f t="shared" si="72"/>
        <v>407.46088637839614</v>
      </c>
      <c r="M128" s="294">
        <f t="shared" si="72"/>
        <v>407.46088637839614</v>
      </c>
      <c r="N128" s="294">
        <f t="shared" si="72"/>
        <v>407.46088637839614</v>
      </c>
      <c r="O128" s="294">
        <f t="shared" si="72"/>
        <v>407.46088637839614</v>
      </c>
      <c r="P128" s="294">
        <f t="shared" si="72"/>
        <v>407.46088637839614</v>
      </c>
      <c r="Q128" s="294">
        <f t="shared" si="72"/>
        <v>407.46088637839614</v>
      </c>
      <c r="R128" s="294">
        <f t="shared" si="72"/>
        <v>407.46088637839614</v>
      </c>
      <c r="S128" s="294">
        <f t="shared" si="72"/>
        <v>407.46088637839614</v>
      </c>
      <c r="T128" s="294">
        <f t="shared" si="72"/>
        <v>407.46088637839614</v>
      </c>
      <c r="U128" s="294">
        <f t="shared" si="72"/>
        <v>407.46088637839614</v>
      </c>
      <c r="V128" s="294">
        <f t="shared" si="72"/>
        <v>407.46088637839614</v>
      </c>
      <c r="W128" s="294">
        <f t="shared" si="72"/>
        <v>407.46088637839614</v>
      </c>
      <c r="X128" s="294">
        <f t="shared" si="72"/>
        <v>407.46088637839614</v>
      </c>
      <c r="Y128" s="294">
        <f t="shared" si="72"/>
        <v>407.46088637839614</v>
      </c>
      <c r="Z128" s="294">
        <f t="shared" si="72"/>
        <v>407.46088637839614</v>
      </c>
      <c r="AA128" s="294">
        <f t="shared" si="72"/>
        <v>407.46088637839614</v>
      </c>
      <c r="AB128" s="294">
        <f t="shared" si="72"/>
        <v>407.46088637839614</v>
      </c>
      <c r="AC128" s="294">
        <f t="shared" si="72"/>
        <v>407.46088637839614</v>
      </c>
      <c r="AD128" s="294">
        <f t="shared" si="72"/>
        <v>407.46088637839614</v>
      </c>
      <c r="AE128" s="294">
        <f t="shared" si="72"/>
        <v>407.46088637839614</v>
      </c>
      <c r="AF128" s="294">
        <f t="shared" si="72"/>
        <v>407.46088637839614</v>
      </c>
      <c r="AG128" s="294">
        <f t="shared" si="72"/>
        <v>407.46088637839614</v>
      </c>
      <c r="AH128" s="294">
        <f t="shared" si="72"/>
        <v>407.46088637839614</v>
      </c>
      <c r="AI128" s="294">
        <f t="shared" si="72"/>
        <v>407.46088637839614</v>
      </c>
      <c r="AJ128" s="295">
        <f t="shared" si="69"/>
        <v>11816.365704973487</v>
      </c>
    </row>
    <row r="129" spans="2:37" ht="14.4">
      <c r="B129" s="375"/>
      <c r="C129" s="375"/>
      <c r="D129" s="73" t="s">
        <v>193</v>
      </c>
      <c r="E129" s="292">
        <v>5.0000000000000001E-3</v>
      </c>
      <c r="F129" s="293"/>
      <c r="G129" s="294">
        <f>+G125*$E129</f>
        <v>72.760872567570743</v>
      </c>
      <c r="H129" s="294">
        <f t="shared" ref="H129:AI129" si="73">+H125*$E129</f>
        <v>72.760872567570743</v>
      </c>
      <c r="I129" s="294">
        <f t="shared" si="73"/>
        <v>72.760872567570743</v>
      </c>
      <c r="J129" s="294">
        <f t="shared" si="73"/>
        <v>72.760872567570743</v>
      </c>
      <c r="K129" s="294">
        <f t="shared" si="73"/>
        <v>72.760872567570743</v>
      </c>
      <c r="L129" s="294">
        <f t="shared" si="73"/>
        <v>72.760872567570743</v>
      </c>
      <c r="M129" s="294">
        <f t="shared" si="73"/>
        <v>72.760872567570743</v>
      </c>
      <c r="N129" s="294">
        <f t="shared" si="73"/>
        <v>72.760872567570743</v>
      </c>
      <c r="O129" s="294">
        <f t="shared" si="73"/>
        <v>72.760872567570743</v>
      </c>
      <c r="P129" s="294">
        <f t="shared" si="73"/>
        <v>72.760872567570743</v>
      </c>
      <c r="Q129" s="294">
        <f t="shared" si="73"/>
        <v>72.760872567570743</v>
      </c>
      <c r="R129" s="294">
        <f t="shared" si="73"/>
        <v>72.760872567570743</v>
      </c>
      <c r="S129" s="294">
        <f t="shared" si="73"/>
        <v>72.760872567570743</v>
      </c>
      <c r="T129" s="294">
        <f t="shared" si="73"/>
        <v>72.760872567570743</v>
      </c>
      <c r="U129" s="294">
        <f t="shared" si="73"/>
        <v>72.760872567570743</v>
      </c>
      <c r="V129" s="294">
        <f t="shared" si="73"/>
        <v>72.760872567570743</v>
      </c>
      <c r="W129" s="294">
        <f t="shared" si="73"/>
        <v>72.760872567570743</v>
      </c>
      <c r="X129" s="294">
        <f t="shared" si="73"/>
        <v>72.760872567570743</v>
      </c>
      <c r="Y129" s="294">
        <f t="shared" si="73"/>
        <v>72.760872567570743</v>
      </c>
      <c r="Z129" s="294">
        <f t="shared" si="73"/>
        <v>72.760872567570743</v>
      </c>
      <c r="AA129" s="294">
        <f t="shared" si="73"/>
        <v>72.760872567570743</v>
      </c>
      <c r="AB129" s="294">
        <f t="shared" si="73"/>
        <v>72.760872567570743</v>
      </c>
      <c r="AC129" s="294">
        <f t="shared" si="73"/>
        <v>72.760872567570743</v>
      </c>
      <c r="AD129" s="294">
        <f t="shared" si="73"/>
        <v>72.760872567570743</v>
      </c>
      <c r="AE129" s="294">
        <f t="shared" si="73"/>
        <v>72.760872567570743</v>
      </c>
      <c r="AF129" s="294">
        <f t="shared" si="73"/>
        <v>72.760872567570743</v>
      </c>
      <c r="AG129" s="294">
        <f t="shared" si="73"/>
        <v>72.760872567570743</v>
      </c>
      <c r="AH129" s="294">
        <f t="shared" si="73"/>
        <v>72.760872567570743</v>
      </c>
      <c r="AI129" s="294">
        <f t="shared" si="73"/>
        <v>72.760872567570743</v>
      </c>
      <c r="AJ129" s="295">
        <f t="shared" si="69"/>
        <v>2110.0653044595506</v>
      </c>
    </row>
    <row r="130" spans="2:37" ht="14.4">
      <c r="B130" s="375"/>
      <c r="C130" s="375"/>
      <c r="D130" s="73" t="s">
        <v>194</v>
      </c>
      <c r="E130" s="296"/>
      <c r="F130" s="293"/>
      <c r="G130" s="294">
        <f t="shared" ref="G130:AI130" si="74">+SUBTOTAL(9,G125:G129)</f>
        <v>16026.309791733131</v>
      </c>
      <c r="H130" s="294">
        <f t="shared" si="74"/>
        <v>16026.309791733131</v>
      </c>
      <c r="I130" s="294">
        <f t="shared" si="74"/>
        <v>16026.309791733131</v>
      </c>
      <c r="J130" s="294">
        <f t="shared" si="74"/>
        <v>16026.309791733131</v>
      </c>
      <c r="K130" s="294">
        <f t="shared" si="74"/>
        <v>16026.309791733131</v>
      </c>
      <c r="L130" s="294">
        <f t="shared" si="74"/>
        <v>16026.309791733131</v>
      </c>
      <c r="M130" s="294">
        <f t="shared" si="74"/>
        <v>16026.309791733131</v>
      </c>
      <c r="N130" s="294">
        <f t="shared" si="74"/>
        <v>16026.309791733131</v>
      </c>
      <c r="O130" s="294">
        <f t="shared" si="74"/>
        <v>16026.309791733131</v>
      </c>
      <c r="P130" s="294">
        <f t="shared" si="74"/>
        <v>16026.309791733131</v>
      </c>
      <c r="Q130" s="294">
        <f t="shared" si="74"/>
        <v>16026.309791733131</v>
      </c>
      <c r="R130" s="294">
        <f t="shared" si="74"/>
        <v>16026.309791733131</v>
      </c>
      <c r="S130" s="294">
        <f t="shared" si="74"/>
        <v>16026.309791733131</v>
      </c>
      <c r="T130" s="294">
        <f t="shared" si="74"/>
        <v>16026.309791733131</v>
      </c>
      <c r="U130" s="294">
        <f t="shared" si="74"/>
        <v>16026.309791733131</v>
      </c>
      <c r="V130" s="294">
        <f t="shared" si="74"/>
        <v>16026.309791733131</v>
      </c>
      <c r="W130" s="294">
        <f t="shared" si="74"/>
        <v>16026.309791733131</v>
      </c>
      <c r="X130" s="294">
        <f t="shared" si="74"/>
        <v>16026.309791733131</v>
      </c>
      <c r="Y130" s="294">
        <f t="shared" si="74"/>
        <v>16026.309791733131</v>
      </c>
      <c r="Z130" s="294">
        <f t="shared" si="74"/>
        <v>16026.309791733131</v>
      </c>
      <c r="AA130" s="294">
        <f t="shared" si="74"/>
        <v>16026.309791733131</v>
      </c>
      <c r="AB130" s="294">
        <f t="shared" si="74"/>
        <v>16026.309791733131</v>
      </c>
      <c r="AC130" s="294">
        <f t="shared" si="74"/>
        <v>16026.309791733131</v>
      </c>
      <c r="AD130" s="294">
        <f t="shared" si="74"/>
        <v>16026.309791733131</v>
      </c>
      <c r="AE130" s="294">
        <f t="shared" si="74"/>
        <v>16026.309791733131</v>
      </c>
      <c r="AF130" s="294">
        <f t="shared" si="74"/>
        <v>16026.309791733131</v>
      </c>
      <c r="AG130" s="294">
        <f t="shared" si="74"/>
        <v>16026.309791733131</v>
      </c>
      <c r="AH130" s="294">
        <f t="shared" si="74"/>
        <v>16026.309791733131</v>
      </c>
      <c r="AI130" s="294">
        <f t="shared" si="74"/>
        <v>16026.309791733131</v>
      </c>
      <c r="AJ130" s="295">
        <f t="shared" si="69"/>
        <v>464762.98396026046</v>
      </c>
    </row>
    <row r="131" spans="2:37" ht="14.4">
      <c r="B131" s="375"/>
      <c r="C131" s="375"/>
      <c r="D131" s="73" t="s">
        <v>195</v>
      </c>
      <c r="E131" s="297">
        <f>BDI!$F$33</f>
        <v>0.26450000000000001</v>
      </c>
      <c r="F131" s="293"/>
      <c r="G131" s="294">
        <f t="shared" ref="G131:AI131" si="75">+G130*$E131</f>
        <v>4238.9589399134129</v>
      </c>
      <c r="H131" s="294">
        <f t="shared" si="75"/>
        <v>4238.9589399134129</v>
      </c>
      <c r="I131" s="294">
        <f t="shared" si="75"/>
        <v>4238.9589399134129</v>
      </c>
      <c r="J131" s="294">
        <f t="shared" si="75"/>
        <v>4238.9589399134129</v>
      </c>
      <c r="K131" s="294">
        <f t="shared" si="75"/>
        <v>4238.9589399134129</v>
      </c>
      <c r="L131" s="294">
        <f t="shared" si="75"/>
        <v>4238.9589399134129</v>
      </c>
      <c r="M131" s="294">
        <f t="shared" si="75"/>
        <v>4238.9589399134129</v>
      </c>
      <c r="N131" s="294">
        <f t="shared" si="75"/>
        <v>4238.9589399134129</v>
      </c>
      <c r="O131" s="294">
        <f t="shared" si="75"/>
        <v>4238.9589399134129</v>
      </c>
      <c r="P131" s="294">
        <f t="shared" si="75"/>
        <v>4238.9589399134129</v>
      </c>
      <c r="Q131" s="294">
        <f t="shared" si="75"/>
        <v>4238.9589399134129</v>
      </c>
      <c r="R131" s="294">
        <f t="shared" si="75"/>
        <v>4238.9589399134129</v>
      </c>
      <c r="S131" s="294">
        <f t="shared" si="75"/>
        <v>4238.9589399134129</v>
      </c>
      <c r="T131" s="294">
        <f t="shared" si="75"/>
        <v>4238.9589399134129</v>
      </c>
      <c r="U131" s="294">
        <f t="shared" si="75"/>
        <v>4238.9589399134129</v>
      </c>
      <c r="V131" s="294">
        <f t="shared" si="75"/>
        <v>4238.9589399134129</v>
      </c>
      <c r="W131" s="294">
        <f t="shared" si="75"/>
        <v>4238.9589399134129</v>
      </c>
      <c r="X131" s="294">
        <f t="shared" si="75"/>
        <v>4238.9589399134129</v>
      </c>
      <c r="Y131" s="294">
        <f t="shared" si="75"/>
        <v>4238.9589399134129</v>
      </c>
      <c r="Z131" s="294">
        <f t="shared" si="75"/>
        <v>4238.9589399134129</v>
      </c>
      <c r="AA131" s="294">
        <f t="shared" si="75"/>
        <v>4238.9589399134129</v>
      </c>
      <c r="AB131" s="294">
        <f t="shared" si="75"/>
        <v>4238.9589399134129</v>
      </c>
      <c r="AC131" s="294">
        <f t="shared" si="75"/>
        <v>4238.9589399134129</v>
      </c>
      <c r="AD131" s="294">
        <f t="shared" si="75"/>
        <v>4238.9589399134129</v>
      </c>
      <c r="AE131" s="294">
        <f t="shared" si="75"/>
        <v>4238.9589399134129</v>
      </c>
      <c r="AF131" s="294">
        <f t="shared" si="75"/>
        <v>4238.9589399134129</v>
      </c>
      <c r="AG131" s="294">
        <f t="shared" si="75"/>
        <v>4238.9589399134129</v>
      </c>
      <c r="AH131" s="294">
        <f t="shared" si="75"/>
        <v>4238.9589399134129</v>
      </c>
      <c r="AI131" s="294">
        <f t="shared" si="75"/>
        <v>4238.9589399134129</v>
      </c>
      <c r="AJ131" s="295">
        <f t="shared" si="69"/>
        <v>122929.80925748897</v>
      </c>
    </row>
    <row r="132" spans="2:37" ht="14.4">
      <c r="B132" s="375"/>
      <c r="C132" s="375"/>
      <c r="D132" s="73" t="s">
        <v>196</v>
      </c>
      <c r="E132" s="296"/>
      <c r="F132" s="293"/>
      <c r="G132" s="76">
        <f t="shared" ref="G132:AI132" si="76">+SUM(G130:G131)</f>
        <v>20265.268731646545</v>
      </c>
      <c r="H132" s="76">
        <f t="shared" si="76"/>
        <v>20265.268731646545</v>
      </c>
      <c r="I132" s="76">
        <f t="shared" si="76"/>
        <v>20265.268731646545</v>
      </c>
      <c r="J132" s="76">
        <f t="shared" si="76"/>
        <v>20265.268731646545</v>
      </c>
      <c r="K132" s="76">
        <f t="shared" si="76"/>
        <v>20265.268731646545</v>
      </c>
      <c r="L132" s="76">
        <f t="shared" si="76"/>
        <v>20265.268731646545</v>
      </c>
      <c r="M132" s="76">
        <f t="shared" si="76"/>
        <v>20265.268731646545</v>
      </c>
      <c r="N132" s="76">
        <f t="shared" si="76"/>
        <v>20265.268731646545</v>
      </c>
      <c r="O132" s="76">
        <f t="shared" si="76"/>
        <v>20265.268731646545</v>
      </c>
      <c r="P132" s="76">
        <f t="shared" si="76"/>
        <v>20265.268731646545</v>
      </c>
      <c r="Q132" s="76">
        <f t="shared" si="76"/>
        <v>20265.268731646545</v>
      </c>
      <c r="R132" s="76">
        <f t="shared" si="76"/>
        <v>20265.268731646545</v>
      </c>
      <c r="S132" s="76">
        <f t="shared" si="76"/>
        <v>20265.268731646545</v>
      </c>
      <c r="T132" s="76">
        <f t="shared" si="76"/>
        <v>20265.268731646545</v>
      </c>
      <c r="U132" s="76">
        <f t="shared" si="76"/>
        <v>20265.268731646545</v>
      </c>
      <c r="V132" s="76">
        <f t="shared" si="76"/>
        <v>20265.268731646545</v>
      </c>
      <c r="W132" s="76">
        <f t="shared" si="76"/>
        <v>20265.268731646545</v>
      </c>
      <c r="X132" s="76">
        <f t="shared" si="76"/>
        <v>20265.268731646545</v>
      </c>
      <c r="Y132" s="76">
        <f t="shared" si="76"/>
        <v>20265.268731646545</v>
      </c>
      <c r="Z132" s="76">
        <f t="shared" si="76"/>
        <v>20265.268731646545</v>
      </c>
      <c r="AA132" s="76">
        <f t="shared" si="76"/>
        <v>20265.268731646545</v>
      </c>
      <c r="AB132" s="76">
        <f t="shared" si="76"/>
        <v>20265.268731646545</v>
      </c>
      <c r="AC132" s="76">
        <f t="shared" si="76"/>
        <v>20265.268731646545</v>
      </c>
      <c r="AD132" s="76">
        <f t="shared" si="76"/>
        <v>20265.268731646545</v>
      </c>
      <c r="AE132" s="76">
        <f t="shared" si="76"/>
        <v>20265.268731646545</v>
      </c>
      <c r="AF132" s="76">
        <f t="shared" si="76"/>
        <v>20265.268731646545</v>
      </c>
      <c r="AG132" s="76">
        <f t="shared" si="76"/>
        <v>20265.268731646545</v>
      </c>
      <c r="AH132" s="76">
        <f t="shared" si="76"/>
        <v>20265.268731646545</v>
      </c>
      <c r="AI132" s="76">
        <f t="shared" si="76"/>
        <v>20265.268731646545</v>
      </c>
      <c r="AJ132" s="228">
        <f t="shared" si="69"/>
        <v>587692.79321774968</v>
      </c>
      <c r="AK132" s="2"/>
    </row>
    <row r="133" spans="2:37" ht="14.4">
      <c r="B133" s="224" t="s">
        <v>204</v>
      </c>
      <c r="C133" s="225" t="str">
        <f>+C51</f>
        <v>DRENAGEM E OAC</v>
      </c>
      <c r="D133" s="226"/>
      <c r="E133" s="226"/>
      <c r="F133" s="208">
        <f t="shared" ref="F133:AI133" si="77">+F141</f>
        <v>0</v>
      </c>
      <c r="G133" s="208">
        <f t="shared" si="77"/>
        <v>271742.96025416127</v>
      </c>
      <c r="H133" s="208">
        <f t="shared" si="77"/>
        <v>287260.20880361361</v>
      </c>
      <c r="I133" s="208">
        <f t="shared" si="77"/>
        <v>302777.45735306595</v>
      </c>
      <c r="J133" s="208">
        <f t="shared" si="77"/>
        <v>318294.70590251824</v>
      </c>
      <c r="K133" s="208">
        <f t="shared" si="77"/>
        <v>340995.9146952132</v>
      </c>
      <c r="L133" s="208">
        <f t="shared" si="77"/>
        <v>350069.40566422231</v>
      </c>
      <c r="M133" s="208">
        <f t="shared" si="77"/>
        <v>365882.65721206961</v>
      </c>
      <c r="N133" s="208">
        <f t="shared" si="77"/>
        <v>371969.77997114975</v>
      </c>
      <c r="O133" s="208">
        <f t="shared" si="77"/>
        <v>372561.78596793965</v>
      </c>
      <c r="P133" s="208">
        <f t="shared" si="77"/>
        <v>372857.78896633454</v>
      </c>
      <c r="Q133" s="208">
        <f t="shared" si="77"/>
        <v>376659.24813297379</v>
      </c>
      <c r="R133" s="208">
        <f t="shared" si="77"/>
        <v>377251.25412976369</v>
      </c>
      <c r="S133" s="208">
        <f t="shared" si="77"/>
        <v>381640.55573453405</v>
      </c>
      <c r="T133" s="208">
        <f t="shared" si="77"/>
        <v>381640.55573453405</v>
      </c>
      <c r="U133" s="208">
        <f t="shared" si="77"/>
        <v>381936.55873292882</v>
      </c>
      <c r="V133" s="208">
        <f t="shared" si="77"/>
        <v>381936.55873292882</v>
      </c>
      <c r="W133" s="208">
        <f t="shared" si="77"/>
        <v>381936.55873292882</v>
      </c>
      <c r="X133" s="208">
        <f t="shared" si="77"/>
        <v>381936.55873292882</v>
      </c>
      <c r="Y133" s="208">
        <f t="shared" si="77"/>
        <v>404675.83434764657</v>
      </c>
      <c r="Z133" s="208">
        <f t="shared" si="77"/>
        <v>404675.83434764657</v>
      </c>
      <c r="AA133" s="208">
        <f t="shared" si="77"/>
        <v>404675.83434764657</v>
      </c>
      <c r="AB133" s="208">
        <f t="shared" si="77"/>
        <v>404675.83434764657</v>
      </c>
      <c r="AC133" s="208">
        <f t="shared" si="77"/>
        <v>425731.99137456773</v>
      </c>
      <c r="AD133" s="208">
        <f t="shared" si="77"/>
        <v>425731.99137456773</v>
      </c>
      <c r="AE133" s="208">
        <f t="shared" si="77"/>
        <v>425731.99137456773</v>
      </c>
      <c r="AF133" s="208">
        <f t="shared" si="77"/>
        <v>425731.99137456773</v>
      </c>
      <c r="AG133" s="208">
        <f t="shared" si="77"/>
        <v>425731.99137456773</v>
      </c>
      <c r="AH133" s="208">
        <f t="shared" si="77"/>
        <v>425731.99137456773</v>
      </c>
      <c r="AI133" s="208">
        <f t="shared" si="77"/>
        <v>425731.99137456773</v>
      </c>
      <c r="AJ133" s="208">
        <f>+AJ141</f>
        <v>10998177.790466366</v>
      </c>
    </row>
    <row r="134" spans="2:37" ht="14.4">
      <c r="B134" s="374" t="s">
        <v>205</v>
      </c>
      <c r="C134" s="374" t="str">
        <f>+C51</f>
        <v>DRENAGEM E OAC</v>
      </c>
      <c r="D134" s="72" t="s">
        <v>189</v>
      </c>
      <c r="E134" s="288"/>
      <c r="F134" s="289"/>
      <c r="G134" s="290">
        <f t="shared" ref="G134:AI134" si="78">+G51</f>
        <v>195134.39633110637</v>
      </c>
      <c r="H134" s="290">
        <f t="shared" si="78"/>
        <v>206277.09134548716</v>
      </c>
      <c r="I134" s="290">
        <f t="shared" si="78"/>
        <v>217419.7863598679</v>
      </c>
      <c r="J134" s="290">
        <f t="shared" si="78"/>
        <v>228562.48137424866</v>
      </c>
      <c r="K134" s="290">
        <f t="shared" si="78"/>
        <v>244863.86658623625</v>
      </c>
      <c r="L134" s="290">
        <f t="shared" si="78"/>
        <v>251379.39943094124</v>
      </c>
      <c r="M134" s="290">
        <f t="shared" si="78"/>
        <v>262734.64959799265</v>
      </c>
      <c r="N134" s="290">
        <f t="shared" si="78"/>
        <v>267105.71784526395</v>
      </c>
      <c r="O134" s="290">
        <f t="shared" si="78"/>
        <v>267530.8281506052</v>
      </c>
      <c r="P134" s="290">
        <f t="shared" si="78"/>
        <v>267743.3833032758</v>
      </c>
      <c r="Q134" s="290">
        <f t="shared" si="78"/>
        <v>270473.1520485846</v>
      </c>
      <c r="R134" s="290">
        <f t="shared" si="78"/>
        <v>270898.26235392585</v>
      </c>
      <c r="S134" s="290">
        <f t="shared" si="78"/>
        <v>274050.15161781304</v>
      </c>
      <c r="T134" s="290">
        <f t="shared" si="78"/>
        <v>274050.15161781304</v>
      </c>
      <c r="U134" s="290">
        <f t="shared" si="78"/>
        <v>274262.70677048364</v>
      </c>
      <c r="V134" s="290">
        <f t="shared" si="78"/>
        <v>274262.70677048364</v>
      </c>
      <c r="W134" s="290">
        <f t="shared" si="78"/>
        <v>274262.70677048364</v>
      </c>
      <c r="X134" s="290">
        <f t="shared" si="78"/>
        <v>274262.70677048364</v>
      </c>
      <c r="Y134" s="290">
        <f t="shared" si="78"/>
        <v>290591.42717573146</v>
      </c>
      <c r="Z134" s="290">
        <f t="shared" si="78"/>
        <v>290591.42717573146</v>
      </c>
      <c r="AA134" s="290">
        <f t="shared" si="78"/>
        <v>290591.42717573146</v>
      </c>
      <c r="AB134" s="290">
        <f t="shared" si="78"/>
        <v>290591.42717573146</v>
      </c>
      <c r="AC134" s="290">
        <f t="shared" si="78"/>
        <v>305711.52628210146</v>
      </c>
      <c r="AD134" s="290">
        <f t="shared" si="78"/>
        <v>305711.52628210146</v>
      </c>
      <c r="AE134" s="290">
        <f t="shared" si="78"/>
        <v>305711.52628210146</v>
      </c>
      <c r="AF134" s="290">
        <f t="shared" si="78"/>
        <v>305711.52628210146</v>
      </c>
      <c r="AG134" s="290">
        <f t="shared" si="78"/>
        <v>305711.52628210146</v>
      </c>
      <c r="AH134" s="290">
        <f t="shared" si="78"/>
        <v>305711.52628210146</v>
      </c>
      <c r="AI134" s="290">
        <f t="shared" si="78"/>
        <v>305711.52628210146</v>
      </c>
      <c r="AJ134" s="291">
        <f t="shared" ref="AJ134:AJ141" si="79">+SUM(F134:AI134)</f>
        <v>7897620.5377227338</v>
      </c>
    </row>
    <row r="135" spans="2:37" ht="14.4">
      <c r="B135" s="375"/>
      <c r="C135" s="375"/>
      <c r="D135" s="73" t="s">
        <v>190</v>
      </c>
      <c r="E135" s="292">
        <v>6.3299999999999995E-2</v>
      </c>
      <c r="F135" s="293"/>
      <c r="G135" s="294">
        <f t="shared" ref="G135:AI135" si="80">+G134*$E135</f>
        <v>12352.007287759032</v>
      </c>
      <c r="H135" s="294">
        <f t="shared" si="80"/>
        <v>13057.339882169337</v>
      </c>
      <c r="I135" s="294">
        <f t="shared" si="80"/>
        <v>13762.672476579637</v>
      </c>
      <c r="J135" s="294">
        <f t="shared" si="80"/>
        <v>14468.005070989939</v>
      </c>
      <c r="K135" s="294">
        <f t="shared" si="80"/>
        <v>15499.882754908755</v>
      </c>
      <c r="L135" s="294">
        <f t="shared" si="80"/>
        <v>15912.315983978579</v>
      </c>
      <c r="M135" s="294">
        <f t="shared" si="80"/>
        <v>16631.103319552934</v>
      </c>
      <c r="N135" s="294">
        <f t="shared" si="80"/>
        <v>16907.791939605206</v>
      </c>
      <c r="O135" s="294">
        <f t="shared" si="80"/>
        <v>16934.701421933307</v>
      </c>
      <c r="P135" s="294">
        <f t="shared" si="80"/>
        <v>16948.156163097356</v>
      </c>
      <c r="Q135" s="294">
        <f t="shared" si="80"/>
        <v>17120.950524675405</v>
      </c>
      <c r="R135" s="294">
        <f t="shared" si="80"/>
        <v>17147.860007003506</v>
      </c>
      <c r="S135" s="294">
        <f t="shared" si="80"/>
        <v>17347.374597407565</v>
      </c>
      <c r="T135" s="294">
        <f t="shared" si="80"/>
        <v>17347.374597407565</v>
      </c>
      <c r="U135" s="294">
        <f t="shared" si="80"/>
        <v>17360.829338571613</v>
      </c>
      <c r="V135" s="294">
        <f t="shared" si="80"/>
        <v>17360.829338571613</v>
      </c>
      <c r="W135" s="294">
        <f t="shared" si="80"/>
        <v>17360.829338571613</v>
      </c>
      <c r="X135" s="294">
        <f t="shared" si="80"/>
        <v>17360.829338571613</v>
      </c>
      <c r="Y135" s="294">
        <f t="shared" si="80"/>
        <v>18394.437340223802</v>
      </c>
      <c r="Z135" s="294">
        <f t="shared" si="80"/>
        <v>18394.437340223802</v>
      </c>
      <c r="AA135" s="294">
        <f t="shared" si="80"/>
        <v>18394.437340223802</v>
      </c>
      <c r="AB135" s="294">
        <f t="shared" si="80"/>
        <v>18394.437340223802</v>
      </c>
      <c r="AC135" s="294">
        <f t="shared" si="80"/>
        <v>19351.53961365702</v>
      </c>
      <c r="AD135" s="294">
        <f t="shared" si="80"/>
        <v>19351.53961365702</v>
      </c>
      <c r="AE135" s="294">
        <f t="shared" si="80"/>
        <v>19351.53961365702</v>
      </c>
      <c r="AF135" s="294">
        <f t="shared" si="80"/>
        <v>19351.53961365702</v>
      </c>
      <c r="AG135" s="294">
        <f t="shared" si="80"/>
        <v>19351.53961365702</v>
      </c>
      <c r="AH135" s="294">
        <f t="shared" si="80"/>
        <v>19351.53961365702</v>
      </c>
      <c r="AI135" s="294">
        <f t="shared" si="80"/>
        <v>19351.53961365702</v>
      </c>
      <c r="AJ135" s="295">
        <f t="shared" si="79"/>
        <v>499919.38003784919</v>
      </c>
    </row>
    <row r="136" spans="2:37" ht="14.4">
      <c r="B136" s="375"/>
      <c r="C136" s="375"/>
      <c r="D136" s="73" t="s">
        <v>191</v>
      </c>
      <c r="E136" s="292">
        <v>5.0000000000000001E-3</v>
      </c>
      <c r="F136" s="293"/>
      <c r="G136" s="294">
        <f>+G134*$E136</f>
        <v>975.67198165553191</v>
      </c>
      <c r="H136" s="294">
        <f t="shared" ref="H136:AI136" si="81">+H134*$E136</f>
        <v>1031.3854567274359</v>
      </c>
      <c r="I136" s="294">
        <f t="shared" si="81"/>
        <v>1087.0989317993394</v>
      </c>
      <c r="J136" s="294">
        <f t="shared" si="81"/>
        <v>1142.8124068712434</v>
      </c>
      <c r="K136" s="294">
        <f t="shared" si="81"/>
        <v>1224.3193329311814</v>
      </c>
      <c r="L136" s="294">
        <f t="shared" si="81"/>
        <v>1256.8969971547062</v>
      </c>
      <c r="M136" s="294">
        <f t="shared" si="81"/>
        <v>1313.6732479899633</v>
      </c>
      <c r="N136" s="294">
        <f t="shared" si="81"/>
        <v>1335.5285892263198</v>
      </c>
      <c r="O136" s="294">
        <f t="shared" si="81"/>
        <v>1337.654140753026</v>
      </c>
      <c r="P136" s="294">
        <f t="shared" si="81"/>
        <v>1338.7169165163791</v>
      </c>
      <c r="Q136" s="294">
        <f t="shared" si="81"/>
        <v>1352.365760242923</v>
      </c>
      <c r="R136" s="294">
        <f t="shared" si="81"/>
        <v>1354.4913117696292</v>
      </c>
      <c r="S136" s="294">
        <f t="shared" si="81"/>
        <v>1370.2507580890651</v>
      </c>
      <c r="T136" s="294">
        <f t="shared" si="81"/>
        <v>1370.2507580890651</v>
      </c>
      <c r="U136" s="294">
        <f t="shared" si="81"/>
        <v>1371.3135338524182</v>
      </c>
      <c r="V136" s="294">
        <f t="shared" si="81"/>
        <v>1371.3135338524182</v>
      </c>
      <c r="W136" s="294">
        <f t="shared" si="81"/>
        <v>1371.3135338524182</v>
      </c>
      <c r="X136" s="294">
        <f t="shared" si="81"/>
        <v>1371.3135338524182</v>
      </c>
      <c r="Y136" s="294">
        <f t="shared" si="81"/>
        <v>1452.9571358786573</v>
      </c>
      <c r="Z136" s="294">
        <f t="shared" si="81"/>
        <v>1452.9571358786573</v>
      </c>
      <c r="AA136" s="294">
        <f t="shared" si="81"/>
        <v>1452.9571358786573</v>
      </c>
      <c r="AB136" s="294">
        <f t="shared" si="81"/>
        <v>1452.9571358786573</v>
      </c>
      <c r="AC136" s="294">
        <f t="shared" si="81"/>
        <v>1528.5576314105074</v>
      </c>
      <c r="AD136" s="294">
        <f t="shared" si="81"/>
        <v>1528.5576314105074</v>
      </c>
      <c r="AE136" s="294">
        <f t="shared" si="81"/>
        <v>1528.5576314105074</v>
      </c>
      <c r="AF136" s="294">
        <f t="shared" si="81"/>
        <v>1528.5576314105074</v>
      </c>
      <c r="AG136" s="294">
        <f t="shared" si="81"/>
        <v>1528.5576314105074</v>
      </c>
      <c r="AH136" s="294">
        <f t="shared" si="81"/>
        <v>1528.5576314105074</v>
      </c>
      <c r="AI136" s="294">
        <f t="shared" si="81"/>
        <v>1528.5576314105074</v>
      </c>
      <c r="AJ136" s="295">
        <f t="shared" si="79"/>
        <v>39488.102688613646</v>
      </c>
    </row>
    <row r="137" spans="2:37" ht="14.4">
      <c r="B137" s="375"/>
      <c r="C137" s="375"/>
      <c r="D137" s="73" t="s">
        <v>192</v>
      </c>
      <c r="E137" s="292">
        <v>2.8000000000000001E-2</v>
      </c>
      <c r="F137" s="293"/>
      <c r="G137" s="294">
        <f>+G134*$E137</f>
        <v>5463.7630972709785</v>
      </c>
      <c r="H137" s="294">
        <f t="shared" ref="H137:AI137" si="82">+H134*$E137</f>
        <v>5775.758557673641</v>
      </c>
      <c r="I137" s="294">
        <f t="shared" si="82"/>
        <v>6087.7540180763008</v>
      </c>
      <c r="J137" s="294">
        <f t="shared" si="82"/>
        <v>6399.7494784789624</v>
      </c>
      <c r="K137" s="294">
        <f t="shared" si="82"/>
        <v>6856.1882644146153</v>
      </c>
      <c r="L137" s="294">
        <f t="shared" si="82"/>
        <v>7038.623184066355</v>
      </c>
      <c r="M137" s="294">
        <f t="shared" si="82"/>
        <v>7356.5701887437945</v>
      </c>
      <c r="N137" s="294">
        <f t="shared" si="82"/>
        <v>7478.9600996673908</v>
      </c>
      <c r="O137" s="294">
        <f t="shared" si="82"/>
        <v>7490.8631882169457</v>
      </c>
      <c r="P137" s="294">
        <f t="shared" si="82"/>
        <v>7496.8147324917227</v>
      </c>
      <c r="Q137" s="294">
        <f t="shared" si="82"/>
        <v>7573.2482573603693</v>
      </c>
      <c r="R137" s="294">
        <f t="shared" si="82"/>
        <v>7585.1513459099242</v>
      </c>
      <c r="S137" s="294">
        <f t="shared" si="82"/>
        <v>7673.4042452987651</v>
      </c>
      <c r="T137" s="294">
        <f t="shared" si="82"/>
        <v>7673.4042452987651</v>
      </c>
      <c r="U137" s="294">
        <f t="shared" si="82"/>
        <v>7679.3557895735421</v>
      </c>
      <c r="V137" s="294">
        <f t="shared" si="82"/>
        <v>7679.3557895735421</v>
      </c>
      <c r="W137" s="294">
        <f t="shared" si="82"/>
        <v>7679.3557895735421</v>
      </c>
      <c r="X137" s="294">
        <f t="shared" si="82"/>
        <v>7679.3557895735421</v>
      </c>
      <c r="Y137" s="294">
        <f t="shared" si="82"/>
        <v>8136.559960920481</v>
      </c>
      <c r="Z137" s="294">
        <f t="shared" si="82"/>
        <v>8136.559960920481</v>
      </c>
      <c r="AA137" s="294">
        <f t="shared" si="82"/>
        <v>8136.559960920481</v>
      </c>
      <c r="AB137" s="294">
        <f t="shared" si="82"/>
        <v>8136.559960920481</v>
      </c>
      <c r="AC137" s="294">
        <f t="shared" si="82"/>
        <v>8559.922735898841</v>
      </c>
      <c r="AD137" s="294">
        <f t="shared" si="82"/>
        <v>8559.922735898841</v>
      </c>
      <c r="AE137" s="294">
        <f t="shared" si="82"/>
        <v>8559.922735898841</v>
      </c>
      <c r="AF137" s="294">
        <f t="shared" si="82"/>
        <v>8559.922735898841</v>
      </c>
      <c r="AG137" s="294">
        <f t="shared" si="82"/>
        <v>8559.922735898841</v>
      </c>
      <c r="AH137" s="294">
        <f t="shared" si="82"/>
        <v>8559.922735898841</v>
      </c>
      <c r="AI137" s="294">
        <f t="shared" si="82"/>
        <v>8559.922735898841</v>
      </c>
      <c r="AJ137" s="295">
        <f t="shared" si="79"/>
        <v>221133.37505623652</v>
      </c>
    </row>
    <row r="138" spans="2:37" ht="14.4">
      <c r="B138" s="375"/>
      <c r="C138" s="375"/>
      <c r="D138" s="73" t="s">
        <v>193</v>
      </c>
      <c r="E138" s="292">
        <v>5.0000000000000001E-3</v>
      </c>
      <c r="F138" s="293"/>
      <c r="G138" s="294">
        <f>+G134*$E138</f>
        <v>975.67198165553191</v>
      </c>
      <c r="H138" s="294">
        <f t="shared" ref="H138:AI138" si="83">+H134*$E138</f>
        <v>1031.3854567274359</v>
      </c>
      <c r="I138" s="294">
        <f t="shared" si="83"/>
        <v>1087.0989317993394</v>
      </c>
      <c r="J138" s="294">
        <f t="shared" si="83"/>
        <v>1142.8124068712434</v>
      </c>
      <c r="K138" s="294">
        <f t="shared" si="83"/>
        <v>1224.3193329311814</v>
      </c>
      <c r="L138" s="294">
        <f t="shared" si="83"/>
        <v>1256.8969971547062</v>
      </c>
      <c r="M138" s="294">
        <f t="shared" si="83"/>
        <v>1313.6732479899633</v>
      </c>
      <c r="N138" s="294">
        <f t="shared" si="83"/>
        <v>1335.5285892263198</v>
      </c>
      <c r="O138" s="294">
        <f t="shared" si="83"/>
        <v>1337.654140753026</v>
      </c>
      <c r="P138" s="294">
        <f t="shared" si="83"/>
        <v>1338.7169165163791</v>
      </c>
      <c r="Q138" s="294">
        <f t="shared" si="83"/>
        <v>1352.365760242923</v>
      </c>
      <c r="R138" s="294">
        <f t="shared" si="83"/>
        <v>1354.4913117696292</v>
      </c>
      <c r="S138" s="294">
        <f t="shared" si="83"/>
        <v>1370.2507580890651</v>
      </c>
      <c r="T138" s="294">
        <f t="shared" si="83"/>
        <v>1370.2507580890651</v>
      </c>
      <c r="U138" s="294">
        <f t="shared" si="83"/>
        <v>1371.3135338524182</v>
      </c>
      <c r="V138" s="294">
        <f t="shared" si="83"/>
        <v>1371.3135338524182</v>
      </c>
      <c r="W138" s="294">
        <f t="shared" si="83"/>
        <v>1371.3135338524182</v>
      </c>
      <c r="X138" s="294">
        <f t="shared" si="83"/>
        <v>1371.3135338524182</v>
      </c>
      <c r="Y138" s="294">
        <f t="shared" si="83"/>
        <v>1452.9571358786573</v>
      </c>
      <c r="Z138" s="294">
        <f t="shared" si="83"/>
        <v>1452.9571358786573</v>
      </c>
      <c r="AA138" s="294">
        <f t="shared" si="83"/>
        <v>1452.9571358786573</v>
      </c>
      <c r="AB138" s="294">
        <f t="shared" si="83"/>
        <v>1452.9571358786573</v>
      </c>
      <c r="AC138" s="294">
        <f t="shared" si="83"/>
        <v>1528.5576314105074</v>
      </c>
      <c r="AD138" s="294">
        <f t="shared" si="83"/>
        <v>1528.5576314105074</v>
      </c>
      <c r="AE138" s="294">
        <f t="shared" si="83"/>
        <v>1528.5576314105074</v>
      </c>
      <c r="AF138" s="294">
        <f t="shared" si="83"/>
        <v>1528.5576314105074</v>
      </c>
      <c r="AG138" s="294">
        <f t="shared" si="83"/>
        <v>1528.5576314105074</v>
      </c>
      <c r="AH138" s="294">
        <f t="shared" si="83"/>
        <v>1528.5576314105074</v>
      </c>
      <c r="AI138" s="294">
        <f t="shared" si="83"/>
        <v>1528.5576314105074</v>
      </c>
      <c r="AJ138" s="295">
        <f t="shared" si="79"/>
        <v>39488.102688613646</v>
      </c>
    </row>
    <row r="139" spans="2:37" ht="14.4">
      <c r="B139" s="375"/>
      <c r="C139" s="375"/>
      <c r="D139" s="73" t="s">
        <v>194</v>
      </c>
      <c r="E139" s="296"/>
      <c r="F139" s="293"/>
      <c r="G139" s="294">
        <f t="shared" ref="G139:AI139" si="84">+SUBTOTAL(9,G134:G138)</f>
        <v>214901.51067944744</v>
      </c>
      <c r="H139" s="294">
        <f t="shared" si="84"/>
        <v>227172.960698785</v>
      </c>
      <c r="I139" s="294">
        <f t="shared" si="84"/>
        <v>239444.41071812253</v>
      </c>
      <c r="J139" s="294">
        <f t="shared" si="84"/>
        <v>251715.86073746005</v>
      </c>
      <c r="K139" s="294">
        <f t="shared" si="84"/>
        <v>269668.57627142203</v>
      </c>
      <c r="L139" s="294">
        <f t="shared" si="84"/>
        <v>276844.1325932956</v>
      </c>
      <c r="M139" s="294">
        <f t="shared" si="84"/>
        <v>289349.66960226936</v>
      </c>
      <c r="N139" s="294">
        <f t="shared" si="84"/>
        <v>294163.52706298913</v>
      </c>
      <c r="O139" s="294">
        <f t="shared" si="84"/>
        <v>294631.7010422615</v>
      </c>
      <c r="P139" s="294">
        <f t="shared" si="84"/>
        <v>294865.78803189762</v>
      </c>
      <c r="Q139" s="294">
        <f t="shared" si="84"/>
        <v>297872.08235110622</v>
      </c>
      <c r="R139" s="294">
        <f t="shared" si="84"/>
        <v>298340.25633037859</v>
      </c>
      <c r="S139" s="294">
        <f t="shared" si="84"/>
        <v>301811.43197669752</v>
      </c>
      <c r="T139" s="294">
        <f t="shared" si="84"/>
        <v>301811.43197669752</v>
      </c>
      <c r="U139" s="294">
        <f t="shared" si="84"/>
        <v>302045.51896633359</v>
      </c>
      <c r="V139" s="294">
        <f t="shared" si="84"/>
        <v>302045.51896633359</v>
      </c>
      <c r="W139" s="294">
        <f t="shared" si="84"/>
        <v>302045.51896633359</v>
      </c>
      <c r="X139" s="294">
        <f t="shared" si="84"/>
        <v>302045.51896633359</v>
      </c>
      <c r="Y139" s="294">
        <f t="shared" si="84"/>
        <v>320028.3387486331</v>
      </c>
      <c r="Z139" s="294">
        <f t="shared" si="84"/>
        <v>320028.3387486331</v>
      </c>
      <c r="AA139" s="294">
        <f t="shared" si="84"/>
        <v>320028.3387486331</v>
      </c>
      <c r="AB139" s="294">
        <f t="shared" si="84"/>
        <v>320028.3387486331</v>
      </c>
      <c r="AC139" s="294">
        <f t="shared" si="84"/>
        <v>336680.10389447823</v>
      </c>
      <c r="AD139" s="294">
        <f t="shared" si="84"/>
        <v>336680.10389447823</v>
      </c>
      <c r="AE139" s="294">
        <f t="shared" si="84"/>
        <v>336680.10389447823</v>
      </c>
      <c r="AF139" s="294">
        <f t="shared" si="84"/>
        <v>336680.10389447823</v>
      </c>
      <c r="AG139" s="294">
        <f t="shared" si="84"/>
        <v>336680.10389447823</v>
      </c>
      <c r="AH139" s="294">
        <f t="shared" si="84"/>
        <v>336680.10389447823</v>
      </c>
      <c r="AI139" s="294">
        <f t="shared" si="84"/>
        <v>336680.10389447823</v>
      </c>
      <c r="AJ139" s="295">
        <f t="shared" si="79"/>
        <v>8697649.4981940463</v>
      </c>
    </row>
    <row r="140" spans="2:37" ht="14.4">
      <c r="B140" s="375"/>
      <c r="C140" s="375"/>
      <c r="D140" s="73" t="s">
        <v>195</v>
      </c>
      <c r="E140" s="297">
        <f>BDI!$F$33</f>
        <v>0.26450000000000001</v>
      </c>
      <c r="F140" s="293"/>
      <c r="G140" s="294">
        <f t="shared" ref="G140:AI140" si="85">+G139*$E140</f>
        <v>56841.44957471385</v>
      </c>
      <c r="H140" s="294">
        <f t="shared" si="85"/>
        <v>60087.248104828635</v>
      </c>
      <c r="I140" s="294">
        <f t="shared" si="85"/>
        <v>63333.046634943414</v>
      </c>
      <c r="J140" s="294">
        <f t="shared" si="85"/>
        <v>66578.845165058185</v>
      </c>
      <c r="K140" s="294">
        <f t="shared" si="85"/>
        <v>71327.338423791138</v>
      </c>
      <c r="L140" s="294">
        <f t="shared" si="85"/>
        <v>73225.273070926691</v>
      </c>
      <c r="M140" s="294">
        <f t="shared" si="85"/>
        <v>76532.987609800257</v>
      </c>
      <c r="N140" s="294">
        <f t="shared" si="85"/>
        <v>77806.252908160634</v>
      </c>
      <c r="O140" s="294">
        <f t="shared" si="85"/>
        <v>77930.084925678166</v>
      </c>
      <c r="P140" s="294">
        <f t="shared" si="85"/>
        <v>77992.000934436932</v>
      </c>
      <c r="Q140" s="294">
        <f t="shared" si="85"/>
        <v>78787.165781867603</v>
      </c>
      <c r="R140" s="294">
        <f t="shared" si="85"/>
        <v>78910.997799385135</v>
      </c>
      <c r="S140" s="294">
        <f t="shared" si="85"/>
        <v>79829.123757836496</v>
      </c>
      <c r="T140" s="294">
        <f t="shared" si="85"/>
        <v>79829.123757836496</v>
      </c>
      <c r="U140" s="294">
        <f t="shared" si="85"/>
        <v>79891.039766595233</v>
      </c>
      <c r="V140" s="294">
        <f t="shared" si="85"/>
        <v>79891.039766595233</v>
      </c>
      <c r="W140" s="294">
        <f t="shared" si="85"/>
        <v>79891.039766595233</v>
      </c>
      <c r="X140" s="294">
        <f t="shared" si="85"/>
        <v>79891.039766595233</v>
      </c>
      <c r="Y140" s="294">
        <f t="shared" si="85"/>
        <v>84647.495599013462</v>
      </c>
      <c r="Z140" s="294">
        <f t="shared" si="85"/>
        <v>84647.495599013462</v>
      </c>
      <c r="AA140" s="294">
        <f t="shared" si="85"/>
        <v>84647.495599013462</v>
      </c>
      <c r="AB140" s="294">
        <f t="shared" si="85"/>
        <v>84647.495599013462</v>
      </c>
      <c r="AC140" s="294">
        <f t="shared" si="85"/>
        <v>89051.887480089499</v>
      </c>
      <c r="AD140" s="294">
        <f t="shared" si="85"/>
        <v>89051.887480089499</v>
      </c>
      <c r="AE140" s="294">
        <f t="shared" si="85"/>
        <v>89051.887480089499</v>
      </c>
      <c r="AF140" s="294">
        <f t="shared" si="85"/>
        <v>89051.887480089499</v>
      </c>
      <c r="AG140" s="294">
        <f t="shared" si="85"/>
        <v>89051.887480089499</v>
      </c>
      <c r="AH140" s="294">
        <f t="shared" si="85"/>
        <v>89051.887480089499</v>
      </c>
      <c r="AI140" s="294">
        <f t="shared" si="85"/>
        <v>89051.887480089499</v>
      </c>
      <c r="AJ140" s="295">
        <f t="shared" si="79"/>
        <v>2300528.2922723247</v>
      </c>
    </row>
    <row r="141" spans="2:37" ht="14.4">
      <c r="B141" s="375"/>
      <c r="C141" s="375"/>
      <c r="D141" s="73" t="s">
        <v>196</v>
      </c>
      <c r="E141" s="296"/>
      <c r="F141" s="293"/>
      <c r="G141" s="76">
        <f t="shared" ref="G141:AI141" si="86">+SUM(G139:G140)</f>
        <v>271742.96025416127</v>
      </c>
      <c r="H141" s="76">
        <f t="shared" si="86"/>
        <v>287260.20880361361</v>
      </c>
      <c r="I141" s="76">
        <f t="shared" si="86"/>
        <v>302777.45735306595</v>
      </c>
      <c r="J141" s="76">
        <f t="shared" si="86"/>
        <v>318294.70590251824</v>
      </c>
      <c r="K141" s="76">
        <f t="shared" si="86"/>
        <v>340995.9146952132</v>
      </c>
      <c r="L141" s="76">
        <f t="shared" si="86"/>
        <v>350069.40566422231</v>
      </c>
      <c r="M141" s="76">
        <f t="shared" si="86"/>
        <v>365882.65721206961</v>
      </c>
      <c r="N141" s="76">
        <f t="shared" si="86"/>
        <v>371969.77997114975</v>
      </c>
      <c r="O141" s="76">
        <f t="shared" si="86"/>
        <v>372561.78596793965</v>
      </c>
      <c r="P141" s="76">
        <f t="shared" si="86"/>
        <v>372857.78896633454</v>
      </c>
      <c r="Q141" s="76">
        <f t="shared" si="86"/>
        <v>376659.24813297379</v>
      </c>
      <c r="R141" s="76">
        <f t="shared" si="86"/>
        <v>377251.25412976369</v>
      </c>
      <c r="S141" s="76">
        <f t="shared" si="86"/>
        <v>381640.55573453405</v>
      </c>
      <c r="T141" s="76">
        <f t="shared" si="86"/>
        <v>381640.55573453405</v>
      </c>
      <c r="U141" s="76">
        <f t="shared" si="86"/>
        <v>381936.55873292882</v>
      </c>
      <c r="V141" s="76">
        <f t="shared" si="86"/>
        <v>381936.55873292882</v>
      </c>
      <c r="W141" s="76">
        <f t="shared" si="86"/>
        <v>381936.55873292882</v>
      </c>
      <c r="X141" s="76">
        <f t="shared" si="86"/>
        <v>381936.55873292882</v>
      </c>
      <c r="Y141" s="76">
        <f t="shared" si="86"/>
        <v>404675.83434764657</v>
      </c>
      <c r="Z141" s="76">
        <f t="shared" si="86"/>
        <v>404675.83434764657</v>
      </c>
      <c r="AA141" s="76">
        <f t="shared" si="86"/>
        <v>404675.83434764657</v>
      </c>
      <c r="AB141" s="76">
        <f t="shared" si="86"/>
        <v>404675.83434764657</v>
      </c>
      <c r="AC141" s="76">
        <f t="shared" si="86"/>
        <v>425731.99137456773</v>
      </c>
      <c r="AD141" s="76">
        <f t="shared" si="86"/>
        <v>425731.99137456773</v>
      </c>
      <c r="AE141" s="76">
        <f t="shared" si="86"/>
        <v>425731.99137456773</v>
      </c>
      <c r="AF141" s="76">
        <f t="shared" si="86"/>
        <v>425731.99137456773</v>
      </c>
      <c r="AG141" s="76">
        <f t="shared" si="86"/>
        <v>425731.99137456773</v>
      </c>
      <c r="AH141" s="76">
        <f t="shared" si="86"/>
        <v>425731.99137456773</v>
      </c>
      <c r="AI141" s="76">
        <f t="shared" si="86"/>
        <v>425731.99137456773</v>
      </c>
      <c r="AJ141" s="228">
        <f t="shared" si="79"/>
        <v>10998177.790466366</v>
      </c>
      <c r="AK141" s="2"/>
    </row>
    <row r="142" spans="2:37" ht="14.4">
      <c r="B142" s="224" t="s">
        <v>206</v>
      </c>
      <c r="C142" s="225" t="str">
        <f>+C58</f>
        <v>TERRAPLENOS E ESTRUTURAS DE CONTENÇÃO</v>
      </c>
      <c r="D142" s="226"/>
      <c r="E142" s="226"/>
      <c r="F142" s="208">
        <f t="shared" ref="F142:AI142" si="87">+F150</f>
        <v>0</v>
      </c>
      <c r="G142" s="208">
        <f t="shared" si="87"/>
        <v>191111.09356790403</v>
      </c>
      <c r="H142" s="208">
        <f t="shared" si="87"/>
        <v>203949.2900229356</v>
      </c>
      <c r="I142" s="208">
        <f t="shared" si="87"/>
        <v>216787.48647796694</v>
      </c>
      <c r="J142" s="208">
        <f t="shared" si="87"/>
        <v>229625.68293299846</v>
      </c>
      <c r="K142" s="208">
        <f t="shared" si="87"/>
        <v>248407.52929696548</v>
      </c>
      <c r="L142" s="208">
        <f t="shared" si="87"/>
        <v>255914.48255751666</v>
      </c>
      <c r="M142" s="208">
        <f t="shared" si="87"/>
        <v>268997.57710982114</v>
      </c>
      <c r="N142" s="208">
        <f t="shared" si="87"/>
        <v>274033.75846490578</v>
      </c>
      <c r="O142" s="208">
        <f t="shared" si="87"/>
        <v>274523.55465945165</v>
      </c>
      <c r="P142" s="208">
        <f t="shared" si="87"/>
        <v>274768.45275672461</v>
      </c>
      <c r="Q142" s="208">
        <f t="shared" si="87"/>
        <v>277913.59021080099</v>
      </c>
      <c r="R142" s="208">
        <f t="shared" si="87"/>
        <v>278403.38640534692</v>
      </c>
      <c r="S142" s="208">
        <f t="shared" si="87"/>
        <v>282034.87533348013</v>
      </c>
      <c r="T142" s="208">
        <f t="shared" si="87"/>
        <v>282034.87533348013</v>
      </c>
      <c r="U142" s="208">
        <f t="shared" si="87"/>
        <v>282279.77343075298</v>
      </c>
      <c r="V142" s="208">
        <f t="shared" si="87"/>
        <v>282279.77343075298</v>
      </c>
      <c r="W142" s="208">
        <f t="shared" si="87"/>
        <v>282279.77343075298</v>
      </c>
      <c r="X142" s="208">
        <f t="shared" si="87"/>
        <v>282279.77343075298</v>
      </c>
      <c r="Y142" s="208">
        <f t="shared" si="87"/>
        <v>301093.11438204919</v>
      </c>
      <c r="Z142" s="208">
        <f t="shared" si="87"/>
        <v>301093.11438204919</v>
      </c>
      <c r="AA142" s="208">
        <f t="shared" si="87"/>
        <v>301093.11438204919</v>
      </c>
      <c r="AB142" s="208">
        <f t="shared" si="87"/>
        <v>301093.11438204919</v>
      </c>
      <c r="AC142" s="208">
        <f t="shared" si="87"/>
        <v>318513.92707562097</v>
      </c>
      <c r="AD142" s="208">
        <f t="shared" si="87"/>
        <v>318513.92707562097</v>
      </c>
      <c r="AE142" s="208">
        <f t="shared" si="87"/>
        <v>318513.92707562097</v>
      </c>
      <c r="AF142" s="208">
        <f t="shared" si="87"/>
        <v>318513.92707562097</v>
      </c>
      <c r="AG142" s="208">
        <f t="shared" si="87"/>
        <v>318513.92707562097</v>
      </c>
      <c r="AH142" s="208">
        <f t="shared" si="87"/>
        <v>318513.92707562097</v>
      </c>
      <c r="AI142" s="208">
        <f t="shared" si="87"/>
        <v>318513.92707562097</v>
      </c>
      <c r="AJ142" s="208">
        <f>+AJ150</f>
        <v>8121594.6759108519</v>
      </c>
      <c r="AK142" s="2"/>
    </row>
    <row r="143" spans="2:37" ht="14.4">
      <c r="B143" s="374" t="s">
        <v>205</v>
      </c>
      <c r="C143" s="374" t="str">
        <f>+C59</f>
        <v>Terrapleno e Estruturas de Contenção</v>
      </c>
      <c r="D143" s="72" t="s">
        <v>189</v>
      </c>
      <c r="E143" s="288"/>
      <c r="F143" s="289"/>
      <c r="G143" s="290">
        <f t="shared" ref="G143:AI143" si="88">+G58</f>
        <v>137233.90604367817</v>
      </c>
      <c r="H143" s="290">
        <f t="shared" si="88"/>
        <v>146452.81538686642</v>
      </c>
      <c r="I143" s="290">
        <f t="shared" si="88"/>
        <v>155671.72473005462</v>
      </c>
      <c r="J143" s="290">
        <f t="shared" si="88"/>
        <v>164890.63407324287</v>
      </c>
      <c r="K143" s="290">
        <f t="shared" si="88"/>
        <v>178377.58603986763</v>
      </c>
      <c r="L143" s="290">
        <f t="shared" si="88"/>
        <v>183768.2125032483</v>
      </c>
      <c r="M143" s="290">
        <f t="shared" si="88"/>
        <v>193162.97936388355</v>
      </c>
      <c r="N143" s="290">
        <f t="shared" si="88"/>
        <v>196779.38292267037</v>
      </c>
      <c r="O143" s="290">
        <f t="shared" si="88"/>
        <v>197131.09795756434</v>
      </c>
      <c r="P143" s="290">
        <f t="shared" si="88"/>
        <v>197306.95547501135</v>
      </c>
      <c r="Q143" s="290">
        <f t="shared" si="88"/>
        <v>199565.42979907672</v>
      </c>
      <c r="R143" s="290">
        <f t="shared" si="88"/>
        <v>199917.14483397073</v>
      </c>
      <c r="S143" s="290">
        <f t="shared" si="88"/>
        <v>202524.86059268471</v>
      </c>
      <c r="T143" s="290">
        <f t="shared" si="88"/>
        <v>202524.86059268471</v>
      </c>
      <c r="U143" s="290">
        <f t="shared" si="88"/>
        <v>202700.71811013168</v>
      </c>
      <c r="V143" s="290">
        <f t="shared" si="88"/>
        <v>202700.71811013168</v>
      </c>
      <c r="W143" s="290">
        <f t="shared" si="88"/>
        <v>202700.71811013168</v>
      </c>
      <c r="X143" s="290">
        <f t="shared" si="88"/>
        <v>202700.71811013168</v>
      </c>
      <c r="Y143" s="290">
        <f t="shared" si="88"/>
        <v>216210.2858504288</v>
      </c>
      <c r="Z143" s="290">
        <f t="shared" si="88"/>
        <v>216210.2858504288</v>
      </c>
      <c r="AA143" s="290">
        <f t="shared" si="88"/>
        <v>216210.2858504288</v>
      </c>
      <c r="AB143" s="290">
        <f t="shared" si="88"/>
        <v>216210.2858504288</v>
      </c>
      <c r="AC143" s="290">
        <f t="shared" si="88"/>
        <v>228719.90069151961</v>
      </c>
      <c r="AD143" s="290">
        <f t="shared" si="88"/>
        <v>228719.90069151961</v>
      </c>
      <c r="AE143" s="290">
        <f t="shared" si="88"/>
        <v>228719.90069151961</v>
      </c>
      <c r="AF143" s="290">
        <f t="shared" si="88"/>
        <v>228719.90069151961</v>
      </c>
      <c r="AG143" s="290">
        <f t="shared" si="88"/>
        <v>228719.90069151961</v>
      </c>
      <c r="AH143" s="290">
        <f t="shared" si="88"/>
        <v>228719.90069151961</v>
      </c>
      <c r="AI143" s="290">
        <f t="shared" si="88"/>
        <v>228719.90069151961</v>
      </c>
      <c r="AJ143" s="291">
        <f t="shared" ref="AJ143:AJ150" si="89">+SUM(F143:AI143)</f>
        <v>5831990.9109973824</v>
      </c>
    </row>
    <row r="144" spans="2:37" ht="14.4">
      <c r="B144" s="375"/>
      <c r="C144" s="375"/>
      <c r="D144" s="73" t="s">
        <v>190</v>
      </c>
      <c r="E144" s="292">
        <v>6.3299999999999995E-2</v>
      </c>
      <c r="F144" s="293"/>
      <c r="G144" s="294">
        <f t="shared" ref="G144:AI144" si="90">+G143*$E144</f>
        <v>8686.9062525648278</v>
      </c>
      <c r="H144" s="294">
        <f t="shared" si="90"/>
        <v>9270.4632139886435</v>
      </c>
      <c r="I144" s="294">
        <f t="shared" si="90"/>
        <v>9854.0201754124555</v>
      </c>
      <c r="J144" s="294">
        <f t="shared" si="90"/>
        <v>10437.577136836273</v>
      </c>
      <c r="K144" s="294">
        <f t="shared" si="90"/>
        <v>11291.30119632362</v>
      </c>
      <c r="L144" s="294">
        <f t="shared" si="90"/>
        <v>11632.527851455616</v>
      </c>
      <c r="M144" s="294">
        <f t="shared" si="90"/>
        <v>12227.216593733829</v>
      </c>
      <c r="N144" s="294">
        <f t="shared" si="90"/>
        <v>12456.134939005033</v>
      </c>
      <c r="O144" s="294">
        <f t="shared" si="90"/>
        <v>12478.398500713822</v>
      </c>
      <c r="P144" s="294">
        <f t="shared" si="90"/>
        <v>12489.530281568217</v>
      </c>
      <c r="Q144" s="294">
        <f t="shared" si="90"/>
        <v>12632.491706281555</v>
      </c>
      <c r="R144" s="294">
        <f t="shared" si="90"/>
        <v>12654.755267990346</v>
      </c>
      <c r="S144" s="294">
        <f t="shared" si="90"/>
        <v>12819.823675516942</v>
      </c>
      <c r="T144" s="294">
        <f t="shared" si="90"/>
        <v>12819.823675516942</v>
      </c>
      <c r="U144" s="294">
        <f t="shared" si="90"/>
        <v>12830.955456371334</v>
      </c>
      <c r="V144" s="294">
        <f t="shared" si="90"/>
        <v>12830.955456371334</v>
      </c>
      <c r="W144" s="294">
        <f t="shared" si="90"/>
        <v>12830.955456371334</v>
      </c>
      <c r="X144" s="294">
        <f t="shared" si="90"/>
        <v>12830.955456371334</v>
      </c>
      <c r="Y144" s="294">
        <f t="shared" si="90"/>
        <v>13686.111094332142</v>
      </c>
      <c r="Z144" s="294">
        <f t="shared" si="90"/>
        <v>13686.111094332142</v>
      </c>
      <c r="AA144" s="294">
        <f t="shared" si="90"/>
        <v>13686.111094332142</v>
      </c>
      <c r="AB144" s="294">
        <f t="shared" si="90"/>
        <v>13686.111094332142</v>
      </c>
      <c r="AC144" s="294">
        <f t="shared" si="90"/>
        <v>14477.969713773191</v>
      </c>
      <c r="AD144" s="294">
        <f t="shared" si="90"/>
        <v>14477.969713773191</v>
      </c>
      <c r="AE144" s="294">
        <f t="shared" si="90"/>
        <v>14477.969713773191</v>
      </c>
      <c r="AF144" s="294">
        <f t="shared" si="90"/>
        <v>14477.969713773191</v>
      </c>
      <c r="AG144" s="294">
        <f t="shared" si="90"/>
        <v>14477.969713773191</v>
      </c>
      <c r="AH144" s="294">
        <f t="shared" si="90"/>
        <v>14477.969713773191</v>
      </c>
      <c r="AI144" s="294">
        <f t="shared" si="90"/>
        <v>14477.969713773191</v>
      </c>
      <c r="AJ144" s="295">
        <f t="shared" si="89"/>
        <v>369165.02466613427</v>
      </c>
    </row>
    <row r="145" spans="2:37" ht="14.4">
      <c r="B145" s="375"/>
      <c r="C145" s="375"/>
      <c r="D145" s="73" t="s">
        <v>191</v>
      </c>
      <c r="E145" s="292">
        <v>5.0000000000000001E-3</v>
      </c>
      <c r="F145" s="293"/>
      <c r="G145" s="294">
        <f>+G143*$E145</f>
        <v>686.16953021839083</v>
      </c>
      <c r="H145" s="294">
        <f t="shared" ref="H145:AI145" si="91">+H143*$E145</f>
        <v>732.26407693433214</v>
      </c>
      <c r="I145" s="294">
        <f t="shared" si="91"/>
        <v>778.3586236502731</v>
      </c>
      <c r="J145" s="294">
        <f t="shared" si="91"/>
        <v>824.45317036621429</v>
      </c>
      <c r="K145" s="294">
        <f t="shared" si="91"/>
        <v>891.88793019933814</v>
      </c>
      <c r="L145" s="294">
        <f t="shared" si="91"/>
        <v>918.84106251624155</v>
      </c>
      <c r="M145" s="294">
        <f t="shared" si="91"/>
        <v>965.81489681941775</v>
      </c>
      <c r="N145" s="294">
        <f t="shared" si="91"/>
        <v>983.8969146133519</v>
      </c>
      <c r="O145" s="294">
        <f t="shared" si="91"/>
        <v>985.65548978782169</v>
      </c>
      <c r="P145" s="294">
        <f t="shared" si="91"/>
        <v>986.53477737505671</v>
      </c>
      <c r="Q145" s="294">
        <f t="shared" si="91"/>
        <v>997.8271489953836</v>
      </c>
      <c r="R145" s="294">
        <f t="shared" si="91"/>
        <v>999.58572416985362</v>
      </c>
      <c r="S145" s="294">
        <f t="shared" si="91"/>
        <v>1012.6243029634236</v>
      </c>
      <c r="T145" s="294">
        <f t="shared" si="91"/>
        <v>1012.6243029634236</v>
      </c>
      <c r="U145" s="294">
        <f t="shared" si="91"/>
        <v>1013.5035905506585</v>
      </c>
      <c r="V145" s="294">
        <f t="shared" si="91"/>
        <v>1013.5035905506585</v>
      </c>
      <c r="W145" s="294">
        <f t="shared" si="91"/>
        <v>1013.5035905506585</v>
      </c>
      <c r="X145" s="294">
        <f t="shared" si="91"/>
        <v>1013.5035905506585</v>
      </c>
      <c r="Y145" s="294">
        <f t="shared" si="91"/>
        <v>1081.0514292521441</v>
      </c>
      <c r="Z145" s="294">
        <f t="shared" si="91"/>
        <v>1081.0514292521441</v>
      </c>
      <c r="AA145" s="294">
        <f t="shared" si="91"/>
        <v>1081.0514292521441</v>
      </c>
      <c r="AB145" s="294">
        <f t="shared" si="91"/>
        <v>1081.0514292521441</v>
      </c>
      <c r="AC145" s="294">
        <f t="shared" si="91"/>
        <v>1143.5995034575981</v>
      </c>
      <c r="AD145" s="294">
        <f t="shared" si="91"/>
        <v>1143.5995034575981</v>
      </c>
      <c r="AE145" s="294">
        <f t="shared" si="91"/>
        <v>1143.5995034575981</v>
      </c>
      <c r="AF145" s="294">
        <f t="shared" si="91"/>
        <v>1143.5995034575981</v>
      </c>
      <c r="AG145" s="294">
        <f t="shared" si="91"/>
        <v>1143.5995034575981</v>
      </c>
      <c r="AH145" s="294">
        <f t="shared" si="91"/>
        <v>1143.5995034575981</v>
      </c>
      <c r="AI145" s="294">
        <f t="shared" si="91"/>
        <v>1143.5995034575981</v>
      </c>
      <c r="AJ145" s="295">
        <f t="shared" si="89"/>
        <v>29159.954554986918</v>
      </c>
    </row>
    <row r="146" spans="2:37" ht="14.4">
      <c r="B146" s="375"/>
      <c r="C146" s="375"/>
      <c r="D146" s="73" t="s">
        <v>192</v>
      </c>
      <c r="E146" s="292">
        <v>2.8000000000000001E-2</v>
      </c>
      <c r="F146" s="293"/>
      <c r="G146" s="294">
        <f>+G143*$E146</f>
        <v>3842.5493692229888</v>
      </c>
      <c r="H146" s="294">
        <f t="shared" ref="H146:AI146" si="92">+H143*$E146</f>
        <v>4100.6788308322602</v>
      </c>
      <c r="I146" s="294">
        <f t="shared" si="92"/>
        <v>4358.8082924415294</v>
      </c>
      <c r="J146" s="294">
        <f t="shared" si="92"/>
        <v>4616.9377540508003</v>
      </c>
      <c r="K146" s="294">
        <f t="shared" si="92"/>
        <v>4994.5724091162938</v>
      </c>
      <c r="L146" s="294">
        <f t="shared" si="92"/>
        <v>5145.5099500909528</v>
      </c>
      <c r="M146" s="294">
        <f t="shared" si="92"/>
        <v>5408.5634221887394</v>
      </c>
      <c r="N146" s="294">
        <f t="shared" si="92"/>
        <v>5509.8227218347702</v>
      </c>
      <c r="O146" s="294">
        <f t="shared" si="92"/>
        <v>5519.6707428118016</v>
      </c>
      <c r="P146" s="294">
        <f t="shared" si="92"/>
        <v>5524.5947533003182</v>
      </c>
      <c r="Q146" s="294">
        <f t="shared" si="92"/>
        <v>5587.832034374148</v>
      </c>
      <c r="R146" s="294">
        <f t="shared" si="92"/>
        <v>5597.6800553511803</v>
      </c>
      <c r="S146" s="294">
        <f t="shared" si="92"/>
        <v>5670.6960965951721</v>
      </c>
      <c r="T146" s="294">
        <f t="shared" si="92"/>
        <v>5670.6960965951721</v>
      </c>
      <c r="U146" s="294">
        <f t="shared" si="92"/>
        <v>5675.6201070836869</v>
      </c>
      <c r="V146" s="294">
        <f t="shared" si="92"/>
        <v>5675.6201070836869</v>
      </c>
      <c r="W146" s="294">
        <f t="shared" si="92"/>
        <v>5675.6201070836869</v>
      </c>
      <c r="X146" s="294">
        <f t="shared" si="92"/>
        <v>5675.6201070836869</v>
      </c>
      <c r="Y146" s="294">
        <f t="shared" si="92"/>
        <v>6053.8880038120069</v>
      </c>
      <c r="Z146" s="294">
        <f t="shared" si="92"/>
        <v>6053.8880038120069</v>
      </c>
      <c r="AA146" s="294">
        <f t="shared" si="92"/>
        <v>6053.8880038120069</v>
      </c>
      <c r="AB146" s="294">
        <f t="shared" si="92"/>
        <v>6053.8880038120069</v>
      </c>
      <c r="AC146" s="294">
        <f t="shared" si="92"/>
        <v>6404.1572193625489</v>
      </c>
      <c r="AD146" s="294">
        <f t="shared" si="92"/>
        <v>6404.1572193625489</v>
      </c>
      <c r="AE146" s="294">
        <f t="shared" si="92"/>
        <v>6404.1572193625489</v>
      </c>
      <c r="AF146" s="294">
        <f t="shared" si="92"/>
        <v>6404.1572193625489</v>
      </c>
      <c r="AG146" s="294">
        <f t="shared" si="92"/>
        <v>6404.1572193625489</v>
      </c>
      <c r="AH146" s="294">
        <f t="shared" si="92"/>
        <v>6404.1572193625489</v>
      </c>
      <c r="AI146" s="294">
        <f t="shared" si="92"/>
        <v>6404.1572193625489</v>
      </c>
      <c r="AJ146" s="295">
        <f t="shared" si="89"/>
        <v>163295.74550792683</v>
      </c>
    </row>
    <row r="147" spans="2:37" ht="14.4">
      <c r="B147" s="375"/>
      <c r="C147" s="375"/>
      <c r="D147" s="73" t="s">
        <v>193</v>
      </c>
      <c r="E147" s="292">
        <v>5.0000000000000001E-3</v>
      </c>
      <c r="F147" s="293"/>
      <c r="G147" s="294">
        <f>+G143*$E147</f>
        <v>686.16953021839083</v>
      </c>
      <c r="H147" s="294">
        <f t="shared" ref="H147:AI147" si="93">+H143*$E147</f>
        <v>732.26407693433214</v>
      </c>
      <c r="I147" s="294">
        <f t="shared" si="93"/>
        <v>778.3586236502731</v>
      </c>
      <c r="J147" s="294">
        <f t="shared" si="93"/>
        <v>824.45317036621429</v>
      </c>
      <c r="K147" s="294">
        <f t="shared" si="93"/>
        <v>891.88793019933814</v>
      </c>
      <c r="L147" s="294">
        <f t="shared" si="93"/>
        <v>918.84106251624155</v>
      </c>
      <c r="M147" s="294">
        <f t="shared" si="93"/>
        <v>965.81489681941775</v>
      </c>
      <c r="N147" s="294">
        <f t="shared" si="93"/>
        <v>983.8969146133519</v>
      </c>
      <c r="O147" s="294">
        <f t="shared" si="93"/>
        <v>985.65548978782169</v>
      </c>
      <c r="P147" s="294">
        <f t="shared" si="93"/>
        <v>986.53477737505671</v>
      </c>
      <c r="Q147" s="294">
        <f t="shared" si="93"/>
        <v>997.8271489953836</v>
      </c>
      <c r="R147" s="294">
        <f t="shared" si="93"/>
        <v>999.58572416985362</v>
      </c>
      <c r="S147" s="294">
        <f t="shared" si="93"/>
        <v>1012.6243029634236</v>
      </c>
      <c r="T147" s="294">
        <f t="shared" si="93"/>
        <v>1012.6243029634236</v>
      </c>
      <c r="U147" s="294">
        <f t="shared" si="93"/>
        <v>1013.5035905506585</v>
      </c>
      <c r="V147" s="294">
        <f t="shared" si="93"/>
        <v>1013.5035905506585</v>
      </c>
      <c r="W147" s="294">
        <f t="shared" si="93"/>
        <v>1013.5035905506585</v>
      </c>
      <c r="X147" s="294">
        <f t="shared" si="93"/>
        <v>1013.5035905506585</v>
      </c>
      <c r="Y147" s="294">
        <f t="shared" si="93"/>
        <v>1081.0514292521441</v>
      </c>
      <c r="Z147" s="294">
        <f t="shared" si="93"/>
        <v>1081.0514292521441</v>
      </c>
      <c r="AA147" s="294">
        <f t="shared" si="93"/>
        <v>1081.0514292521441</v>
      </c>
      <c r="AB147" s="294">
        <f t="shared" si="93"/>
        <v>1081.0514292521441</v>
      </c>
      <c r="AC147" s="294">
        <f t="shared" si="93"/>
        <v>1143.5995034575981</v>
      </c>
      <c r="AD147" s="294">
        <f t="shared" si="93"/>
        <v>1143.5995034575981</v>
      </c>
      <c r="AE147" s="294">
        <f t="shared" si="93"/>
        <v>1143.5995034575981</v>
      </c>
      <c r="AF147" s="294">
        <f t="shared" si="93"/>
        <v>1143.5995034575981</v>
      </c>
      <c r="AG147" s="294">
        <f t="shared" si="93"/>
        <v>1143.5995034575981</v>
      </c>
      <c r="AH147" s="294">
        <f t="shared" si="93"/>
        <v>1143.5995034575981</v>
      </c>
      <c r="AI147" s="294">
        <f t="shared" si="93"/>
        <v>1143.5995034575981</v>
      </c>
      <c r="AJ147" s="295">
        <f t="shared" si="89"/>
        <v>29159.954554986918</v>
      </c>
    </row>
    <row r="148" spans="2:37" ht="14.4">
      <c r="B148" s="375"/>
      <c r="C148" s="375"/>
      <c r="D148" s="73" t="s">
        <v>194</v>
      </c>
      <c r="E148" s="296"/>
      <c r="F148" s="293"/>
      <c r="G148" s="294">
        <f t="shared" ref="G148:AI148" si="94">+SUBTOTAL(9,G143:G147)</f>
        <v>151135.70072590275</v>
      </c>
      <c r="H148" s="294">
        <f t="shared" si="94"/>
        <v>161288.48558555602</v>
      </c>
      <c r="I148" s="294">
        <f t="shared" si="94"/>
        <v>171441.27044520914</v>
      </c>
      <c r="J148" s="294">
        <f t="shared" si="94"/>
        <v>181594.05530486236</v>
      </c>
      <c r="K148" s="294">
        <f t="shared" si="94"/>
        <v>196447.23550570619</v>
      </c>
      <c r="L148" s="294">
        <f t="shared" si="94"/>
        <v>202383.93242982734</v>
      </c>
      <c r="M148" s="294">
        <f t="shared" si="94"/>
        <v>212730.38917344494</v>
      </c>
      <c r="N148" s="294">
        <f t="shared" si="94"/>
        <v>216713.13441273686</v>
      </c>
      <c r="O148" s="294">
        <f t="shared" si="94"/>
        <v>217100.47818066558</v>
      </c>
      <c r="P148" s="294">
        <f t="shared" si="94"/>
        <v>217294.15006462997</v>
      </c>
      <c r="Q148" s="294">
        <f t="shared" si="94"/>
        <v>219781.40783772321</v>
      </c>
      <c r="R148" s="294">
        <f t="shared" si="94"/>
        <v>220168.75160565195</v>
      </c>
      <c r="S148" s="294">
        <f t="shared" si="94"/>
        <v>223040.62897072369</v>
      </c>
      <c r="T148" s="294">
        <f t="shared" si="94"/>
        <v>223040.62897072369</v>
      </c>
      <c r="U148" s="294">
        <f t="shared" si="94"/>
        <v>223234.30085468802</v>
      </c>
      <c r="V148" s="294">
        <f t="shared" si="94"/>
        <v>223234.30085468802</v>
      </c>
      <c r="W148" s="294">
        <f t="shared" si="94"/>
        <v>223234.30085468802</v>
      </c>
      <c r="X148" s="294">
        <f t="shared" si="94"/>
        <v>223234.30085468802</v>
      </c>
      <c r="Y148" s="294">
        <f t="shared" si="94"/>
        <v>238112.38780707723</v>
      </c>
      <c r="Z148" s="294">
        <f t="shared" si="94"/>
        <v>238112.38780707723</v>
      </c>
      <c r="AA148" s="294">
        <f t="shared" si="94"/>
        <v>238112.38780707723</v>
      </c>
      <c r="AB148" s="294">
        <f t="shared" si="94"/>
        <v>238112.38780707723</v>
      </c>
      <c r="AC148" s="294">
        <f t="shared" si="94"/>
        <v>251889.22663157058</v>
      </c>
      <c r="AD148" s="294">
        <f t="shared" si="94"/>
        <v>251889.22663157058</v>
      </c>
      <c r="AE148" s="294">
        <f t="shared" si="94"/>
        <v>251889.22663157058</v>
      </c>
      <c r="AF148" s="294">
        <f t="shared" si="94"/>
        <v>251889.22663157058</v>
      </c>
      <c r="AG148" s="294">
        <f t="shared" si="94"/>
        <v>251889.22663157058</v>
      </c>
      <c r="AH148" s="294">
        <f t="shared" si="94"/>
        <v>251889.22663157058</v>
      </c>
      <c r="AI148" s="294">
        <f t="shared" si="94"/>
        <v>251889.22663157058</v>
      </c>
      <c r="AJ148" s="295">
        <f t="shared" si="89"/>
        <v>6422771.5902814176</v>
      </c>
    </row>
    <row r="149" spans="2:37" ht="14.4">
      <c r="B149" s="375"/>
      <c r="C149" s="375"/>
      <c r="D149" s="73" t="s">
        <v>195</v>
      </c>
      <c r="E149" s="297">
        <f>BDI!$F$33</f>
        <v>0.26450000000000001</v>
      </c>
      <c r="F149" s="293"/>
      <c r="G149" s="294">
        <f t="shared" ref="G149:AI149" si="95">+G148*$E149</f>
        <v>39975.392842001274</v>
      </c>
      <c r="H149" s="294">
        <f t="shared" si="95"/>
        <v>42660.804437379571</v>
      </c>
      <c r="I149" s="294">
        <f t="shared" si="95"/>
        <v>45346.216032757817</v>
      </c>
      <c r="J149" s="294">
        <f t="shared" si="95"/>
        <v>48031.627628136099</v>
      </c>
      <c r="K149" s="294">
        <f t="shared" si="95"/>
        <v>51960.29379125929</v>
      </c>
      <c r="L149" s="294">
        <f t="shared" si="95"/>
        <v>53530.550127689334</v>
      </c>
      <c r="M149" s="294">
        <f t="shared" si="95"/>
        <v>56267.187936376191</v>
      </c>
      <c r="N149" s="294">
        <f t="shared" si="95"/>
        <v>57320.624052168903</v>
      </c>
      <c r="O149" s="294">
        <f t="shared" si="95"/>
        <v>57423.076478786046</v>
      </c>
      <c r="P149" s="294">
        <f t="shared" si="95"/>
        <v>57474.302692094629</v>
      </c>
      <c r="Q149" s="294">
        <f t="shared" si="95"/>
        <v>58132.182373077791</v>
      </c>
      <c r="R149" s="294">
        <f t="shared" si="95"/>
        <v>58234.634799694941</v>
      </c>
      <c r="S149" s="294">
        <f t="shared" si="95"/>
        <v>58994.246362756421</v>
      </c>
      <c r="T149" s="294">
        <f t="shared" si="95"/>
        <v>58994.246362756421</v>
      </c>
      <c r="U149" s="294">
        <f t="shared" si="95"/>
        <v>59045.472576064982</v>
      </c>
      <c r="V149" s="294">
        <f t="shared" si="95"/>
        <v>59045.472576064982</v>
      </c>
      <c r="W149" s="294">
        <f t="shared" si="95"/>
        <v>59045.472576064982</v>
      </c>
      <c r="X149" s="294">
        <f t="shared" si="95"/>
        <v>59045.472576064982</v>
      </c>
      <c r="Y149" s="294">
        <f t="shared" si="95"/>
        <v>62980.72657497193</v>
      </c>
      <c r="Z149" s="294">
        <f t="shared" si="95"/>
        <v>62980.72657497193</v>
      </c>
      <c r="AA149" s="294">
        <f t="shared" si="95"/>
        <v>62980.72657497193</v>
      </c>
      <c r="AB149" s="294">
        <f t="shared" si="95"/>
        <v>62980.72657497193</v>
      </c>
      <c r="AC149" s="294">
        <f t="shared" si="95"/>
        <v>66624.700444050424</v>
      </c>
      <c r="AD149" s="294">
        <f t="shared" si="95"/>
        <v>66624.700444050424</v>
      </c>
      <c r="AE149" s="294">
        <f t="shared" si="95"/>
        <v>66624.700444050424</v>
      </c>
      <c r="AF149" s="294">
        <f t="shared" si="95"/>
        <v>66624.700444050424</v>
      </c>
      <c r="AG149" s="294">
        <f t="shared" si="95"/>
        <v>66624.700444050424</v>
      </c>
      <c r="AH149" s="294">
        <f t="shared" si="95"/>
        <v>66624.700444050424</v>
      </c>
      <c r="AI149" s="294">
        <f t="shared" si="95"/>
        <v>66624.700444050424</v>
      </c>
      <c r="AJ149" s="295">
        <f t="shared" si="89"/>
        <v>1698823.0856294355</v>
      </c>
    </row>
    <row r="150" spans="2:37" ht="14.4">
      <c r="B150" s="375"/>
      <c r="C150" s="375"/>
      <c r="D150" s="73" t="s">
        <v>196</v>
      </c>
      <c r="E150" s="296"/>
      <c r="F150" s="293"/>
      <c r="G150" s="76">
        <f t="shared" ref="G150:AI150" si="96">+SUM(G148:G149)</f>
        <v>191111.09356790403</v>
      </c>
      <c r="H150" s="76">
        <f t="shared" si="96"/>
        <v>203949.2900229356</v>
      </c>
      <c r="I150" s="76">
        <f t="shared" si="96"/>
        <v>216787.48647796694</v>
      </c>
      <c r="J150" s="76">
        <f t="shared" si="96"/>
        <v>229625.68293299846</v>
      </c>
      <c r="K150" s="76">
        <f t="shared" si="96"/>
        <v>248407.52929696548</v>
      </c>
      <c r="L150" s="76">
        <f t="shared" si="96"/>
        <v>255914.48255751666</v>
      </c>
      <c r="M150" s="76">
        <f t="shared" si="96"/>
        <v>268997.57710982114</v>
      </c>
      <c r="N150" s="76">
        <f t="shared" si="96"/>
        <v>274033.75846490578</v>
      </c>
      <c r="O150" s="76">
        <f t="shared" si="96"/>
        <v>274523.55465945165</v>
      </c>
      <c r="P150" s="76">
        <f t="shared" si="96"/>
        <v>274768.45275672461</v>
      </c>
      <c r="Q150" s="76">
        <f t="shared" si="96"/>
        <v>277913.59021080099</v>
      </c>
      <c r="R150" s="76">
        <f t="shared" si="96"/>
        <v>278403.38640534692</v>
      </c>
      <c r="S150" s="76">
        <f t="shared" si="96"/>
        <v>282034.87533348013</v>
      </c>
      <c r="T150" s="76">
        <f t="shared" si="96"/>
        <v>282034.87533348013</v>
      </c>
      <c r="U150" s="76">
        <f t="shared" si="96"/>
        <v>282279.77343075298</v>
      </c>
      <c r="V150" s="76">
        <f t="shared" si="96"/>
        <v>282279.77343075298</v>
      </c>
      <c r="W150" s="76">
        <f t="shared" si="96"/>
        <v>282279.77343075298</v>
      </c>
      <c r="X150" s="76">
        <f t="shared" si="96"/>
        <v>282279.77343075298</v>
      </c>
      <c r="Y150" s="76">
        <f t="shared" si="96"/>
        <v>301093.11438204919</v>
      </c>
      <c r="Z150" s="76">
        <f t="shared" si="96"/>
        <v>301093.11438204919</v>
      </c>
      <c r="AA150" s="76">
        <f t="shared" si="96"/>
        <v>301093.11438204919</v>
      </c>
      <c r="AB150" s="76">
        <f t="shared" si="96"/>
        <v>301093.11438204919</v>
      </c>
      <c r="AC150" s="76">
        <f t="shared" si="96"/>
        <v>318513.92707562097</v>
      </c>
      <c r="AD150" s="76">
        <f t="shared" si="96"/>
        <v>318513.92707562097</v>
      </c>
      <c r="AE150" s="76">
        <f t="shared" si="96"/>
        <v>318513.92707562097</v>
      </c>
      <c r="AF150" s="76">
        <f t="shared" si="96"/>
        <v>318513.92707562097</v>
      </c>
      <c r="AG150" s="76">
        <f t="shared" si="96"/>
        <v>318513.92707562097</v>
      </c>
      <c r="AH150" s="76">
        <f t="shared" si="96"/>
        <v>318513.92707562097</v>
      </c>
      <c r="AI150" s="76">
        <f t="shared" si="96"/>
        <v>318513.92707562097</v>
      </c>
      <c r="AJ150" s="228">
        <f t="shared" si="89"/>
        <v>8121594.6759108519</v>
      </c>
      <c r="AK150" s="2"/>
    </row>
    <row r="151" spans="2:37" ht="14.4">
      <c r="B151" s="224" t="s">
        <v>207</v>
      </c>
      <c r="C151" s="225" t="str">
        <f>+C63</f>
        <v>FAIXA DE DOMÍNIO</v>
      </c>
      <c r="D151" s="226"/>
      <c r="E151" s="226"/>
      <c r="F151" s="208">
        <f t="shared" ref="F151:AI151" si="97">+F159</f>
        <v>0</v>
      </c>
      <c r="G151" s="208">
        <f t="shared" si="97"/>
        <v>1811431.2199745257</v>
      </c>
      <c r="H151" s="208">
        <f t="shared" si="97"/>
        <v>1849332.7918535743</v>
      </c>
      <c r="I151" s="208">
        <f t="shared" si="97"/>
        <v>1887234.3637326229</v>
      </c>
      <c r="J151" s="208">
        <f t="shared" si="97"/>
        <v>1925135.935611672</v>
      </c>
      <c r="K151" s="208">
        <f t="shared" si="97"/>
        <v>1980588.9772566864</v>
      </c>
      <c r="L151" s="208">
        <f t="shared" si="97"/>
        <v>2002749.2205784535</v>
      </c>
      <c r="M151" s="208">
        <f t="shared" si="97"/>
        <v>2041373.7929871599</v>
      </c>
      <c r="N151" s="208">
        <f t="shared" si="97"/>
        <v>2056239.6987203262</v>
      </c>
      <c r="O151" s="208">
        <f t="shared" si="97"/>
        <v>2057690.0261414303</v>
      </c>
      <c r="P151" s="208">
        <f t="shared" si="97"/>
        <v>2058410.8634901932</v>
      </c>
      <c r="Q151" s="208">
        <f t="shared" si="97"/>
        <v>2067696.0971055771</v>
      </c>
      <c r="R151" s="208">
        <f t="shared" si="97"/>
        <v>2069144.2613457865</v>
      </c>
      <c r="S151" s="208">
        <f t="shared" si="97"/>
        <v>2079863.1631618105</v>
      </c>
      <c r="T151" s="208">
        <f t="shared" si="97"/>
        <v>2079860.999980917</v>
      </c>
      <c r="U151" s="208">
        <f t="shared" si="97"/>
        <v>2080586.163691469</v>
      </c>
      <c r="V151" s="208">
        <f t="shared" si="97"/>
        <v>2080584.0005105743</v>
      </c>
      <c r="W151" s="208">
        <f t="shared" si="97"/>
        <v>2080584.0005105743</v>
      </c>
      <c r="X151" s="208">
        <f t="shared" si="97"/>
        <v>2080584.0005105743</v>
      </c>
      <c r="Y151" s="208">
        <f t="shared" si="97"/>
        <v>2136125.6957049286</v>
      </c>
      <c r="Z151" s="208">
        <f t="shared" si="97"/>
        <v>2136125.6957049286</v>
      </c>
      <c r="AA151" s="208">
        <f t="shared" si="97"/>
        <v>2136125.6957049286</v>
      </c>
      <c r="AB151" s="208">
        <f t="shared" si="97"/>
        <v>2136125.6957049286</v>
      </c>
      <c r="AC151" s="208">
        <f t="shared" si="97"/>
        <v>2187556.2986568008</v>
      </c>
      <c r="AD151" s="208">
        <f t="shared" si="97"/>
        <v>2187556.2986568008</v>
      </c>
      <c r="AE151" s="208">
        <f t="shared" si="97"/>
        <v>2187556.2986568008</v>
      </c>
      <c r="AF151" s="208">
        <f t="shared" si="97"/>
        <v>2187556.2986568008</v>
      </c>
      <c r="AG151" s="208">
        <f t="shared" si="97"/>
        <v>2187556.2986568008</v>
      </c>
      <c r="AH151" s="208">
        <f t="shared" si="97"/>
        <v>2187556.2986568008</v>
      </c>
      <c r="AI151" s="208">
        <f t="shared" si="97"/>
        <v>2187556.2986568008</v>
      </c>
      <c r="AJ151" s="208">
        <f>+AJ159</f>
        <v>60146486.450581238</v>
      </c>
    </row>
    <row r="152" spans="2:37" ht="14.4">
      <c r="B152" s="374" t="s">
        <v>208</v>
      </c>
      <c r="C152" s="374" t="str">
        <f>+C64</f>
        <v>Conservação na Faixa de Domínio</v>
      </c>
      <c r="D152" s="72" t="s">
        <v>189</v>
      </c>
      <c r="E152" s="288"/>
      <c r="F152" s="289"/>
      <c r="G152" s="290">
        <f t="shared" ref="G152:AI152" si="98">+G63</f>
        <v>1300760.6058108942</v>
      </c>
      <c r="H152" s="290">
        <f t="shared" si="98"/>
        <v>1327977.1355112435</v>
      </c>
      <c r="I152" s="290">
        <f t="shared" si="98"/>
        <v>1355193.6652115926</v>
      </c>
      <c r="J152" s="290">
        <f t="shared" si="98"/>
        <v>1382410.1949119421</v>
      </c>
      <c r="K152" s="290">
        <f t="shared" si="98"/>
        <v>1422230.1622663967</v>
      </c>
      <c r="L152" s="290">
        <f t="shared" si="98"/>
        <v>1438143.0885813932</v>
      </c>
      <c r="M152" s="290">
        <f t="shared" si="98"/>
        <v>1465878.7937252198</v>
      </c>
      <c r="N152" s="290">
        <f t="shared" si="98"/>
        <v>1476553.769586392</v>
      </c>
      <c r="O152" s="290">
        <f t="shared" si="98"/>
        <v>1477595.2271665069</v>
      </c>
      <c r="P152" s="290">
        <f t="shared" si="98"/>
        <v>1478112.8492634038</v>
      </c>
      <c r="Q152" s="290">
        <f t="shared" si="98"/>
        <v>1484780.4312115677</v>
      </c>
      <c r="R152" s="290">
        <f t="shared" si="98"/>
        <v>1485820.3354451023</v>
      </c>
      <c r="S152" s="290">
        <f t="shared" si="98"/>
        <v>1493517.4122460838</v>
      </c>
      <c r="T152" s="290">
        <f t="shared" si="98"/>
        <v>1493515.8588995037</v>
      </c>
      <c r="U152" s="290">
        <f t="shared" si="98"/>
        <v>1494036.5876895611</v>
      </c>
      <c r="V152" s="290">
        <f t="shared" si="98"/>
        <v>1494035.0343429809</v>
      </c>
      <c r="W152" s="290">
        <f t="shared" si="98"/>
        <v>1494035.0343429809</v>
      </c>
      <c r="X152" s="290">
        <f t="shared" si="98"/>
        <v>1494035.0343429809</v>
      </c>
      <c r="Y152" s="290">
        <f t="shared" si="98"/>
        <v>1533918.6624333637</v>
      </c>
      <c r="Z152" s="290">
        <f t="shared" si="98"/>
        <v>1533918.6624333637</v>
      </c>
      <c r="AA152" s="290">
        <f t="shared" si="98"/>
        <v>1533918.6624333637</v>
      </c>
      <c r="AB152" s="290">
        <f t="shared" si="98"/>
        <v>1533918.6624333637</v>
      </c>
      <c r="AC152" s="290">
        <f t="shared" si="98"/>
        <v>1570850.1790789906</v>
      </c>
      <c r="AD152" s="290">
        <f t="shared" si="98"/>
        <v>1570850.1790789906</v>
      </c>
      <c r="AE152" s="290">
        <f t="shared" si="98"/>
        <v>1570850.1790789906</v>
      </c>
      <c r="AF152" s="290">
        <f t="shared" si="98"/>
        <v>1570850.1790789906</v>
      </c>
      <c r="AG152" s="290">
        <f t="shared" si="98"/>
        <v>1570850.1790789906</v>
      </c>
      <c r="AH152" s="290">
        <f t="shared" si="98"/>
        <v>1570850.1790789906</v>
      </c>
      <c r="AI152" s="290">
        <f t="shared" si="98"/>
        <v>1570850.1790789906</v>
      </c>
      <c r="AJ152" s="291">
        <f t="shared" ref="AJ152:AJ159" si="99">+SUM(F152:AI152)</f>
        <v>43190257.123842128</v>
      </c>
    </row>
    <row r="153" spans="2:37" ht="14.4">
      <c r="B153" s="375"/>
      <c r="C153" s="375"/>
      <c r="D153" s="73" t="s">
        <v>190</v>
      </c>
      <c r="E153" s="292">
        <v>6.3299999999999995E-2</v>
      </c>
      <c r="F153" s="293"/>
      <c r="G153" s="294">
        <f t="shared" ref="G153:AI153" si="100">+G152*$E153</f>
        <v>82338.146347829592</v>
      </c>
      <c r="H153" s="294">
        <f t="shared" si="100"/>
        <v>84060.9526778617</v>
      </c>
      <c r="I153" s="294">
        <f t="shared" si="100"/>
        <v>85783.759007893808</v>
      </c>
      <c r="J153" s="294">
        <f t="shared" si="100"/>
        <v>87506.565337925931</v>
      </c>
      <c r="K153" s="294">
        <f t="shared" si="100"/>
        <v>90027.169271462903</v>
      </c>
      <c r="L153" s="294">
        <f t="shared" si="100"/>
        <v>91034.457507202183</v>
      </c>
      <c r="M153" s="294">
        <f t="shared" si="100"/>
        <v>92790.127642806401</v>
      </c>
      <c r="N153" s="294">
        <f t="shared" si="100"/>
        <v>93465.85361481861</v>
      </c>
      <c r="O153" s="294">
        <f t="shared" si="100"/>
        <v>93531.777879639878</v>
      </c>
      <c r="P153" s="294">
        <f t="shared" si="100"/>
        <v>93564.543358373456</v>
      </c>
      <c r="Q153" s="294">
        <f t="shared" si="100"/>
        <v>93986.601295692235</v>
      </c>
      <c r="R153" s="294">
        <f t="shared" si="100"/>
        <v>94052.427233674971</v>
      </c>
      <c r="S153" s="294">
        <f t="shared" si="100"/>
        <v>94539.652195177099</v>
      </c>
      <c r="T153" s="294">
        <f t="shared" si="100"/>
        <v>94539.553868338582</v>
      </c>
      <c r="U153" s="294">
        <f t="shared" si="100"/>
        <v>94572.516000749209</v>
      </c>
      <c r="V153" s="294">
        <f t="shared" si="100"/>
        <v>94572.417673910692</v>
      </c>
      <c r="W153" s="294">
        <f t="shared" si="100"/>
        <v>94572.417673910692</v>
      </c>
      <c r="X153" s="294">
        <f t="shared" si="100"/>
        <v>94572.417673910692</v>
      </c>
      <c r="Y153" s="294">
        <f t="shared" si="100"/>
        <v>97097.051332031915</v>
      </c>
      <c r="Z153" s="294">
        <f t="shared" si="100"/>
        <v>97097.051332031915</v>
      </c>
      <c r="AA153" s="294">
        <f t="shared" si="100"/>
        <v>97097.051332031915</v>
      </c>
      <c r="AB153" s="294">
        <f t="shared" si="100"/>
        <v>97097.051332031915</v>
      </c>
      <c r="AC153" s="294">
        <f t="shared" si="100"/>
        <v>99434.816335700103</v>
      </c>
      <c r="AD153" s="294">
        <f t="shared" si="100"/>
        <v>99434.816335700103</v>
      </c>
      <c r="AE153" s="294">
        <f t="shared" si="100"/>
        <v>99434.816335700103</v>
      </c>
      <c r="AF153" s="294">
        <f t="shared" si="100"/>
        <v>99434.816335700103</v>
      </c>
      <c r="AG153" s="294">
        <f t="shared" si="100"/>
        <v>99434.816335700103</v>
      </c>
      <c r="AH153" s="294">
        <f t="shared" si="100"/>
        <v>99434.816335700103</v>
      </c>
      <c r="AI153" s="294">
        <f t="shared" si="100"/>
        <v>99434.816335700103</v>
      </c>
      <c r="AJ153" s="295">
        <f t="shared" si="99"/>
        <v>2733943.2759392061</v>
      </c>
    </row>
    <row r="154" spans="2:37" ht="14.4">
      <c r="B154" s="375"/>
      <c r="C154" s="375"/>
      <c r="D154" s="73" t="s">
        <v>191</v>
      </c>
      <c r="E154" s="292">
        <v>5.0000000000000001E-3</v>
      </c>
      <c r="F154" s="293"/>
      <c r="G154" s="294">
        <f>+G152*$E154</f>
        <v>6503.8030290544712</v>
      </c>
      <c r="H154" s="294">
        <f t="shared" ref="H154:AI154" si="101">+H152*$E154</f>
        <v>6639.8856775562172</v>
      </c>
      <c r="I154" s="294">
        <f t="shared" si="101"/>
        <v>6775.9683260579632</v>
      </c>
      <c r="J154" s="294">
        <f t="shared" si="101"/>
        <v>6912.050974559711</v>
      </c>
      <c r="K154" s="294">
        <f t="shared" si="101"/>
        <v>7111.1508113319833</v>
      </c>
      <c r="L154" s="294">
        <f t="shared" si="101"/>
        <v>7190.715442906966</v>
      </c>
      <c r="M154" s="294">
        <f t="shared" si="101"/>
        <v>7329.3939686260992</v>
      </c>
      <c r="N154" s="294">
        <f t="shared" si="101"/>
        <v>7382.7688479319604</v>
      </c>
      <c r="O154" s="294">
        <f t="shared" si="101"/>
        <v>7387.976135832535</v>
      </c>
      <c r="P154" s="294">
        <f t="shared" si="101"/>
        <v>7390.5642463170188</v>
      </c>
      <c r="Q154" s="294">
        <f t="shared" si="101"/>
        <v>7423.9021560578385</v>
      </c>
      <c r="R154" s="294">
        <f t="shared" si="101"/>
        <v>7429.1016772255116</v>
      </c>
      <c r="S154" s="294">
        <f t="shared" si="101"/>
        <v>7467.5870612304197</v>
      </c>
      <c r="T154" s="294">
        <f t="shared" si="101"/>
        <v>7467.5792944975183</v>
      </c>
      <c r="U154" s="294">
        <f t="shared" si="101"/>
        <v>7470.1829384478051</v>
      </c>
      <c r="V154" s="294">
        <f t="shared" si="101"/>
        <v>7470.1751717149045</v>
      </c>
      <c r="W154" s="294">
        <f t="shared" si="101"/>
        <v>7470.1751717149045</v>
      </c>
      <c r="X154" s="294">
        <f t="shared" si="101"/>
        <v>7470.1751717149045</v>
      </c>
      <c r="Y154" s="294">
        <f t="shared" si="101"/>
        <v>7669.5933121668186</v>
      </c>
      <c r="Z154" s="294">
        <f t="shared" si="101"/>
        <v>7669.5933121668186</v>
      </c>
      <c r="AA154" s="294">
        <f t="shared" si="101"/>
        <v>7669.5933121668186</v>
      </c>
      <c r="AB154" s="294">
        <f t="shared" si="101"/>
        <v>7669.5933121668186</v>
      </c>
      <c r="AC154" s="294">
        <f t="shared" si="101"/>
        <v>7854.2508953949527</v>
      </c>
      <c r="AD154" s="294">
        <f t="shared" si="101"/>
        <v>7854.2508953949527</v>
      </c>
      <c r="AE154" s="294">
        <f t="shared" si="101"/>
        <v>7854.2508953949527</v>
      </c>
      <c r="AF154" s="294">
        <f t="shared" si="101"/>
        <v>7854.2508953949527</v>
      </c>
      <c r="AG154" s="294">
        <f t="shared" si="101"/>
        <v>7854.2508953949527</v>
      </c>
      <c r="AH154" s="294">
        <f t="shared" si="101"/>
        <v>7854.2508953949527</v>
      </c>
      <c r="AI154" s="294">
        <f t="shared" si="101"/>
        <v>7854.2508953949527</v>
      </c>
      <c r="AJ154" s="295">
        <f t="shared" si="99"/>
        <v>215951.28561921057</v>
      </c>
    </row>
    <row r="155" spans="2:37" ht="14.4">
      <c r="B155" s="375"/>
      <c r="C155" s="375"/>
      <c r="D155" s="73" t="s">
        <v>192</v>
      </c>
      <c r="E155" s="292">
        <v>2.8000000000000001E-2</v>
      </c>
      <c r="F155" s="293"/>
      <c r="G155" s="294">
        <f>+G152*$E155</f>
        <v>36421.296962705041</v>
      </c>
      <c r="H155" s="294">
        <f t="shared" ref="H155:AI155" si="102">+H152*$E155</f>
        <v>37183.35979431482</v>
      </c>
      <c r="I155" s="294">
        <f t="shared" si="102"/>
        <v>37945.422625924592</v>
      </c>
      <c r="J155" s="294">
        <f t="shared" si="102"/>
        <v>38707.485457534378</v>
      </c>
      <c r="K155" s="294">
        <f t="shared" si="102"/>
        <v>39822.444543459111</v>
      </c>
      <c r="L155" s="294">
        <f t="shared" si="102"/>
        <v>40268.006480279015</v>
      </c>
      <c r="M155" s="294">
        <f t="shared" si="102"/>
        <v>41044.606224306153</v>
      </c>
      <c r="N155" s="294">
        <f t="shared" si="102"/>
        <v>41343.50554841898</v>
      </c>
      <c r="O155" s="294">
        <f t="shared" si="102"/>
        <v>41372.666360662195</v>
      </c>
      <c r="P155" s="294">
        <f t="shared" si="102"/>
        <v>41387.15977937531</v>
      </c>
      <c r="Q155" s="294">
        <f t="shared" si="102"/>
        <v>41573.852073923896</v>
      </c>
      <c r="R155" s="294">
        <f t="shared" si="102"/>
        <v>41602.969392462866</v>
      </c>
      <c r="S155" s="294">
        <f t="shared" si="102"/>
        <v>41818.487542890347</v>
      </c>
      <c r="T155" s="294">
        <f t="shared" si="102"/>
        <v>41818.444049186102</v>
      </c>
      <c r="U155" s="294">
        <f t="shared" si="102"/>
        <v>41833.024455307714</v>
      </c>
      <c r="V155" s="294">
        <f t="shared" si="102"/>
        <v>41832.980961603469</v>
      </c>
      <c r="W155" s="294">
        <f t="shared" si="102"/>
        <v>41832.980961603469</v>
      </c>
      <c r="X155" s="294">
        <f t="shared" si="102"/>
        <v>41832.980961603469</v>
      </c>
      <c r="Y155" s="294">
        <f t="shared" si="102"/>
        <v>42949.722548134188</v>
      </c>
      <c r="Z155" s="294">
        <f t="shared" si="102"/>
        <v>42949.722548134188</v>
      </c>
      <c r="AA155" s="294">
        <f t="shared" si="102"/>
        <v>42949.722548134188</v>
      </c>
      <c r="AB155" s="294">
        <f t="shared" si="102"/>
        <v>42949.722548134188</v>
      </c>
      <c r="AC155" s="294">
        <f t="shared" si="102"/>
        <v>43983.805014211735</v>
      </c>
      <c r="AD155" s="294">
        <f t="shared" si="102"/>
        <v>43983.805014211735</v>
      </c>
      <c r="AE155" s="294">
        <f t="shared" si="102"/>
        <v>43983.805014211735</v>
      </c>
      <c r="AF155" s="294">
        <f t="shared" si="102"/>
        <v>43983.805014211735</v>
      </c>
      <c r="AG155" s="294">
        <f t="shared" si="102"/>
        <v>43983.805014211735</v>
      </c>
      <c r="AH155" s="294">
        <f t="shared" si="102"/>
        <v>43983.805014211735</v>
      </c>
      <c r="AI155" s="294">
        <f t="shared" si="102"/>
        <v>43983.805014211735</v>
      </c>
      <c r="AJ155" s="295">
        <f t="shared" si="99"/>
        <v>1209327.1994675794</v>
      </c>
    </row>
    <row r="156" spans="2:37" ht="14.4">
      <c r="B156" s="375"/>
      <c r="C156" s="375"/>
      <c r="D156" s="73" t="s">
        <v>193</v>
      </c>
      <c r="E156" s="292">
        <v>5.0000000000000001E-3</v>
      </c>
      <c r="F156" s="293"/>
      <c r="G156" s="294">
        <f>+G152*$E156</f>
        <v>6503.8030290544712</v>
      </c>
      <c r="H156" s="294">
        <f t="shared" ref="H156:AI156" si="103">+H152*$E156</f>
        <v>6639.8856775562172</v>
      </c>
      <c r="I156" s="294">
        <f t="shared" si="103"/>
        <v>6775.9683260579632</v>
      </c>
      <c r="J156" s="294">
        <f t="shared" si="103"/>
        <v>6912.050974559711</v>
      </c>
      <c r="K156" s="294">
        <f t="shared" si="103"/>
        <v>7111.1508113319833</v>
      </c>
      <c r="L156" s="294">
        <f t="shared" si="103"/>
        <v>7190.715442906966</v>
      </c>
      <c r="M156" s="294">
        <f t="shared" si="103"/>
        <v>7329.3939686260992</v>
      </c>
      <c r="N156" s="294">
        <f t="shared" si="103"/>
        <v>7382.7688479319604</v>
      </c>
      <c r="O156" s="294">
        <f t="shared" si="103"/>
        <v>7387.976135832535</v>
      </c>
      <c r="P156" s="294">
        <f t="shared" si="103"/>
        <v>7390.5642463170188</v>
      </c>
      <c r="Q156" s="294">
        <f t="shared" si="103"/>
        <v>7423.9021560578385</v>
      </c>
      <c r="R156" s="294">
        <f t="shared" si="103"/>
        <v>7429.1016772255116</v>
      </c>
      <c r="S156" s="294">
        <f t="shared" si="103"/>
        <v>7467.5870612304197</v>
      </c>
      <c r="T156" s="294">
        <f t="shared" si="103"/>
        <v>7467.5792944975183</v>
      </c>
      <c r="U156" s="294">
        <f t="shared" si="103"/>
        <v>7470.1829384478051</v>
      </c>
      <c r="V156" s="294">
        <f t="shared" si="103"/>
        <v>7470.1751717149045</v>
      </c>
      <c r="W156" s="294">
        <f t="shared" si="103"/>
        <v>7470.1751717149045</v>
      </c>
      <c r="X156" s="294">
        <f t="shared" si="103"/>
        <v>7470.1751717149045</v>
      </c>
      <c r="Y156" s="294">
        <f t="shared" si="103"/>
        <v>7669.5933121668186</v>
      </c>
      <c r="Z156" s="294">
        <f t="shared" si="103"/>
        <v>7669.5933121668186</v>
      </c>
      <c r="AA156" s="294">
        <f t="shared" si="103"/>
        <v>7669.5933121668186</v>
      </c>
      <c r="AB156" s="294">
        <f t="shared" si="103"/>
        <v>7669.5933121668186</v>
      </c>
      <c r="AC156" s="294">
        <f t="shared" si="103"/>
        <v>7854.2508953949527</v>
      </c>
      <c r="AD156" s="294">
        <f t="shared" si="103"/>
        <v>7854.2508953949527</v>
      </c>
      <c r="AE156" s="294">
        <f t="shared" si="103"/>
        <v>7854.2508953949527</v>
      </c>
      <c r="AF156" s="294">
        <f t="shared" si="103"/>
        <v>7854.2508953949527</v>
      </c>
      <c r="AG156" s="294">
        <f t="shared" si="103"/>
        <v>7854.2508953949527</v>
      </c>
      <c r="AH156" s="294">
        <f t="shared" si="103"/>
        <v>7854.2508953949527</v>
      </c>
      <c r="AI156" s="294">
        <f t="shared" si="103"/>
        <v>7854.2508953949527</v>
      </c>
      <c r="AJ156" s="295">
        <f t="shared" si="99"/>
        <v>215951.28561921057</v>
      </c>
    </row>
    <row r="157" spans="2:37" ht="14.4">
      <c r="B157" s="375"/>
      <c r="C157" s="375"/>
      <c r="D157" s="73" t="s">
        <v>194</v>
      </c>
      <c r="E157" s="296"/>
      <c r="F157" s="293"/>
      <c r="G157" s="294">
        <f t="shared" ref="G157:AI157" si="104">+SUBTOTAL(9,G152:G156)</f>
        <v>1432527.6551795378</v>
      </c>
      <c r="H157" s="294">
        <f t="shared" si="104"/>
        <v>1462501.2193385325</v>
      </c>
      <c r="I157" s="294">
        <f t="shared" si="104"/>
        <v>1492474.783497527</v>
      </c>
      <c r="J157" s="294">
        <f t="shared" si="104"/>
        <v>1522448.3476565219</v>
      </c>
      <c r="K157" s="294">
        <f t="shared" si="104"/>
        <v>1566302.0777039828</v>
      </c>
      <c r="L157" s="294">
        <f t="shared" si="104"/>
        <v>1583826.9834546885</v>
      </c>
      <c r="M157" s="294">
        <f t="shared" si="104"/>
        <v>1614372.3155295847</v>
      </c>
      <c r="N157" s="294">
        <f t="shared" si="104"/>
        <v>1626128.6664454932</v>
      </c>
      <c r="O157" s="294">
        <f t="shared" si="104"/>
        <v>1627275.623678474</v>
      </c>
      <c r="P157" s="294">
        <f t="shared" si="104"/>
        <v>1627845.6808937865</v>
      </c>
      <c r="Q157" s="294">
        <f t="shared" si="104"/>
        <v>1635188.6888932993</v>
      </c>
      <c r="R157" s="294">
        <f t="shared" si="104"/>
        <v>1636333.9354256911</v>
      </c>
      <c r="S157" s="294">
        <f t="shared" si="104"/>
        <v>1644810.7261066118</v>
      </c>
      <c r="T157" s="294">
        <f t="shared" si="104"/>
        <v>1644809.0154060237</v>
      </c>
      <c r="U157" s="294">
        <f t="shared" si="104"/>
        <v>1645382.494022514</v>
      </c>
      <c r="V157" s="294">
        <f t="shared" si="104"/>
        <v>1645380.7833219252</v>
      </c>
      <c r="W157" s="294">
        <f t="shared" si="104"/>
        <v>1645380.7833219252</v>
      </c>
      <c r="X157" s="294">
        <f t="shared" si="104"/>
        <v>1645380.7833219252</v>
      </c>
      <c r="Y157" s="294">
        <f t="shared" si="104"/>
        <v>1689304.6229378635</v>
      </c>
      <c r="Z157" s="294">
        <f t="shared" si="104"/>
        <v>1689304.6229378635</v>
      </c>
      <c r="AA157" s="294">
        <f t="shared" si="104"/>
        <v>1689304.6229378635</v>
      </c>
      <c r="AB157" s="294">
        <f t="shared" si="104"/>
        <v>1689304.6229378635</v>
      </c>
      <c r="AC157" s="294">
        <f t="shared" si="104"/>
        <v>1729977.3022196922</v>
      </c>
      <c r="AD157" s="294">
        <f t="shared" si="104"/>
        <v>1729977.3022196922</v>
      </c>
      <c r="AE157" s="294">
        <f t="shared" si="104"/>
        <v>1729977.3022196922</v>
      </c>
      <c r="AF157" s="294">
        <f t="shared" si="104"/>
        <v>1729977.3022196922</v>
      </c>
      <c r="AG157" s="294">
        <f t="shared" si="104"/>
        <v>1729977.3022196922</v>
      </c>
      <c r="AH157" s="294">
        <f t="shared" si="104"/>
        <v>1729977.3022196922</v>
      </c>
      <c r="AI157" s="294">
        <f t="shared" si="104"/>
        <v>1729977.3022196922</v>
      </c>
      <c r="AJ157" s="295">
        <f t="shared" si="99"/>
        <v>47565430.170487314</v>
      </c>
    </row>
    <row r="158" spans="2:37" ht="14.4">
      <c r="B158" s="375"/>
      <c r="C158" s="375"/>
      <c r="D158" s="73" t="s">
        <v>195</v>
      </c>
      <c r="E158" s="297">
        <f>BDI!$F$33</f>
        <v>0.26450000000000001</v>
      </c>
      <c r="F158" s="293"/>
      <c r="G158" s="294">
        <f t="shared" ref="G158:AI158" si="105">+G157*$E158</f>
        <v>378903.56479498779</v>
      </c>
      <c r="H158" s="294">
        <f t="shared" si="105"/>
        <v>386831.57251504186</v>
      </c>
      <c r="I158" s="294">
        <f t="shared" si="105"/>
        <v>394759.58023509593</v>
      </c>
      <c r="J158" s="294">
        <f t="shared" si="105"/>
        <v>402687.58795515005</v>
      </c>
      <c r="K158" s="294">
        <f t="shared" si="105"/>
        <v>414286.89955270349</v>
      </c>
      <c r="L158" s="294">
        <f t="shared" si="105"/>
        <v>418922.23712376511</v>
      </c>
      <c r="M158" s="294">
        <f t="shared" si="105"/>
        <v>427001.47745757515</v>
      </c>
      <c r="N158" s="294">
        <f t="shared" si="105"/>
        <v>430111.03227483301</v>
      </c>
      <c r="O158" s="294">
        <f t="shared" si="105"/>
        <v>430414.40246295638</v>
      </c>
      <c r="P158" s="294">
        <f t="shared" si="105"/>
        <v>430565.18259640655</v>
      </c>
      <c r="Q158" s="294">
        <f t="shared" si="105"/>
        <v>432507.40821227769</v>
      </c>
      <c r="R158" s="294">
        <f t="shared" si="105"/>
        <v>432810.32592009532</v>
      </c>
      <c r="S158" s="294">
        <f t="shared" si="105"/>
        <v>435052.43705519882</v>
      </c>
      <c r="T158" s="294">
        <f t="shared" si="105"/>
        <v>435051.98457489331</v>
      </c>
      <c r="U158" s="294">
        <f t="shared" si="105"/>
        <v>435203.66966895497</v>
      </c>
      <c r="V158" s="294">
        <f t="shared" si="105"/>
        <v>435203.21718864923</v>
      </c>
      <c r="W158" s="294">
        <f t="shared" si="105"/>
        <v>435203.21718864923</v>
      </c>
      <c r="X158" s="294">
        <f t="shared" si="105"/>
        <v>435203.21718864923</v>
      </c>
      <c r="Y158" s="294">
        <f t="shared" si="105"/>
        <v>446821.07276706491</v>
      </c>
      <c r="Z158" s="294">
        <f t="shared" si="105"/>
        <v>446821.07276706491</v>
      </c>
      <c r="AA158" s="294">
        <f t="shared" si="105"/>
        <v>446821.07276706491</v>
      </c>
      <c r="AB158" s="294">
        <f t="shared" si="105"/>
        <v>446821.07276706491</v>
      </c>
      <c r="AC158" s="294">
        <f t="shared" si="105"/>
        <v>457578.99643710861</v>
      </c>
      <c r="AD158" s="294">
        <f t="shared" si="105"/>
        <v>457578.99643710861</v>
      </c>
      <c r="AE158" s="294">
        <f t="shared" si="105"/>
        <v>457578.99643710861</v>
      </c>
      <c r="AF158" s="294">
        <f t="shared" si="105"/>
        <v>457578.99643710861</v>
      </c>
      <c r="AG158" s="294">
        <f t="shared" si="105"/>
        <v>457578.99643710861</v>
      </c>
      <c r="AH158" s="294">
        <f t="shared" si="105"/>
        <v>457578.99643710861</v>
      </c>
      <c r="AI158" s="294">
        <f t="shared" si="105"/>
        <v>457578.99643710861</v>
      </c>
      <c r="AJ158" s="295">
        <f t="shared" si="99"/>
        <v>12581056.280093899</v>
      </c>
    </row>
    <row r="159" spans="2:37" ht="14.4">
      <c r="B159" s="375"/>
      <c r="C159" s="375"/>
      <c r="D159" s="73" t="s">
        <v>196</v>
      </c>
      <c r="E159" s="296"/>
      <c r="F159" s="293"/>
      <c r="G159" s="76">
        <f t="shared" ref="G159:AI159" si="106">+SUM(G157:G158)</f>
        <v>1811431.2199745257</v>
      </c>
      <c r="H159" s="76">
        <f t="shared" si="106"/>
        <v>1849332.7918535743</v>
      </c>
      <c r="I159" s="76">
        <f t="shared" si="106"/>
        <v>1887234.3637326229</v>
      </c>
      <c r="J159" s="76">
        <f t="shared" si="106"/>
        <v>1925135.935611672</v>
      </c>
      <c r="K159" s="76">
        <f t="shared" si="106"/>
        <v>1980588.9772566864</v>
      </c>
      <c r="L159" s="76">
        <f t="shared" si="106"/>
        <v>2002749.2205784535</v>
      </c>
      <c r="M159" s="76">
        <f t="shared" si="106"/>
        <v>2041373.7929871599</v>
      </c>
      <c r="N159" s="76">
        <f t="shared" si="106"/>
        <v>2056239.6987203262</v>
      </c>
      <c r="O159" s="76">
        <f t="shared" si="106"/>
        <v>2057690.0261414303</v>
      </c>
      <c r="P159" s="76">
        <f t="shared" si="106"/>
        <v>2058410.8634901932</v>
      </c>
      <c r="Q159" s="76">
        <f t="shared" si="106"/>
        <v>2067696.0971055771</v>
      </c>
      <c r="R159" s="76">
        <f t="shared" si="106"/>
        <v>2069144.2613457865</v>
      </c>
      <c r="S159" s="76">
        <f t="shared" si="106"/>
        <v>2079863.1631618105</v>
      </c>
      <c r="T159" s="76">
        <f t="shared" si="106"/>
        <v>2079860.999980917</v>
      </c>
      <c r="U159" s="76">
        <f t="shared" si="106"/>
        <v>2080586.163691469</v>
      </c>
      <c r="V159" s="76">
        <f t="shared" si="106"/>
        <v>2080584.0005105743</v>
      </c>
      <c r="W159" s="76">
        <f t="shared" si="106"/>
        <v>2080584.0005105743</v>
      </c>
      <c r="X159" s="76">
        <f t="shared" si="106"/>
        <v>2080584.0005105743</v>
      </c>
      <c r="Y159" s="76">
        <f t="shared" si="106"/>
        <v>2136125.6957049286</v>
      </c>
      <c r="Z159" s="76">
        <f t="shared" si="106"/>
        <v>2136125.6957049286</v>
      </c>
      <c r="AA159" s="76">
        <f t="shared" si="106"/>
        <v>2136125.6957049286</v>
      </c>
      <c r="AB159" s="76">
        <f t="shared" si="106"/>
        <v>2136125.6957049286</v>
      </c>
      <c r="AC159" s="76">
        <f t="shared" si="106"/>
        <v>2187556.2986568008</v>
      </c>
      <c r="AD159" s="76">
        <f t="shared" si="106"/>
        <v>2187556.2986568008</v>
      </c>
      <c r="AE159" s="76">
        <f t="shared" si="106"/>
        <v>2187556.2986568008</v>
      </c>
      <c r="AF159" s="76">
        <f t="shared" si="106"/>
        <v>2187556.2986568008</v>
      </c>
      <c r="AG159" s="76">
        <f t="shared" si="106"/>
        <v>2187556.2986568008</v>
      </c>
      <c r="AH159" s="76">
        <f t="shared" si="106"/>
        <v>2187556.2986568008</v>
      </c>
      <c r="AI159" s="76">
        <f t="shared" si="106"/>
        <v>2187556.2986568008</v>
      </c>
      <c r="AJ159" s="228">
        <f t="shared" si="99"/>
        <v>60146486.450581238</v>
      </c>
      <c r="AK159" s="2"/>
    </row>
    <row r="160" spans="2:37" ht="14.4">
      <c r="B160" s="224" t="s">
        <v>209</v>
      </c>
      <c r="C160" s="225" t="str">
        <f>+C71</f>
        <v>EDIFICAÇÕES E INSTALAÇÕES OPERACIONAIS</v>
      </c>
      <c r="D160" s="226"/>
      <c r="E160" s="226"/>
      <c r="F160" s="208">
        <f t="shared" ref="F160:AI160" si="107">+F168</f>
        <v>0</v>
      </c>
      <c r="G160" s="208">
        <f t="shared" si="107"/>
        <v>94972.379609050782</v>
      </c>
      <c r="H160" s="208">
        <f t="shared" si="107"/>
        <v>94972.379609050782</v>
      </c>
      <c r="I160" s="208">
        <f t="shared" si="107"/>
        <v>94972.379609050782</v>
      </c>
      <c r="J160" s="208">
        <f t="shared" si="107"/>
        <v>94972.379609050782</v>
      </c>
      <c r="K160" s="208">
        <f t="shared" si="107"/>
        <v>94972.379609050782</v>
      </c>
      <c r="L160" s="208">
        <f t="shared" si="107"/>
        <v>94972.379609050782</v>
      </c>
      <c r="M160" s="208">
        <f t="shared" si="107"/>
        <v>94972.379609050782</v>
      </c>
      <c r="N160" s="208">
        <f t="shared" si="107"/>
        <v>94972.379609050782</v>
      </c>
      <c r="O160" s="208">
        <f t="shared" si="107"/>
        <v>94972.379609050782</v>
      </c>
      <c r="P160" s="208">
        <f t="shared" si="107"/>
        <v>94972.379609050782</v>
      </c>
      <c r="Q160" s="208">
        <f t="shared" si="107"/>
        <v>94972.379609050782</v>
      </c>
      <c r="R160" s="208">
        <f t="shared" si="107"/>
        <v>94972.379609050782</v>
      </c>
      <c r="S160" s="208">
        <f t="shared" si="107"/>
        <v>94972.379609050782</v>
      </c>
      <c r="T160" s="208">
        <f t="shared" si="107"/>
        <v>94972.379609050782</v>
      </c>
      <c r="U160" s="208">
        <f t="shared" si="107"/>
        <v>94972.379609050782</v>
      </c>
      <c r="V160" s="208">
        <f t="shared" si="107"/>
        <v>94972.379609050782</v>
      </c>
      <c r="W160" s="208">
        <f t="shared" si="107"/>
        <v>94972.379609050782</v>
      </c>
      <c r="X160" s="208">
        <f t="shared" si="107"/>
        <v>94972.379609050782</v>
      </c>
      <c r="Y160" s="208">
        <f t="shared" si="107"/>
        <v>94972.379609050782</v>
      </c>
      <c r="Z160" s="208">
        <f t="shared" si="107"/>
        <v>94972.379609050782</v>
      </c>
      <c r="AA160" s="208">
        <f t="shared" si="107"/>
        <v>94972.379609050782</v>
      </c>
      <c r="AB160" s="208">
        <f t="shared" si="107"/>
        <v>94972.379609050782</v>
      </c>
      <c r="AC160" s="208">
        <f t="shared" si="107"/>
        <v>94972.379609050782</v>
      </c>
      <c r="AD160" s="208">
        <f t="shared" si="107"/>
        <v>94972.379609050782</v>
      </c>
      <c r="AE160" s="208">
        <f t="shared" si="107"/>
        <v>94972.379609050782</v>
      </c>
      <c r="AF160" s="208">
        <f t="shared" si="107"/>
        <v>94972.379609050782</v>
      </c>
      <c r="AG160" s="208">
        <f t="shared" si="107"/>
        <v>94972.379609050782</v>
      </c>
      <c r="AH160" s="208">
        <f t="shared" si="107"/>
        <v>94972.379609050782</v>
      </c>
      <c r="AI160" s="208">
        <f t="shared" si="107"/>
        <v>94972.379609050782</v>
      </c>
      <c r="AJ160" s="208">
        <f>+AJ168</f>
        <v>2754199.0086624715</v>
      </c>
    </row>
    <row r="161" spans="2:37" ht="14.4">
      <c r="B161" s="374" t="s">
        <v>210</v>
      </c>
      <c r="C161" s="374" t="str">
        <f>+C72</f>
        <v>Conservação de Edificações</v>
      </c>
      <c r="D161" s="72" t="s">
        <v>189</v>
      </c>
      <c r="E161" s="288"/>
      <c r="F161" s="289"/>
      <c r="G161" s="290">
        <f t="shared" ref="G161:AI161" si="108">+G71</f>
        <v>68198.189737123117</v>
      </c>
      <c r="H161" s="290">
        <f t="shared" si="108"/>
        <v>68198.189737123117</v>
      </c>
      <c r="I161" s="290">
        <f t="shared" si="108"/>
        <v>68198.189737123117</v>
      </c>
      <c r="J161" s="290">
        <f t="shared" si="108"/>
        <v>68198.189737123117</v>
      </c>
      <c r="K161" s="290">
        <f t="shared" si="108"/>
        <v>68198.189737123117</v>
      </c>
      <c r="L161" s="290">
        <f t="shared" si="108"/>
        <v>68198.189737123117</v>
      </c>
      <c r="M161" s="290">
        <f t="shared" si="108"/>
        <v>68198.189737123117</v>
      </c>
      <c r="N161" s="290">
        <f t="shared" si="108"/>
        <v>68198.189737123117</v>
      </c>
      <c r="O161" s="290">
        <f t="shared" si="108"/>
        <v>68198.189737123117</v>
      </c>
      <c r="P161" s="290">
        <f t="shared" si="108"/>
        <v>68198.189737123117</v>
      </c>
      <c r="Q161" s="290">
        <f t="shared" si="108"/>
        <v>68198.189737123117</v>
      </c>
      <c r="R161" s="290">
        <f t="shared" si="108"/>
        <v>68198.189737123117</v>
      </c>
      <c r="S161" s="290">
        <f t="shared" si="108"/>
        <v>68198.189737123117</v>
      </c>
      <c r="T161" s="290">
        <f t="shared" si="108"/>
        <v>68198.189737123117</v>
      </c>
      <c r="U161" s="290">
        <f t="shared" si="108"/>
        <v>68198.189737123117</v>
      </c>
      <c r="V161" s="290">
        <f t="shared" si="108"/>
        <v>68198.189737123117</v>
      </c>
      <c r="W161" s="290">
        <f t="shared" si="108"/>
        <v>68198.189737123117</v>
      </c>
      <c r="X161" s="290">
        <f t="shared" si="108"/>
        <v>68198.189737123117</v>
      </c>
      <c r="Y161" s="290">
        <f t="shared" si="108"/>
        <v>68198.189737123117</v>
      </c>
      <c r="Z161" s="290">
        <f t="shared" si="108"/>
        <v>68198.189737123117</v>
      </c>
      <c r="AA161" s="290">
        <f t="shared" si="108"/>
        <v>68198.189737123117</v>
      </c>
      <c r="AB161" s="290">
        <f t="shared" si="108"/>
        <v>68198.189737123117</v>
      </c>
      <c r="AC161" s="290">
        <f t="shared" si="108"/>
        <v>68198.189737123117</v>
      </c>
      <c r="AD161" s="290">
        <f t="shared" si="108"/>
        <v>68198.189737123117</v>
      </c>
      <c r="AE161" s="290">
        <f t="shared" si="108"/>
        <v>68198.189737123117</v>
      </c>
      <c r="AF161" s="290">
        <f t="shared" si="108"/>
        <v>68198.189737123117</v>
      </c>
      <c r="AG161" s="290">
        <f t="shared" si="108"/>
        <v>68198.189737123117</v>
      </c>
      <c r="AH161" s="290">
        <f t="shared" si="108"/>
        <v>68198.189737123117</v>
      </c>
      <c r="AI161" s="290">
        <f t="shared" si="108"/>
        <v>68198.189737123117</v>
      </c>
      <c r="AJ161" s="291">
        <f t="shared" ref="AJ161:AJ168" si="109">+SUM(F161:AI161)</f>
        <v>1977747.5023765713</v>
      </c>
    </row>
    <row r="162" spans="2:37" ht="14.4">
      <c r="B162" s="375"/>
      <c r="C162" s="375"/>
      <c r="D162" s="73" t="s">
        <v>190</v>
      </c>
      <c r="E162" s="292">
        <v>6.3299999999999995E-2</v>
      </c>
      <c r="F162" s="293"/>
      <c r="G162" s="294">
        <f t="shared" ref="G162:AI162" si="110">+G161*$E162</f>
        <v>4316.9454103598928</v>
      </c>
      <c r="H162" s="294">
        <f t="shared" si="110"/>
        <v>4316.9454103598928</v>
      </c>
      <c r="I162" s="294">
        <f t="shared" si="110"/>
        <v>4316.9454103598928</v>
      </c>
      <c r="J162" s="294">
        <f t="shared" si="110"/>
        <v>4316.9454103598928</v>
      </c>
      <c r="K162" s="294">
        <f t="shared" si="110"/>
        <v>4316.9454103598928</v>
      </c>
      <c r="L162" s="294">
        <f t="shared" si="110"/>
        <v>4316.9454103598928</v>
      </c>
      <c r="M162" s="294">
        <f t="shared" si="110"/>
        <v>4316.9454103598928</v>
      </c>
      <c r="N162" s="294">
        <f t="shared" si="110"/>
        <v>4316.9454103598928</v>
      </c>
      <c r="O162" s="294">
        <f t="shared" si="110"/>
        <v>4316.9454103598928</v>
      </c>
      <c r="P162" s="294">
        <f t="shared" si="110"/>
        <v>4316.9454103598928</v>
      </c>
      <c r="Q162" s="294">
        <f t="shared" si="110"/>
        <v>4316.9454103598928</v>
      </c>
      <c r="R162" s="294">
        <f t="shared" si="110"/>
        <v>4316.9454103598928</v>
      </c>
      <c r="S162" s="294">
        <f t="shared" si="110"/>
        <v>4316.9454103598928</v>
      </c>
      <c r="T162" s="294">
        <f t="shared" si="110"/>
        <v>4316.9454103598928</v>
      </c>
      <c r="U162" s="294">
        <f t="shared" si="110"/>
        <v>4316.9454103598928</v>
      </c>
      <c r="V162" s="294">
        <f t="shared" si="110"/>
        <v>4316.9454103598928</v>
      </c>
      <c r="W162" s="294">
        <f t="shared" si="110"/>
        <v>4316.9454103598928</v>
      </c>
      <c r="X162" s="294">
        <f t="shared" si="110"/>
        <v>4316.9454103598928</v>
      </c>
      <c r="Y162" s="294">
        <f t="shared" si="110"/>
        <v>4316.9454103598928</v>
      </c>
      <c r="Z162" s="294">
        <f t="shared" si="110"/>
        <v>4316.9454103598928</v>
      </c>
      <c r="AA162" s="294">
        <f t="shared" si="110"/>
        <v>4316.9454103598928</v>
      </c>
      <c r="AB162" s="294">
        <f t="shared" si="110"/>
        <v>4316.9454103598928</v>
      </c>
      <c r="AC162" s="294">
        <f t="shared" si="110"/>
        <v>4316.9454103598928</v>
      </c>
      <c r="AD162" s="294">
        <f t="shared" si="110"/>
        <v>4316.9454103598928</v>
      </c>
      <c r="AE162" s="294">
        <f t="shared" si="110"/>
        <v>4316.9454103598928</v>
      </c>
      <c r="AF162" s="294">
        <f t="shared" si="110"/>
        <v>4316.9454103598928</v>
      </c>
      <c r="AG162" s="294">
        <f t="shared" si="110"/>
        <v>4316.9454103598928</v>
      </c>
      <c r="AH162" s="294">
        <f t="shared" si="110"/>
        <v>4316.9454103598928</v>
      </c>
      <c r="AI162" s="294">
        <f t="shared" si="110"/>
        <v>4316.9454103598928</v>
      </c>
      <c r="AJ162" s="295">
        <f t="shared" si="109"/>
        <v>125191.41690043695</v>
      </c>
    </row>
    <row r="163" spans="2:37" ht="14.4">
      <c r="B163" s="375"/>
      <c r="C163" s="375"/>
      <c r="D163" s="73" t="s">
        <v>191</v>
      </c>
      <c r="E163" s="292">
        <v>5.0000000000000001E-3</v>
      </c>
      <c r="F163" s="293"/>
      <c r="G163" s="294">
        <f>+G161*$E163</f>
        <v>340.99094868561559</v>
      </c>
      <c r="H163" s="294">
        <f t="shared" ref="H163:AI163" si="111">+H161*$E163</f>
        <v>340.99094868561559</v>
      </c>
      <c r="I163" s="294">
        <f t="shared" si="111"/>
        <v>340.99094868561559</v>
      </c>
      <c r="J163" s="294">
        <f t="shared" si="111"/>
        <v>340.99094868561559</v>
      </c>
      <c r="K163" s="294">
        <f t="shared" si="111"/>
        <v>340.99094868561559</v>
      </c>
      <c r="L163" s="294">
        <f t="shared" si="111"/>
        <v>340.99094868561559</v>
      </c>
      <c r="M163" s="294">
        <f t="shared" si="111"/>
        <v>340.99094868561559</v>
      </c>
      <c r="N163" s="294">
        <f t="shared" si="111"/>
        <v>340.99094868561559</v>
      </c>
      <c r="O163" s="294">
        <f t="shared" si="111"/>
        <v>340.99094868561559</v>
      </c>
      <c r="P163" s="294">
        <f t="shared" si="111"/>
        <v>340.99094868561559</v>
      </c>
      <c r="Q163" s="294">
        <f t="shared" si="111"/>
        <v>340.99094868561559</v>
      </c>
      <c r="R163" s="294">
        <f t="shared" si="111"/>
        <v>340.99094868561559</v>
      </c>
      <c r="S163" s="294">
        <f t="shared" si="111"/>
        <v>340.99094868561559</v>
      </c>
      <c r="T163" s="294">
        <f t="shared" si="111"/>
        <v>340.99094868561559</v>
      </c>
      <c r="U163" s="294">
        <f t="shared" si="111"/>
        <v>340.99094868561559</v>
      </c>
      <c r="V163" s="294">
        <f t="shared" si="111"/>
        <v>340.99094868561559</v>
      </c>
      <c r="W163" s="294">
        <f t="shared" si="111"/>
        <v>340.99094868561559</v>
      </c>
      <c r="X163" s="294">
        <f t="shared" si="111"/>
        <v>340.99094868561559</v>
      </c>
      <c r="Y163" s="294">
        <f t="shared" si="111"/>
        <v>340.99094868561559</v>
      </c>
      <c r="Z163" s="294">
        <f t="shared" si="111"/>
        <v>340.99094868561559</v>
      </c>
      <c r="AA163" s="294">
        <f t="shared" si="111"/>
        <v>340.99094868561559</v>
      </c>
      <c r="AB163" s="294">
        <f t="shared" si="111"/>
        <v>340.99094868561559</v>
      </c>
      <c r="AC163" s="294">
        <f t="shared" si="111"/>
        <v>340.99094868561559</v>
      </c>
      <c r="AD163" s="294">
        <f t="shared" si="111"/>
        <v>340.99094868561559</v>
      </c>
      <c r="AE163" s="294">
        <f t="shared" si="111"/>
        <v>340.99094868561559</v>
      </c>
      <c r="AF163" s="294">
        <f t="shared" si="111"/>
        <v>340.99094868561559</v>
      </c>
      <c r="AG163" s="294">
        <f t="shared" si="111"/>
        <v>340.99094868561559</v>
      </c>
      <c r="AH163" s="294">
        <f t="shared" si="111"/>
        <v>340.99094868561559</v>
      </c>
      <c r="AI163" s="294">
        <f t="shared" si="111"/>
        <v>340.99094868561559</v>
      </c>
      <c r="AJ163" s="295">
        <f t="shared" si="109"/>
        <v>9888.737511882855</v>
      </c>
    </row>
    <row r="164" spans="2:37" ht="14.4">
      <c r="B164" s="375"/>
      <c r="C164" s="375"/>
      <c r="D164" s="73" t="s">
        <v>192</v>
      </c>
      <c r="E164" s="292">
        <v>2.8000000000000001E-2</v>
      </c>
      <c r="F164" s="293"/>
      <c r="G164" s="294">
        <f>+G161*$E164</f>
        <v>1909.5493126394474</v>
      </c>
      <c r="H164" s="294">
        <f t="shared" ref="H164:AI164" si="112">+H161*$E164</f>
        <v>1909.5493126394474</v>
      </c>
      <c r="I164" s="294">
        <f t="shared" si="112"/>
        <v>1909.5493126394474</v>
      </c>
      <c r="J164" s="294">
        <f t="shared" si="112"/>
        <v>1909.5493126394474</v>
      </c>
      <c r="K164" s="294">
        <f t="shared" si="112"/>
        <v>1909.5493126394474</v>
      </c>
      <c r="L164" s="294">
        <f t="shared" si="112"/>
        <v>1909.5493126394474</v>
      </c>
      <c r="M164" s="294">
        <f t="shared" si="112"/>
        <v>1909.5493126394474</v>
      </c>
      <c r="N164" s="294">
        <f t="shared" si="112"/>
        <v>1909.5493126394474</v>
      </c>
      <c r="O164" s="294">
        <f t="shared" si="112"/>
        <v>1909.5493126394474</v>
      </c>
      <c r="P164" s="294">
        <f t="shared" si="112"/>
        <v>1909.5493126394474</v>
      </c>
      <c r="Q164" s="294">
        <f t="shared" si="112"/>
        <v>1909.5493126394474</v>
      </c>
      <c r="R164" s="294">
        <f t="shared" si="112"/>
        <v>1909.5493126394474</v>
      </c>
      <c r="S164" s="294">
        <f t="shared" si="112"/>
        <v>1909.5493126394474</v>
      </c>
      <c r="T164" s="294">
        <f t="shared" si="112"/>
        <v>1909.5493126394474</v>
      </c>
      <c r="U164" s="294">
        <f t="shared" si="112"/>
        <v>1909.5493126394474</v>
      </c>
      <c r="V164" s="294">
        <f t="shared" si="112"/>
        <v>1909.5493126394474</v>
      </c>
      <c r="W164" s="294">
        <f t="shared" si="112"/>
        <v>1909.5493126394474</v>
      </c>
      <c r="X164" s="294">
        <f t="shared" si="112"/>
        <v>1909.5493126394474</v>
      </c>
      <c r="Y164" s="294">
        <f t="shared" si="112"/>
        <v>1909.5493126394474</v>
      </c>
      <c r="Z164" s="294">
        <f t="shared" si="112"/>
        <v>1909.5493126394474</v>
      </c>
      <c r="AA164" s="294">
        <f t="shared" si="112"/>
        <v>1909.5493126394474</v>
      </c>
      <c r="AB164" s="294">
        <f t="shared" si="112"/>
        <v>1909.5493126394474</v>
      </c>
      <c r="AC164" s="294">
        <f t="shared" si="112"/>
        <v>1909.5493126394474</v>
      </c>
      <c r="AD164" s="294">
        <f t="shared" si="112"/>
        <v>1909.5493126394474</v>
      </c>
      <c r="AE164" s="294">
        <f t="shared" si="112"/>
        <v>1909.5493126394474</v>
      </c>
      <c r="AF164" s="294">
        <f t="shared" si="112"/>
        <v>1909.5493126394474</v>
      </c>
      <c r="AG164" s="294">
        <f t="shared" si="112"/>
        <v>1909.5493126394474</v>
      </c>
      <c r="AH164" s="294">
        <f t="shared" si="112"/>
        <v>1909.5493126394474</v>
      </c>
      <c r="AI164" s="294">
        <f t="shared" si="112"/>
        <v>1909.5493126394474</v>
      </c>
      <c r="AJ164" s="295">
        <f t="shared" si="109"/>
        <v>55376.930066544002</v>
      </c>
    </row>
    <row r="165" spans="2:37" ht="14.4">
      <c r="B165" s="375"/>
      <c r="C165" s="375"/>
      <c r="D165" s="73" t="s">
        <v>193</v>
      </c>
      <c r="E165" s="292">
        <v>5.0000000000000001E-3</v>
      </c>
      <c r="F165" s="293"/>
      <c r="G165" s="294">
        <f>+G161*$E165</f>
        <v>340.99094868561559</v>
      </c>
      <c r="H165" s="294">
        <f t="shared" ref="H165:AI165" si="113">+H161*$E165</f>
        <v>340.99094868561559</v>
      </c>
      <c r="I165" s="294">
        <f t="shared" si="113"/>
        <v>340.99094868561559</v>
      </c>
      <c r="J165" s="294">
        <f t="shared" si="113"/>
        <v>340.99094868561559</v>
      </c>
      <c r="K165" s="294">
        <f t="shared" si="113"/>
        <v>340.99094868561559</v>
      </c>
      <c r="L165" s="294">
        <f t="shared" si="113"/>
        <v>340.99094868561559</v>
      </c>
      <c r="M165" s="294">
        <f t="shared" si="113"/>
        <v>340.99094868561559</v>
      </c>
      <c r="N165" s="294">
        <f t="shared" si="113"/>
        <v>340.99094868561559</v>
      </c>
      <c r="O165" s="294">
        <f t="shared" si="113"/>
        <v>340.99094868561559</v>
      </c>
      <c r="P165" s="294">
        <f t="shared" si="113"/>
        <v>340.99094868561559</v>
      </c>
      <c r="Q165" s="294">
        <f t="shared" si="113"/>
        <v>340.99094868561559</v>
      </c>
      <c r="R165" s="294">
        <f t="shared" si="113"/>
        <v>340.99094868561559</v>
      </c>
      <c r="S165" s="294">
        <f t="shared" si="113"/>
        <v>340.99094868561559</v>
      </c>
      <c r="T165" s="294">
        <f t="shared" si="113"/>
        <v>340.99094868561559</v>
      </c>
      <c r="U165" s="294">
        <f t="shared" si="113"/>
        <v>340.99094868561559</v>
      </c>
      <c r="V165" s="294">
        <f t="shared" si="113"/>
        <v>340.99094868561559</v>
      </c>
      <c r="W165" s="294">
        <f t="shared" si="113"/>
        <v>340.99094868561559</v>
      </c>
      <c r="X165" s="294">
        <f t="shared" si="113"/>
        <v>340.99094868561559</v>
      </c>
      <c r="Y165" s="294">
        <f t="shared" si="113"/>
        <v>340.99094868561559</v>
      </c>
      <c r="Z165" s="294">
        <f t="shared" si="113"/>
        <v>340.99094868561559</v>
      </c>
      <c r="AA165" s="294">
        <f t="shared" si="113"/>
        <v>340.99094868561559</v>
      </c>
      <c r="AB165" s="294">
        <f t="shared" si="113"/>
        <v>340.99094868561559</v>
      </c>
      <c r="AC165" s="294">
        <f t="shared" si="113"/>
        <v>340.99094868561559</v>
      </c>
      <c r="AD165" s="294">
        <f t="shared" si="113"/>
        <v>340.99094868561559</v>
      </c>
      <c r="AE165" s="294">
        <f t="shared" si="113"/>
        <v>340.99094868561559</v>
      </c>
      <c r="AF165" s="294">
        <f t="shared" si="113"/>
        <v>340.99094868561559</v>
      </c>
      <c r="AG165" s="294">
        <f t="shared" si="113"/>
        <v>340.99094868561559</v>
      </c>
      <c r="AH165" s="294">
        <f t="shared" si="113"/>
        <v>340.99094868561559</v>
      </c>
      <c r="AI165" s="294">
        <f t="shared" si="113"/>
        <v>340.99094868561559</v>
      </c>
      <c r="AJ165" s="295">
        <f t="shared" si="109"/>
        <v>9888.737511882855</v>
      </c>
    </row>
    <row r="166" spans="2:37" ht="14.4">
      <c r="B166" s="375"/>
      <c r="C166" s="375"/>
      <c r="D166" s="73" t="s">
        <v>194</v>
      </c>
      <c r="E166" s="296"/>
      <c r="F166" s="293"/>
      <c r="G166" s="294">
        <f t="shared" ref="G166:AI166" si="114">+SUBTOTAL(9,G161:G165)</f>
        <v>75106.666357493697</v>
      </c>
      <c r="H166" s="294">
        <f t="shared" si="114"/>
        <v>75106.666357493697</v>
      </c>
      <c r="I166" s="294">
        <f t="shared" si="114"/>
        <v>75106.666357493697</v>
      </c>
      <c r="J166" s="294">
        <f t="shared" si="114"/>
        <v>75106.666357493697</v>
      </c>
      <c r="K166" s="294">
        <f t="shared" si="114"/>
        <v>75106.666357493697</v>
      </c>
      <c r="L166" s="294">
        <f t="shared" si="114"/>
        <v>75106.666357493697</v>
      </c>
      <c r="M166" s="294">
        <f t="shared" si="114"/>
        <v>75106.666357493697</v>
      </c>
      <c r="N166" s="294">
        <f t="shared" si="114"/>
        <v>75106.666357493697</v>
      </c>
      <c r="O166" s="294">
        <f t="shared" si="114"/>
        <v>75106.666357493697</v>
      </c>
      <c r="P166" s="294">
        <f t="shared" si="114"/>
        <v>75106.666357493697</v>
      </c>
      <c r="Q166" s="294">
        <f t="shared" si="114"/>
        <v>75106.666357493697</v>
      </c>
      <c r="R166" s="294">
        <f t="shared" si="114"/>
        <v>75106.666357493697</v>
      </c>
      <c r="S166" s="294">
        <f t="shared" si="114"/>
        <v>75106.666357493697</v>
      </c>
      <c r="T166" s="294">
        <f t="shared" si="114"/>
        <v>75106.666357493697</v>
      </c>
      <c r="U166" s="294">
        <f t="shared" si="114"/>
        <v>75106.666357493697</v>
      </c>
      <c r="V166" s="294">
        <f t="shared" si="114"/>
        <v>75106.666357493697</v>
      </c>
      <c r="W166" s="294">
        <f t="shared" si="114"/>
        <v>75106.666357493697</v>
      </c>
      <c r="X166" s="294">
        <f t="shared" si="114"/>
        <v>75106.666357493697</v>
      </c>
      <c r="Y166" s="294">
        <f t="shared" si="114"/>
        <v>75106.666357493697</v>
      </c>
      <c r="Z166" s="294">
        <f t="shared" si="114"/>
        <v>75106.666357493697</v>
      </c>
      <c r="AA166" s="294">
        <f t="shared" si="114"/>
        <v>75106.666357493697</v>
      </c>
      <c r="AB166" s="294">
        <f t="shared" si="114"/>
        <v>75106.666357493697</v>
      </c>
      <c r="AC166" s="294">
        <f t="shared" si="114"/>
        <v>75106.666357493697</v>
      </c>
      <c r="AD166" s="294">
        <f t="shared" si="114"/>
        <v>75106.666357493697</v>
      </c>
      <c r="AE166" s="294">
        <f t="shared" si="114"/>
        <v>75106.666357493697</v>
      </c>
      <c r="AF166" s="294">
        <f t="shared" si="114"/>
        <v>75106.666357493697</v>
      </c>
      <c r="AG166" s="294">
        <f t="shared" si="114"/>
        <v>75106.666357493697</v>
      </c>
      <c r="AH166" s="294">
        <f t="shared" si="114"/>
        <v>75106.666357493697</v>
      </c>
      <c r="AI166" s="294">
        <f t="shared" si="114"/>
        <v>75106.666357493697</v>
      </c>
      <c r="AJ166" s="295">
        <f t="shared" si="109"/>
        <v>2178093.3243673174</v>
      </c>
      <c r="AK166" s="2"/>
    </row>
    <row r="167" spans="2:37" ht="14.4">
      <c r="B167" s="375"/>
      <c r="C167" s="375"/>
      <c r="D167" s="73" t="s">
        <v>195</v>
      </c>
      <c r="E167" s="297">
        <f>BDI!$F$33</f>
        <v>0.26450000000000001</v>
      </c>
      <c r="F167" s="293"/>
      <c r="G167" s="294">
        <f t="shared" ref="G167:AI167" si="115">+G166*$E167</f>
        <v>19865.713251557085</v>
      </c>
      <c r="H167" s="294">
        <f t="shared" si="115"/>
        <v>19865.713251557085</v>
      </c>
      <c r="I167" s="294">
        <f t="shared" si="115"/>
        <v>19865.713251557085</v>
      </c>
      <c r="J167" s="294">
        <f t="shared" si="115"/>
        <v>19865.713251557085</v>
      </c>
      <c r="K167" s="294">
        <f t="shared" si="115"/>
        <v>19865.713251557085</v>
      </c>
      <c r="L167" s="294">
        <f t="shared" si="115"/>
        <v>19865.713251557085</v>
      </c>
      <c r="M167" s="294">
        <f t="shared" si="115"/>
        <v>19865.713251557085</v>
      </c>
      <c r="N167" s="294">
        <f t="shared" si="115"/>
        <v>19865.713251557085</v>
      </c>
      <c r="O167" s="294">
        <f t="shared" si="115"/>
        <v>19865.713251557085</v>
      </c>
      <c r="P167" s="294">
        <f t="shared" si="115"/>
        <v>19865.713251557085</v>
      </c>
      <c r="Q167" s="294">
        <f t="shared" si="115"/>
        <v>19865.713251557085</v>
      </c>
      <c r="R167" s="294">
        <f t="shared" si="115"/>
        <v>19865.713251557085</v>
      </c>
      <c r="S167" s="294">
        <f t="shared" si="115"/>
        <v>19865.713251557085</v>
      </c>
      <c r="T167" s="294">
        <f t="shared" si="115"/>
        <v>19865.713251557085</v>
      </c>
      <c r="U167" s="294">
        <f t="shared" si="115"/>
        <v>19865.713251557085</v>
      </c>
      <c r="V167" s="294">
        <f t="shared" si="115"/>
        <v>19865.713251557085</v>
      </c>
      <c r="W167" s="294">
        <f t="shared" si="115"/>
        <v>19865.713251557085</v>
      </c>
      <c r="X167" s="294">
        <f t="shared" si="115"/>
        <v>19865.713251557085</v>
      </c>
      <c r="Y167" s="294">
        <f t="shared" si="115"/>
        <v>19865.713251557085</v>
      </c>
      <c r="Z167" s="294">
        <f t="shared" si="115"/>
        <v>19865.713251557085</v>
      </c>
      <c r="AA167" s="294">
        <f t="shared" si="115"/>
        <v>19865.713251557085</v>
      </c>
      <c r="AB167" s="294">
        <f t="shared" si="115"/>
        <v>19865.713251557085</v>
      </c>
      <c r="AC167" s="294">
        <f t="shared" si="115"/>
        <v>19865.713251557085</v>
      </c>
      <c r="AD167" s="294">
        <f t="shared" si="115"/>
        <v>19865.713251557085</v>
      </c>
      <c r="AE167" s="294">
        <f t="shared" si="115"/>
        <v>19865.713251557085</v>
      </c>
      <c r="AF167" s="294">
        <f t="shared" si="115"/>
        <v>19865.713251557085</v>
      </c>
      <c r="AG167" s="294">
        <f t="shared" si="115"/>
        <v>19865.713251557085</v>
      </c>
      <c r="AH167" s="294">
        <f t="shared" si="115"/>
        <v>19865.713251557085</v>
      </c>
      <c r="AI167" s="294">
        <f t="shared" si="115"/>
        <v>19865.713251557085</v>
      </c>
      <c r="AJ167" s="295">
        <f t="shared" si="109"/>
        <v>576105.68429515546</v>
      </c>
    </row>
    <row r="168" spans="2:37" ht="14.4">
      <c r="B168" s="375"/>
      <c r="C168" s="375"/>
      <c r="D168" s="73" t="s">
        <v>196</v>
      </c>
      <c r="E168" s="296"/>
      <c r="F168" s="293"/>
      <c r="G168" s="76">
        <f t="shared" ref="G168:AI168" si="116">+SUM(G166:G167)</f>
        <v>94972.379609050782</v>
      </c>
      <c r="H168" s="76">
        <f t="shared" si="116"/>
        <v>94972.379609050782</v>
      </c>
      <c r="I168" s="76">
        <f t="shared" si="116"/>
        <v>94972.379609050782</v>
      </c>
      <c r="J168" s="76">
        <f t="shared" si="116"/>
        <v>94972.379609050782</v>
      </c>
      <c r="K168" s="76">
        <f t="shared" si="116"/>
        <v>94972.379609050782</v>
      </c>
      <c r="L168" s="76">
        <f t="shared" si="116"/>
        <v>94972.379609050782</v>
      </c>
      <c r="M168" s="76">
        <f t="shared" si="116"/>
        <v>94972.379609050782</v>
      </c>
      <c r="N168" s="76">
        <f t="shared" si="116"/>
        <v>94972.379609050782</v>
      </c>
      <c r="O168" s="76">
        <f t="shared" si="116"/>
        <v>94972.379609050782</v>
      </c>
      <c r="P168" s="76">
        <f t="shared" si="116"/>
        <v>94972.379609050782</v>
      </c>
      <c r="Q168" s="76">
        <f t="shared" si="116"/>
        <v>94972.379609050782</v>
      </c>
      <c r="R168" s="76">
        <f t="shared" si="116"/>
        <v>94972.379609050782</v>
      </c>
      <c r="S168" s="76">
        <f t="shared" si="116"/>
        <v>94972.379609050782</v>
      </c>
      <c r="T168" s="76">
        <f t="shared" si="116"/>
        <v>94972.379609050782</v>
      </c>
      <c r="U168" s="76">
        <f t="shared" si="116"/>
        <v>94972.379609050782</v>
      </c>
      <c r="V168" s="76">
        <f t="shared" si="116"/>
        <v>94972.379609050782</v>
      </c>
      <c r="W168" s="76">
        <f t="shared" si="116"/>
        <v>94972.379609050782</v>
      </c>
      <c r="X168" s="76">
        <f t="shared" si="116"/>
        <v>94972.379609050782</v>
      </c>
      <c r="Y168" s="76">
        <f t="shared" si="116"/>
        <v>94972.379609050782</v>
      </c>
      <c r="Z168" s="76">
        <f t="shared" si="116"/>
        <v>94972.379609050782</v>
      </c>
      <c r="AA168" s="76">
        <f t="shared" si="116"/>
        <v>94972.379609050782</v>
      </c>
      <c r="AB168" s="76">
        <f t="shared" si="116"/>
        <v>94972.379609050782</v>
      </c>
      <c r="AC168" s="76">
        <f t="shared" si="116"/>
        <v>94972.379609050782</v>
      </c>
      <c r="AD168" s="76">
        <f t="shared" si="116"/>
        <v>94972.379609050782</v>
      </c>
      <c r="AE168" s="76">
        <f t="shared" si="116"/>
        <v>94972.379609050782</v>
      </c>
      <c r="AF168" s="76">
        <f t="shared" si="116"/>
        <v>94972.379609050782</v>
      </c>
      <c r="AG168" s="76">
        <f t="shared" si="116"/>
        <v>94972.379609050782</v>
      </c>
      <c r="AH168" s="76">
        <f t="shared" si="116"/>
        <v>94972.379609050782</v>
      </c>
      <c r="AI168" s="76">
        <f t="shared" si="116"/>
        <v>94972.379609050782</v>
      </c>
      <c r="AJ168" s="228">
        <f t="shared" si="109"/>
        <v>2754199.0086624715</v>
      </c>
      <c r="AK168" s="2"/>
    </row>
    <row r="169" spans="2:37" ht="14.4">
      <c r="B169" s="224" t="s">
        <v>211</v>
      </c>
      <c r="C169" s="225" t="str">
        <f>+C74</f>
        <v>ILUMINAÇÃO</v>
      </c>
      <c r="D169" s="226"/>
      <c r="E169" s="226"/>
      <c r="F169" s="208">
        <f t="shared" ref="F169:AI169" si="117">+F177</f>
        <v>0</v>
      </c>
      <c r="G169" s="208">
        <f t="shared" si="117"/>
        <v>144658.12990217085</v>
      </c>
      <c r="H169" s="208">
        <f t="shared" si="117"/>
        <v>144658.12990217085</v>
      </c>
      <c r="I169" s="208">
        <f t="shared" si="117"/>
        <v>144658.12990217085</v>
      </c>
      <c r="J169" s="208">
        <f t="shared" si="117"/>
        <v>144658.12990217085</v>
      </c>
      <c r="K169" s="208">
        <f t="shared" si="117"/>
        <v>144658.12990217085</v>
      </c>
      <c r="L169" s="208">
        <f t="shared" si="117"/>
        <v>144658.12990217085</v>
      </c>
      <c r="M169" s="208">
        <f t="shared" si="117"/>
        <v>144658.12990217085</v>
      </c>
      <c r="N169" s="208">
        <f t="shared" si="117"/>
        <v>144658.12990217085</v>
      </c>
      <c r="O169" s="208">
        <f t="shared" si="117"/>
        <v>144658.12990217085</v>
      </c>
      <c r="P169" s="208">
        <f t="shared" si="117"/>
        <v>144658.12990217085</v>
      </c>
      <c r="Q169" s="208">
        <f t="shared" si="117"/>
        <v>144658.12990217085</v>
      </c>
      <c r="R169" s="208">
        <f t="shared" si="117"/>
        <v>144658.12990217085</v>
      </c>
      <c r="S169" s="208">
        <f t="shared" si="117"/>
        <v>144658.12990217085</v>
      </c>
      <c r="T169" s="208">
        <f t="shared" si="117"/>
        <v>144658.12990217085</v>
      </c>
      <c r="U169" s="208">
        <f t="shared" si="117"/>
        <v>144658.12990217085</v>
      </c>
      <c r="V169" s="208">
        <f t="shared" si="117"/>
        <v>144658.12990217085</v>
      </c>
      <c r="W169" s="208">
        <f t="shared" si="117"/>
        <v>144658.12990217085</v>
      </c>
      <c r="X169" s="208">
        <f t="shared" si="117"/>
        <v>144658.12990217085</v>
      </c>
      <c r="Y169" s="208">
        <f t="shared" si="117"/>
        <v>144658.12990217085</v>
      </c>
      <c r="Z169" s="208">
        <f t="shared" si="117"/>
        <v>144658.12990217085</v>
      </c>
      <c r="AA169" s="208">
        <f t="shared" si="117"/>
        <v>144658.12990217085</v>
      </c>
      <c r="AB169" s="208">
        <f t="shared" si="117"/>
        <v>144658.12990217085</v>
      </c>
      <c r="AC169" s="208">
        <f t="shared" si="117"/>
        <v>144658.12990217085</v>
      </c>
      <c r="AD169" s="208">
        <f t="shared" si="117"/>
        <v>144658.12990217085</v>
      </c>
      <c r="AE169" s="208">
        <f t="shared" si="117"/>
        <v>144658.12990217085</v>
      </c>
      <c r="AF169" s="208">
        <f t="shared" si="117"/>
        <v>144658.12990217085</v>
      </c>
      <c r="AG169" s="208">
        <f t="shared" si="117"/>
        <v>144658.12990217085</v>
      </c>
      <c r="AH169" s="208">
        <f t="shared" si="117"/>
        <v>144658.12990217085</v>
      </c>
      <c r="AI169" s="208">
        <f t="shared" si="117"/>
        <v>144658.12990217085</v>
      </c>
      <c r="AJ169" s="208">
        <f>+AJ177</f>
        <v>4195085.7671629572</v>
      </c>
    </row>
    <row r="170" spans="2:37" ht="14.4">
      <c r="B170" s="374" t="s">
        <v>212</v>
      </c>
      <c r="C170" s="374" t="str">
        <f>+C75</f>
        <v>Iluminação e Instalações Elétricas</v>
      </c>
      <c r="D170" s="72" t="s">
        <v>189</v>
      </c>
      <c r="E170" s="288"/>
      <c r="F170" s="289"/>
      <c r="G170" s="290">
        <f t="shared" ref="G170:AI170" si="118">+G74</f>
        <v>103876.75480698903</v>
      </c>
      <c r="H170" s="290">
        <f t="shared" si="118"/>
        <v>103876.75480698903</v>
      </c>
      <c r="I170" s="290">
        <f t="shared" si="118"/>
        <v>103876.75480698903</v>
      </c>
      <c r="J170" s="290">
        <f t="shared" si="118"/>
        <v>103876.75480698903</v>
      </c>
      <c r="K170" s="290">
        <f t="shared" si="118"/>
        <v>103876.75480698903</v>
      </c>
      <c r="L170" s="290">
        <f t="shared" si="118"/>
        <v>103876.75480698903</v>
      </c>
      <c r="M170" s="290">
        <f t="shared" si="118"/>
        <v>103876.75480698903</v>
      </c>
      <c r="N170" s="290">
        <f t="shared" si="118"/>
        <v>103876.75480698903</v>
      </c>
      <c r="O170" s="290">
        <f t="shared" si="118"/>
        <v>103876.75480698903</v>
      </c>
      <c r="P170" s="290">
        <f t="shared" si="118"/>
        <v>103876.75480698903</v>
      </c>
      <c r="Q170" s="290">
        <f t="shared" si="118"/>
        <v>103876.75480698903</v>
      </c>
      <c r="R170" s="290">
        <f t="shared" si="118"/>
        <v>103876.75480698903</v>
      </c>
      <c r="S170" s="290">
        <f t="shared" si="118"/>
        <v>103876.75480698903</v>
      </c>
      <c r="T170" s="290">
        <f t="shared" si="118"/>
        <v>103876.75480698903</v>
      </c>
      <c r="U170" s="290">
        <f t="shared" si="118"/>
        <v>103876.75480698903</v>
      </c>
      <c r="V170" s="290">
        <f t="shared" si="118"/>
        <v>103876.75480698903</v>
      </c>
      <c r="W170" s="290">
        <f t="shared" si="118"/>
        <v>103876.75480698903</v>
      </c>
      <c r="X170" s="290">
        <f t="shared" si="118"/>
        <v>103876.75480698903</v>
      </c>
      <c r="Y170" s="290">
        <f t="shared" si="118"/>
        <v>103876.75480698903</v>
      </c>
      <c r="Z170" s="290">
        <f t="shared" si="118"/>
        <v>103876.75480698903</v>
      </c>
      <c r="AA170" s="290">
        <f t="shared" si="118"/>
        <v>103876.75480698903</v>
      </c>
      <c r="AB170" s="290">
        <f t="shared" si="118"/>
        <v>103876.75480698903</v>
      </c>
      <c r="AC170" s="290">
        <f t="shared" si="118"/>
        <v>103876.75480698903</v>
      </c>
      <c r="AD170" s="290">
        <f t="shared" si="118"/>
        <v>103876.75480698903</v>
      </c>
      <c r="AE170" s="290">
        <f t="shared" si="118"/>
        <v>103876.75480698903</v>
      </c>
      <c r="AF170" s="290">
        <f t="shared" si="118"/>
        <v>103876.75480698903</v>
      </c>
      <c r="AG170" s="290">
        <f t="shared" si="118"/>
        <v>103876.75480698903</v>
      </c>
      <c r="AH170" s="290">
        <f t="shared" si="118"/>
        <v>103876.75480698903</v>
      </c>
      <c r="AI170" s="290">
        <f t="shared" si="118"/>
        <v>103876.75480698903</v>
      </c>
      <c r="AJ170" s="291">
        <f t="shared" ref="AJ170:AJ177" si="119">+SUM(F170:AI170)</f>
        <v>3012425.889402681</v>
      </c>
    </row>
    <row r="171" spans="2:37" ht="14.4">
      <c r="B171" s="375"/>
      <c r="C171" s="375"/>
      <c r="D171" s="73" t="s">
        <v>190</v>
      </c>
      <c r="E171" s="292">
        <v>6.3299999999999995E-2</v>
      </c>
      <c r="F171" s="293"/>
      <c r="G171" s="294">
        <f t="shared" ref="G171:AI171" si="120">+G170*$E171</f>
        <v>6575.3985792824051</v>
      </c>
      <c r="H171" s="294">
        <f t="shared" si="120"/>
        <v>6575.3985792824051</v>
      </c>
      <c r="I171" s="294">
        <f t="shared" si="120"/>
        <v>6575.3985792824051</v>
      </c>
      <c r="J171" s="294">
        <f t="shared" si="120"/>
        <v>6575.3985792824051</v>
      </c>
      <c r="K171" s="294">
        <f t="shared" si="120"/>
        <v>6575.3985792824051</v>
      </c>
      <c r="L171" s="294">
        <f t="shared" si="120"/>
        <v>6575.3985792824051</v>
      </c>
      <c r="M171" s="294">
        <f t="shared" si="120"/>
        <v>6575.3985792824051</v>
      </c>
      <c r="N171" s="294">
        <f t="shared" si="120"/>
        <v>6575.3985792824051</v>
      </c>
      <c r="O171" s="294">
        <f t="shared" si="120"/>
        <v>6575.3985792824051</v>
      </c>
      <c r="P171" s="294">
        <f t="shared" si="120"/>
        <v>6575.3985792824051</v>
      </c>
      <c r="Q171" s="294">
        <f t="shared" si="120"/>
        <v>6575.3985792824051</v>
      </c>
      <c r="R171" s="294">
        <f t="shared" si="120"/>
        <v>6575.3985792824051</v>
      </c>
      <c r="S171" s="294">
        <f t="shared" si="120"/>
        <v>6575.3985792824051</v>
      </c>
      <c r="T171" s="294">
        <f t="shared" si="120"/>
        <v>6575.3985792824051</v>
      </c>
      <c r="U171" s="294">
        <f t="shared" si="120"/>
        <v>6575.3985792824051</v>
      </c>
      <c r="V171" s="294">
        <f t="shared" si="120"/>
        <v>6575.3985792824051</v>
      </c>
      <c r="W171" s="294">
        <f t="shared" si="120"/>
        <v>6575.3985792824051</v>
      </c>
      <c r="X171" s="294">
        <f t="shared" si="120"/>
        <v>6575.3985792824051</v>
      </c>
      <c r="Y171" s="294">
        <f t="shared" si="120"/>
        <v>6575.3985792824051</v>
      </c>
      <c r="Z171" s="294">
        <f t="shared" si="120"/>
        <v>6575.3985792824051</v>
      </c>
      <c r="AA171" s="294">
        <f t="shared" si="120"/>
        <v>6575.3985792824051</v>
      </c>
      <c r="AB171" s="294">
        <f t="shared" si="120"/>
        <v>6575.3985792824051</v>
      </c>
      <c r="AC171" s="294">
        <f t="shared" si="120"/>
        <v>6575.3985792824051</v>
      </c>
      <c r="AD171" s="294">
        <f t="shared" si="120"/>
        <v>6575.3985792824051</v>
      </c>
      <c r="AE171" s="294">
        <f t="shared" si="120"/>
        <v>6575.3985792824051</v>
      </c>
      <c r="AF171" s="294">
        <f t="shared" si="120"/>
        <v>6575.3985792824051</v>
      </c>
      <c r="AG171" s="294">
        <f t="shared" si="120"/>
        <v>6575.3985792824051</v>
      </c>
      <c r="AH171" s="294">
        <f t="shared" si="120"/>
        <v>6575.3985792824051</v>
      </c>
      <c r="AI171" s="294">
        <f t="shared" si="120"/>
        <v>6575.3985792824051</v>
      </c>
      <c r="AJ171" s="295">
        <f t="shared" si="119"/>
        <v>190686.55879918969</v>
      </c>
    </row>
    <row r="172" spans="2:37" ht="14.4">
      <c r="B172" s="375"/>
      <c r="C172" s="375"/>
      <c r="D172" s="73" t="s">
        <v>191</v>
      </c>
      <c r="E172" s="292">
        <v>5.0000000000000001E-3</v>
      </c>
      <c r="F172" s="293"/>
      <c r="G172" s="294">
        <f>+G170*$E172</f>
        <v>519.38377403494519</v>
      </c>
      <c r="H172" s="294">
        <f t="shared" ref="H172:AI172" si="121">+H170*$E172</f>
        <v>519.38377403494519</v>
      </c>
      <c r="I172" s="294">
        <f t="shared" si="121"/>
        <v>519.38377403494519</v>
      </c>
      <c r="J172" s="294">
        <f t="shared" si="121"/>
        <v>519.38377403494519</v>
      </c>
      <c r="K172" s="294">
        <f t="shared" si="121"/>
        <v>519.38377403494519</v>
      </c>
      <c r="L172" s="294">
        <f t="shared" si="121"/>
        <v>519.38377403494519</v>
      </c>
      <c r="M172" s="294">
        <f t="shared" si="121"/>
        <v>519.38377403494519</v>
      </c>
      <c r="N172" s="294">
        <f t="shared" si="121"/>
        <v>519.38377403494519</v>
      </c>
      <c r="O172" s="294">
        <f t="shared" si="121"/>
        <v>519.38377403494519</v>
      </c>
      <c r="P172" s="294">
        <f t="shared" si="121"/>
        <v>519.38377403494519</v>
      </c>
      <c r="Q172" s="294">
        <f t="shared" si="121"/>
        <v>519.38377403494519</v>
      </c>
      <c r="R172" s="294">
        <f t="shared" si="121"/>
        <v>519.38377403494519</v>
      </c>
      <c r="S172" s="294">
        <f t="shared" si="121"/>
        <v>519.38377403494519</v>
      </c>
      <c r="T172" s="294">
        <f t="shared" si="121"/>
        <v>519.38377403494519</v>
      </c>
      <c r="U172" s="294">
        <f t="shared" si="121"/>
        <v>519.38377403494519</v>
      </c>
      <c r="V172" s="294">
        <f t="shared" si="121"/>
        <v>519.38377403494519</v>
      </c>
      <c r="W172" s="294">
        <f t="shared" si="121"/>
        <v>519.38377403494519</v>
      </c>
      <c r="X172" s="294">
        <f t="shared" si="121"/>
        <v>519.38377403494519</v>
      </c>
      <c r="Y172" s="294">
        <f t="shared" si="121"/>
        <v>519.38377403494519</v>
      </c>
      <c r="Z172" s="294">
        <f t="shared" si="121"/>
        <v>519.38377403494519</v>
      </c>
      <c r="AA172" s="294">
        <f t="shared" si="121"/>
        <v>519.38377403494519</v>
      </c>
      <c r="AB172" s="294">
        <f t="shared" si="121"/>
        <v>519.38377403494519</v>
      </c>
      <c r="AC172" s="294">
        <f t="shared" si="121"/>
        <v>519.38377403494519</v>
      </c>
      <c r="AD172" s="294">
        <f t="shared" si="121"/>
        <v>519.38377403494519</v>
      </c>
      <c r="AE172" s="294">
        <f t="shared" si="121"/>
        <v>519.38377403494519</v>
      </c>
      <c r="AF172" s="294">
        <f t="shared" si="121"/>
        <v>519.38377403494519</v>
      </c>
      <c r="AG172" s="294">
        <f t="shared" si="121"/>
        <v>519.38377403494519</v>
      </c>
      <c r="AH172" s="294">
        <f t="shared" si="121"/>
        <v>519.38377403494519</v>
      </c>
      <c r="AI172" s="294">
        <f t="shared" si="121"/>
        <v>519.38377403494519</v>
      </c>
      <c r="AJ172" s="295">
        <f t="shared" si="119"/>
        <v>15062.129447013403</v>
      </c>
    </row>
    <row r="173" spans="2:37" ht="14.4">
      <c r="B173" s="375"/>
      <c r="C173" s="375"/>
      <c r="D173" s="73" t="s">
        <v>192</v>
      </c>
      <c r="E173" s="292">
        <v>2.8000000000000001E-2</v>
      </c>
      <c r="F173" s="293"/>
      <c r="G173" s="294">
        <f>+G170*$E173</f>
        <v>2908.549134595693</v>
      </c>
      <c r="H173" s="294">
        <f t="shared" ref="H173:AI173" si="122">+H170*$E173</f>
        <v>2908.549134595693</v>
      </c>
      <c r="I173" s="294">
        <f t="shared" si="122"/>
        <v>2908.549134595693</v>
      </c>
      <c r="J173" s="294">
        <f t="shared" si="122"/>
        <v>2908.549134595693</v>
      </c>
      <c r="K173" s="294">
        <f t="shared" si="122"/>
        <v>2908.549134595693</v>
      </c>
      <c r="L173" s="294">
        <f t="shared" si="122"/>
        <v>2908.549134595693</v>
      </c>
      <c r="M173" s="294">
        <f t="shared" si="122"/>
        <v>2908.549134595693</v>
      </c>
      <c r="N173" s="294">
        <f t="shared" si="122"/>
        <v>2908.549134595693</v>
      </c>
      <c r="O173" s="294">
        <f t="shared" si="122"/>
        <v>2908.549134595693</v>
      </c>
      <c r="P173" s="294">
        <f t="shared" si="122"/>
        <v>2908.549134595693</v>
      </c>
      <c r="Q173" s="294">
        <f t="shared" si="122"/>
        <v>2908.549134595693</v>
      </c>
      <c r="R173" s="294">
        <f t="shared" si="122"/>
        <v>2908.549134595693</v>
      </c>
      <c r="S173" s="294">
        <f t="shared" si="122"/>
        <v>2908.549134595693</v>
      </c>
      <c r="T173" s="294">
        <f t="shared" si="122"/>
        <v>2908.549134595693</v>
      </c>
      <c r="U173" s="294">
        <f t="shared" si="122"/>
        <v>2908.549134595693</v>
      </c>
      <c r="V173" s="294">
        <f t="shared" si="122"/>
        <v>2908.549134595693</v>
      </c>
      <c r="W173" s="294">
        <f t="shared" si="122"/>
        <v>2908.549134595693</v>
      </c>
      <c r="X173" s="294">
        <f t="shared" si="122"/>
        <v>2908.549134595693</v>
      </c>
      <c r="Y173" s="294">
        <f t="shared" si="122"/>
        <v>2908.549134595693</v>
      </c>
      <c r="Z173" s="294">
        <f t="shared" si="122"/>
        <v>2908.549134595693</v>
      </c>
      <c r="AA173" s="294">
        <f t="shared" si="122"/>
        <v>2908.549134595693</v>
      </c>
      <c r="AB173" s="294">
        <f t="shared" si="122"/>
        <v>2908.549134595693</v>
      </c>
      <c r="AC173" s="294">
        <f t="shared" si="122"/>
        <v>2908.549134595693</v>
      </c>
      <c r="AD173" s="294">
        <f t="shared" si="122"/>
        <v>2908.549134595693</v>
      </c>
      <c r="AE173" s="294">
        <f t="shared" si="122"/>
        <v>2908.549134595693</v>
      </c>
      <c r="AF173" s="294">
        <f t="shared" si="122"/>
        <v>2908.549134595693</v>
      </c>
      <c r="AG173" s="294">
        <f t="shared" si="122"/>
        <v>2908.549134595693</v>
      </c>
      <c r="AH173" s="294">
        <f t="shared" si="122"/>
        <v>2908.549134595693</v>
      </c>
      <c r="AI173" s="294">
        <f t="shared" si="122"/>
        <v>2908.549134595693</v>
      </c>
      <c r="AJ173" s="295">
        <f t="shared" si="119"/>
        <v>84347.92490327511</v>
      </c>
    </row>
    <row r="174" spans="2:37" ht="14.4">
      <c r="B174" s="375"/>
      <c r="C174" s="375"/>
      <c r="D174" s="73" t="s">
        <v>193</v>
      </c>
      <c r="E174" s="292">
        <v>5.0000000000000001E-3</v>
      </c>
      <c r="F174" s="293"/>
      <c r="G174" s="294">
        <f>+G170*$E174</f>
        <v>519.38377403494519</v>
      </c>
      <c r="H174" s="294">
        <f t="shared" ref="H174:AI174" si="123">+H170*$E174</f>
        <v>519.38377403494519</v>
      </c>
      <c r="I174" s="294">
        <f t="shared" si="123"/>
        <v>519.38377403494519</v>
      </c>
      <c r="J174" s="294">
        <f t="shared" si="123"/>
        <v>519.38377403494519</v>
      </c>
      <c r="K174" s="294">
        <f t="shared" si="123"/>
        <v>519.38377403494519</v>
      </c>
      <c r="L174" s="294">
        <f t="shared" si="123"/>
        <v>519.38377403494519</v>
      </c>
      <c r="M174" s="294">
        <f t="shared" si="123"/>
        <v>519.38377403494519</v>
      </c>
      <c r="N174" s="294">
        <f t="shared" si="123"/>
        <v>519.38377403494519</v>
      </c>
      <c r="O174" s="294">
        <f t="shared" si="123"/>
        <v>519.38377403494519</v>
      </c>
      <c r="P174" s="294">
        <f t="shared" si="123"/>
        <v>519.38377403494519</v>
      </c>
      <c r="Q174" s="294">
        <f t="shared" si="123"/>
        <v>519.38377403494519</v>
      </c>
      <c r="R174" s="294">
        <f t="shared" si="123"/>
        <v>519.38377403494519</v>
      </c>
      <c r="S174" s="294">
        <f t="shared" si="123"/>
        <v>519.38377403494519</v>
      </c>
      <c r="T174" s="294">
        <f t="shared" si="123"/>
        <v>519.38377403494519</v>
      </c>
      <c r="U174" s="294">
        <f t="shared" si="123"/>
        <v>519.38377403494519</v>
      </c>
      <c r="V174" s="294">
        <f t="shared" si="123"/>
        <v>519.38377403494519</v>
      </c>
      <c r="W174" s="294">
        <f t="shared" si="123"/>
        <v>519.38377403494519</v>
      </c>
      <c r="X174" s="294">
        <f t="shared" si="123"/>
        <v>519.38377403494519</v>
      </c>
      <c r="Y174" s="294">
        <f t="shared" si="123"/>
        <v>519.38377403494519</v>
      </c>
      <c r="Z174" s="294">
        <f t="shared" si="123"/>
        <v>519.38377403494519</v>
      </c>
      <c r="AA174" s="294">
        <f t="shared" si="123"/>
        <v>519.38377403494519</v>
      </c>
      <c r="AB174" s="294">
        <f t="shared" si="123"/>
        <v>519.38377403494519</v>
      </c>
      <c r="AC174" s="294">
        <f t="shared" si="123"/>
        <v>519.38377403494519</v>
      </c>
      <c r="AD174" s="294">
        <f t="shared" si="123"/>
        <v>519.38377403494519</v>
      </c>
      <c r="AE174" s="294">
        <f t="shared" si="123"/>
        <v>519.38377403494519</v>
      </c>
      <c r="AF174" s="294">
        <f t="shared" si="123"/>
        <v>519.38377403494519</v>
      </c>
      <c r="AG174" s="294">
        <f t="shared" si="123"/>
        <v>519.38377403494519</v>
      </c>
      <c r="AH174" s="294">
        <f t="shared" si="123"/>
        <v>519.38377403494519</v>
      </c>
      <c r="AI174" s="294">
        <f t="shared" si="123"/>
        <v>519.38377403494519</v>
      </c>
      <c r="AJ174" s="295">
        <f t="shared" si="119"/>
        <v>15062.129447013403</v>
      </c>
    </row>
    <row r="175" spans="2:37" ht="14.4">
      <c r="B175" s="375"/>
      <c r="C175" s="375"/>
      <c r="D175" s="73" t="s">
        <v>194</v>
      </c>
      <c r="E175" s="296"/>
      <c r="F175" s="293"/>
      <c r="G175" s="294">
        <f t="shared" ref="G175:AI175" si="124">+SUBTOTAL(9,G170:G174)</f>
        <v>114399.47006893702</v>
      </c>
      <c r="H175" s="294">
        <f t="shared" si="124"/>
        <v>114399.47006893702</v>
      </c>
      <c r="I175" s="294">
        <f t="shared" si="124"/>
        <v>114399.47006893702</v>
      </c>
      <c r="J175" s="294">
        <f t="shared" si="124"/>
        <v>114399.47006893702</v>
      </c>
      <c r="K175" s="294">
        <f t="shared" si="124"/>
        <v>114399.47006893702</v>
      </c>
      <c r="L175" s="294">
        <f t="shared" si="124"/>
        <v>114399.47006893702</v>
      </c>
      <c r="M175" s="294">
        <f t="shared" si="124"/>
        <v>114399.47006893702</v>
      </c>
      <c r="N175" s="294">
        <f t="shared" si="124"/>
        <v>114399.47006893702</v>
      </c>
      <c r="O175" s="294">
        <f t="shared" si="124"/>
        <v>114399.47006893702</v>
      </c>
      <c r="P175" s="294">
        <f t="shared" si="124"/>
        <v>114399.47006893702</v>
      </c>
      <c r="Q175" s="294">
        <f t="shared" si="124"/>
        <v>114399.47006893702</v>
      </c>
      <c r="R175" s="294">
        <f t="shared" si="124"/>
        <v>114399.47006893702</v>
      </c>
      <c r="S175" s="294">
        <f t="shared" si="124"/>
        <v>114399.47006893702</v>
      </c>
      <c r="T175" s="294">
        <f t="shared" si="124"/>
        <v>114399.47006893702</v>
      </c>
      <c r="U175" s="294">
        <f t="shared" si="124"/>
        <v>114399.47006893702</v>
      </c>
      <c r="V175" s="294">
        <f t="shared" si="124"/>
        <v>114399.47006893702</v>
      </c>
      <c r="W175" s="294">
        <f t="shared" si="124"/>
        <v>114399.47006893702</v>
      </c>
      <c r="X175" s="294">
        <f t="shared" si="124"/>
        <v>114399.47006893702</v>
      </c>
      <c r="Y175" s="294">
        <f t="shared" si="124"/>
        <v>114399.47006893702</v>
      </c>
      <c r="Z175" s="294">
        <f t="shared" si="124"/>
        <v>114399.47006893702</v>
      </c>
      <c r="AA175" s="294">
        <f t="shared" si="124"/>
        <v>114399.47006893702</v>
      </c>
      <c r="AB175" s="294">
        <f t="shared" si="124"/>
        <v>114399.47006893702</v>
      </c>
      <c r="AC175" s="294">
        <f t="shared" si="124"/>
        <v>114399.47006893702</v>
      </c>
      <c r="AD175" s="294">
        <f t="shared" si="124"/>
        <v>114399.47006893702</v>
      </c>
      <c r="AE175" s="294">
        <f t="shared" si="124"/>
        <v>114399.47006893702</v>
      </c>
      <c r="AF175" s="294">
        <f t="shared" si="124"/>
        <v>114399.47006893702</v>
      </c>
      <c r="AG175" s="294">
        <f t="shared" si="124"/>
        <v>114399.47006893702</v>
      </c>
      <c r="AH175" s="294">
        <f t="shared" si="124"/>
        <v>114399.47006893702</v>
      </c>
      <c r="AI175" s="294">
        <f t="shared" si="124"/>
        <v>114399.47006893702</v>
      </c>
      <c r="AJ175" s="295">
        <f t="shared" si="119"/>
        <v>3317584.6319991746</v>
      </c>
    </row>
    <row r="176" spans="2:37" ht="14.4">
      <c r="B176" s="375"/>
      <c r="C176" s="375"/>
      <c r="D176" s="73" t="s">
        <v>195</v>
      </c>
      <c r="E176" s="297">
        <f>BDI!$F$33</f>
        <v>0.26450000000000001</v>
      </c>
      <c r="F176" s="293"/>
      <c r="G176" s="294">
        <f t="shared" ref="G176:AI176" si="125">+G175*$E176</f>
        <v>30258.659833233844</v>
      </c>
      <c r="H176" s="294">
        <f t="shared" si="125"/>
        <v>30258.659833233844</v>
      </c>
      <c r="I176" s="294">
        <f t="shared" si="125"/>
        <v>30258.659833233844</v>
      </c>
      <c r="J176" s="294">
        <f t="shared" si="125"/>
        <v>30258.659833233844</v>
      </c>
      <c r="K176" s="294">
        <f t="shared" si="125"/>
        <v>30258.659833233844</v>
      </c>
      <c r="L176" s="294">
        <f t="shared" si="125"/>
        <v>30258.659833233844</v>
      </c>
      <c r="M176" s="294">
        <f t="shared" si="125"/>
        <v>30258.659833233844</v>
      </c>
      <c r="N176" s="294">
        <f t="shared" si="125"/>
        <v>30258.659833233844</v>
      </c>
      <c r="O176" s="294">
        <f t="shared" si="125"/>
        <v>30258.659833233844</v>
      </c>
      <c r="P176" s="294">
        <f t="shared" si="125"/>
        <v>30258.659833233844</v>
      </c>
      <c r="Q176" s="294">
        <f t="shared" si="125"/>
        <v>30258.659833233844</v>
      </c>
      <c r="R176" s="294">
        <f t="shared" si="125"/>
        <v>30258.659833233844</v>
      </c>
      <c r="S176" s="294">
        <f t="shared" si="125"/>
        <v>30258.659833233844</v>
      </c>
      <c r="T176" s="294">
        <f t="shared" si="125"/>
        <v>30258.659833233844</v>
      </c>
      <c r="U176" s="294">
        <f t="shared" si="125"/>
        <v>30258.659833233844</v>
      </c>
      <c r="V176" s="294">
        <f t="shared" si="125"/>
        <v>30258.659833233844</v>
      </c>
      <c r="W176" s="294">
        <f t="shared" si="125"/>
        <v>30258.659833233844</v>
      </c>
      <c r="X176" s="294">
        <f t="shared" si="125"/>
        <v>30258.659833233844</v>
      </c>
      <c r="Y176" s="294">
        <f t="shared" si="125"/>
        <v>30258.659833233844</v>
      </c>
      <c r="Z176" s="294">
        <f t="shared" si="125"/>
        <v>30258.659833233844</v>
      </c>
      <c r="AA176" s="294">
        <f t="shared" si="125"/>
        <v>30258.659833233844</v>
      </c>
      <c r="AB176" s="294">
        <f t="shared" si="125"/>
        <v>30258.659833233844</v>
      </c>
      <c r="AC176" s="294">
        <f t="shared" si="125"/>
        <v>30258.659833233844</v>
      </c>
      <c r="AD176" s="294">
        <f t="shared" si="125"/>
        <v>30258.659833233844</v>
      </c>
      <c r="AE176" s="294">
        <f t="shared" si="125"/>
        <v>30258.659833233844</v>
      </c>
      <c r="AF176" s="294">
        <f t="shared" si="125"/>
        <v>30258.659833233844</v>
      </c>
      <c r="AG176" s="294">
        <f t="shared" si="125"/>
        <v>30258.659833233844</v>
      </c>
      <c r="AH176" s="294">
        <f t="shared" si="125"/>
        <v>30258.659833233844</v>
      </c>
      <c r="AI176" s="294">
        <f t="shared" si="125"/>
        <v>30258.659833233844</v>
      </c>
      <c r="AJ176" s="295">
        <f t="shared" si="119"/>
        <v>877501.13516378112</v>
      </c>
    </row>
    <row r="177" spans="2:37" ht="14.4">
      <c r="B177" s="376"/>
      <c r="C177" s="376"/>
      <c r="D177" s="74" t="s">
        <v>196</v>
      </c>
      <c r="E177" s="298"/>
      <c r="F177" s="299"/>
      <c r="G177" s="75">
        <f t="shared" ref="G177:AI177" si="126">+SUM(G175:G176)</f>
        <v>144658.12990217085</v>
      </c>
      <c r="H177" s="75">
        <f t="shared" si="126"/>
        <v>144658.12990217085</v>
      </c>
      <c r="I177" s="75">
        <f t="shared" si="126"/>
        <v>144658.12990217085</v>
      </c>
      <c r="J177" s="75">
        <f t="shared" si="126"/>
        <v>144658.12990217085</v>
      </c>
      <c r="K177" s="75">
        <f t="shared" si="126"/>
        <v>144658.12990217085</v>
      </c>
      <c r="L177" s="75">
        <f t="shared" si="126"/>
        <v>144658.12990217085</v>
      </c>
      <c r="M177" s="75">
        <f t="shared" si="126"/>
        <v>144658.12990217085</v>
      </c>
      <c r="N177" s="75">
        <f t="shared" si="126"/>
        <v>144658.12990217085</v>
      </c>
      <c r="O177" s="75">
        <f t="shared" si="126"/>
        <v>144658.12990217085</v>
      </c>
      <c r="P177" s="75">
        <f t="shared" si="126"/>
        <v>144658.12990217085</v>
      </c>
      <c r="Q177" s="75">
        <f t="shared" si="126"/>
        <v>144658.12990217085</v>
      </c>
      <c r="R177" s="75">
        <f t="shared" si="126"/>
        <v>144658.12990217085</v>
      </c>
      <c r="S177" s="75">
        <f t="shared" si="126"/>
        <v>144658.12990217085</v>
      </c>
      <c r="T177" s="75">
        <f t="shared" si="126"/>
        <v>144658.12990217085</v>
      </c>
      <c r="U177" s="75">
        <f t="shared" si="126"/>
        <v>144658.12990217085</v>
      </c>
      <c r="V177" s="75">
        <f t="shared" si="126"/>
        <v>144658.12990217085</v>
      </c>
      <c r="W177" s="75">
        <f t="shared" si="126"/>
        <v>144658.12990217085</v>
      </c>
      <c r="X177" s="75">
        <f t="shared" si="126"/>
        <v>144658.12990217085</v>
      </c>
      <c r="Y177" s="75">
        <f t="shared" si="126"/>
        <v>144658.12990217085</v>
      </c>
      <c r="Z177" s="75">
        <f t="shared" si="126"/>
        <v>144658.12990217085</v>
      </c>
      <c r="AA177" s="75">
        <f t="shared" si="126"/>
        <v>144658.12990217085</v>
      </c>
      <c r="AB177" s="75">
        <f t="shared" si="126"/>
        <v>144658.12990217085</v>
      </c>
      <c r="AC177" s="75">
        <f t="shared" si="126"/>
        <v>144658.12990217085</v>
      </c>
      <c r="AD177" s="75">
        <f t="shared" si="126"/>
        <v>144658.12990217085</v>
      </c>
      <c r="AE177" s="75">
        <f t="shared" si="126"/>
        <v>144658.12990217085</v>
      </c>
      <c r="AF177" s="75">
        <f t="shared" si="126"/>
        <v>144658.12990217085</v>
      </c>
      <c r="AG177" s="75">
        <f t="shared" si="126"/>
        <v>144658.12990217085</v>
      </c>
      <c r="AH177" s="75">
        <f t="shared" si="126"/>
        <v>144658.12990217085</v>
      </c>
      <c r="AI177" s="75">
        <f t="shared" si="126"/>
        <v>144658.12990217085</v>
      </c>
      <c r="AJ177" s="227">
        <f t="shared" si="119"/>
        <v>4195085.7671629572</v>
      </c>
      <c r="AK177" s="2"/>
    </row>
    <row r="178" spans="2:37" ht="14.4">
      <c r="B178" s="229"/>
      <c r="C178" s="229"/>
      <c r="D178" s="230"/>
      <c r="E178" s="230"/>
      <c r="F178" s="230"/>
      <c r="G178" s="231"/>
      <c r="H178" s="231"/>
      <c r="I178" s="231"/>
      <c r="J178" s="231"/>
      <c r="K178" s="231"/>
      <c r="L178" s="231"/>
      <c r="M178" s="231"/>
      <c r="N178" s="231"/>
      <c r="O178" s="231"/>
      <c r="P178" s="231"/>
      <c r="Q178" s="231"/>
      <c r="R178" s="231"/>
      <c r="S178" s="231"/>
      <c r="T178" s="231"/>
      <c r="U178" s="231"/>
      <c r="V178" s="231"/>
      <c r="W178" s="231"/>
      <c r="X178" s="231"/>
      <c r="Y178" s="231"/>
      <c r="Z178" s="231"/>
      <c r="AA178" s="231"/>
      <c r="AB178" s="231"/>
      <c r="AC178" s="231"/>
      <c r="AD178" s="231"/>
      <c r="AE178" s="231"/>
      <c r="AF178" s="231"/>
      <c r="AG178" s="231"/>
      <c r="AH178" s="231"/>
      <c r="AI178" s="231"/>
      <c r="AJ178" s="232"/>
      <c r="AK178" s="2"/>
    </row>
    <row r="179" spans="2:37" ht="14.4">
      <c r="D179" s="77" t="s">
        <v>213</v>
      </c>
    </row>
    <row r="180" spans="2:37" ht="14.4">
      <c r="D180" s="233" t="s">
        <v>189</v>
      </c>
      <c r="E180" s="300"/>
      <c r="F180" s="301">
        <f t="shared" ref="F180:U188" si="127">+SUMIF($D$83:$D$177,$D180,F$83:F$177)</f>
        <v>0</v>
      </c>
      <c r="G180" s="301">
        <f t="shared" si="127"/>
        <v>4786461.924985894</v>
      </c>
      <c r="H180" s="301">
        <f t="shared" si="127"/>
        <v>4914326.4933392545</v>
      </c>
      <c r="I180" s="301">
        <f t="shared" si="127"/>
        <v>5042191.0616926141</v>
      </c>
      <c r="J180" s="301">
        <f t="shared" si="127"/>
        <v>5170055.6300459746</v>
      </c>
      <c r="K180" s="301">
        <f t="shared" si="127"/>
        <v>5357120.2672757376</v>
      </c>
      <c r="L180" s="302">
        <f t="shared" si="127"/>
        <v>5431885.7064480353</v>
      </c>
      <c r="M180" s="303">
        <f t="shared" si="127"/>
        <v>5562189.3860588102</v>
      </c>
      <c r="N180" s="301">
        <f t="shared" si="127"/>
        <v>5612346.6815328337</v>
      </c>
      <c r="O180" s="301">
        <f t="shared" si="127"/>
        <v>5617228.0107408231</v>
      </c>
      <c r="P180" s="301">
        <f t="shared" si="127"/>
        <v>5619665.5686516576</v>
      </c>
      <c r="Q180" s="301">
        <f t="shared" si="127"/>
        <v>5650990.1900177561</v>
      </c>
      <c r="R180" s="301">
        <f t="shared" si="127"/>
        <v>5655869.9658791656</v>
      </c>
      <c r="S180" s="301">
        <f t="shared" si="127"/>
        <v>5692036.9480353873</v>
      </c>
      <c r="T180" s="301">
        <f t="shared" si="127"/>
        <v>5692035.3946888074</v>
      </c>
      <c r="U180" s="301">
        <f t="shared" si="127"/>
        <v>5694476.0592928017</v>
      </c>
      <c r="V180" s="301">
        <f t="shared" ref="V180:AI188" si="128">+SUMIF($D$83:$D$177,$D180,V$83:V$177)</f>
        <v>5694474.5059462208</v>
      </c>
      <c r="W180" s="301">
        <f t="shared" si="128"/>
        <v>5694474.5059462208</v>
      </c>
      <c r="X180" s="301">
        <f t="shared" si="128"/>
        <v>5694474.5059462208</v>
      </c>
      <c r="Y180" s="302">
        <f t="shared" si="128"/>
        <v>5881849.713082836</v>
      </c>
      <c r="Z180" s="303">
        <f t="shared" si="128"/>
        <v>5881849.713082836</v>
      </c>
      <c r="AA180" s="301">
        <f t="shared" si="128"/>
        <v>5881849.713082836</v>
      </c>
      <c r="AB180" s="301">
        <f t="shared" si="128"/>
        <v>5881849.713082836</v>
      </c>
      <c r="AC180" s="301">
        <f t="shared" si="128"/>
        <v>6055355.7583619067</v>
      </c>
      <c r="AD180" s="301">
        <f t="shared" si="128"/>
        <v>6055355.7583619067</v>
      </c>
      <c r="AE180" s="301">
        <f t="shared" si="128"/>
        <v>6055355.7583619067</v>
      </c>
      <c r="AF180" s="301">
        <f t="shared" si="128"/>
        <v>6055355.7583619067</v>
      </c>
      <c r="AG180" s="301">
        <f t="shared" si="128"/>
        <v>6055355.7583619067</v>
      </c>
      <c r="AH180" s="301">
        <f t="shared" si="128"/>
        <v>6055355.7583619067</v>
      </c>
      <c r="AI180" s="301">
        <f t="shared" si="128"/>
        <v>6055355.7583619067</v>
      </c>
      <c r="AJ180" s="234">
        <f>+SUM(F180:AI180)</f>
        <v>164497191.9673889</v>
      </c>
    </row>
    <row r="181" spans="2:37" ht="14.4">
      <c r="D181" s="235" t="s">
        <v>190</v>
      </c>
      <c r="E181" s="304">
        <v>6.3299999999999995E-2</v>
      </c>
      <c r="F181" s="305">
        <f t="shared" si="127"/>
        <v>0</v>
      </c>
      <c r="G181" s="305">
        <f t="shared" si="127"/>
        <v>302983.03985160711</v>
      </c>
      <c r="H181" s="305">
        <f t="shared" si="127"/>
        <v>311076.86702837475</v>
      </c>
      <c r="I181" s="305">
        <f t="shared" si="127"/>
        <v>319170.69420514238</v>
      </c>
      <c r="J181" s="305">
        <f t="shared" si="127"/>
        <v>327264.52138191013</v>
      </c>
      <c r="K181" s="305">
        <f t="shared" si="127"/>
        <v>339105.71291855414</v>
      </c>
      <c r="L181" s="306">
        <f t="shared" si="127"/>
        <v>343838.36521816056</v>
      </c>
      <c r="M181" s="307">
        <f t="shared" si="127"/>
        <v>352086.58813752263</v>
      </c>
      <c r="N181" s="305">
        <f t="shared" si="127"/>
        <v>355261.54494102835</v>
      </c>
      <c r="O181" s="305">
        <f t="shared" si="127"/>
        <v>355570.53307989403</v>
      </c>
      <c r="P181" s="305">
        <f t="shared" si="127"/>
        <v>355724.83049564989</v>
      </c>
      <c r="Q181" s="305">
        <f t="shared" si="127"/>
        <v>357707.67902812391</v>
      </c>
      <c r="R181" s="305">
        <f t="shared" si="127"/>
        <v>358016.56884015113</v>
      </c>
      <c r="S181" s="305">
        <f t="shared" si="127"/>
        <v>360305.93881063996</v>
      </c>
      <c r="T181" s="305">
        <f t="shared" si="127"/>
        <v>360305.8404838015</v>
      </c>
      <c r="U181" s="305">
        <f t="shared" si="127"/>
        <v>360460.33455323434</v>
      </c>
      <c r="V181" s="305">
        <f t="shared" si="128"/>
        <v>360460.23622639582</v>
      </c>
      <c r="W181" s="305">
        <f t="shared" si="128"/>
        <v>360460.23622639582</v>
      </c>
      <c r="X181" s="305">
        <f t="shared" si="128"/>
        <v>360460.23622639582</v>
      </c>
      <c r="Y181" s="306">
        <f t="shared" si="128"/>
        <v>372321.08683814347</v>
      </c>
      <c r="Z181" s="307">
        <f t="shared" si="128"/>
        <v>372321.08683814347</v>
      </c>
      <c r="AA181" s="305">
        <f t="shared" si="128"/>
        <v>372321.08683814347</v>
      </c>
      <c r="AB181" s="305">
        <f t="shared" si="128"/>
        <v>372321.08683814347</v>
      </c>
      <c r="AC181" s="305">
        <f t="shared" si="128"/>
        <v>383304.01950430864</v>
      </c>
      <c r="AD181" s="305">
        <f t="shared" si="128"/>
        <v>383304.01950430864</v>
      </c>
      <c r="AE181" s="305">
        <f t="shared" si="128"/>
        <v>383304.01950430864</v>
      </c>
      <c r="AF181" s="305">
        <f t="shared" si="128"/>
        <v>383304.01950430864</v>
      </c>
      <c r="AG181" s="305">
        <f t="shared" si="128"/>
        <v>383304.01950430864</v>
      </c>
      <c r="AH181" s="305">
        <f t="shared" si="128"/>
        <v>383304.01950430864</v>
      </c>
      <c r="AI181" s="305">
        <f t="shared" si="128"/>
        <v>383304.01950430864</v>
      </c>
      <c r="AJ181" s="236">
        <f t="shared" ref="AJ181:AJ188" si="129">+SUM(F181:AI181)</f>
        <v>10412672.251535719</v>
      </c>
    </row>
    <row r="182" spans="2:37" ht="14.4">
      <c r="D182" s="235" t="s">
        <v>191</v>
      </c>
      <c r="E182" s="308">
        <v>5.0000000000000001E-3</v>
      </c>
      <c r="F182" s="305">
        <f t="shared" si="127"/>
        <v>0</v>
      </c>
      <c r="G182" s="305">
        <f t="shared" si="127"/>
        <v>23932.309624929472</v>
      </c>
      <c r="H182" s="305">
        <f t="shared" si="127"/>
        <v>24571.632466696268</v>
      </c>
      <c r="I182" s="305">
        <f t="shared" si="127"/>
        <v>25210.955308463072</v>
      </c>
      <c r="J182" s="305">
        <f t="shared" si="127"/>
        <v>25850.278150229871</v>
      </c>
      <c r="K182" s="305">
        <f t="shared" si="127"/>
        <v>26785.601336378684</v>
      </c>
      <c r="L182" s="306">
        <f t="shared" si="127"/>
        <v>27159.428532240177</v>
      </c>
      <c r="M182" s="307">
        <f t="shared" si="127"/>
        <v>27810.946930294052</v>
      </c>
      <c r="N182" s="305">
        <f t="shared" si="127"/>
        <v>28061.733407664171</v>
      </c>
      <c r="O182" s="305">
        <f t="shared" si="127"/>
        <v>28086.140053704119</v>
      </c>
      <c r="P182" s="305">
        <f t="shared" si="127"/>
        <v>28098.327843258285</v>
      </c>
      <c r="Q182" s="305">
        <f t="shared" si="127"/>
        <v>28254.95095008878</v>
      </c>
      <c r="R182" s="305">
        <f t="shared" si="127"/>
        <v>28279.349829395826</v>
      </c>
      <c r="S182" s="305">
        <f t="shared" si="127"/>
        <v>28460.184740176937</v>
      </c>
      <c r="T182" s="305">
        <f t="shared" si="127"/>
        <v>28460.176973444035</v>
      </c>
      <c r="U182" s="305">
        <f t="shared" si="127"/>
        <v>28472.380296464009</v>
      </c>
      <c r="V182" s="305">
        <f t="shared" si="128"/>
        <v>28472.37252973111</v>
      </c>
      <c r="W182" s="305">
        <f t="shared" si="128"/>
        <v>28472.37252973111</v>
      </c>
      <c r="X182" s="305">
        <f t="shared" si="128"/>
        <v>28472.37252973111</v>
      </c>
      <c r="Y182" s="306">
        <f t="shared" si="128"/>
        <v>29409.248565414178</v>
      </c>
      <c r="Z182" s="307">
        <f t="shared" si="128"/>
        <v>29409.248565414178</v>
      </c>
      <c r="AA182" s="305">
        <f t="shared" si="128"/>
        <v>29409.248565414178</v>
      </c>
      <c r="AB182" s="305">
        <f t="shared" si="128"/>
        <v>29409.248565414178</v>
      </c>
      <c r="AC182" s="305">
        <f t="shared" si="128"/>
        <v>30276.778791809535</v>
      </c>
      <c r="AD182" s="305">
        <f t="shared" si="128"/>
        <v>30276.778791809535</v>
      </c>
      <c r="AE182" s="305">
        <f t="shared" si="128"/>
        <v>30276.778791809535</v>
      </c>
      <c r="AF182" s="305">
        <f t="shared" si="128"/>
        <v>30276.778791809535</v>
      </c>
      <c r="AG182" s="305">
        <f t="shared" si="128"/>
        <v>30276.778791809535</v>
      </c>
      <c r="AH182" s="305">
        <f t="shared" si="128"/>
        <v>30276.778791809535</v>
      </c>
      <c r="AI182" s="305">
        <f t="shared" si="128"/>
        <v>30276.778791809535</v>
      </c>
      <c r="AJ182" s="236">
        <f t="shared" si="129"/>
        <v>822485.95983694505</v>
      </c>
    </row>
    <row r="183" spans="2:37" ht="14.4">
      <c r="D183" s="235" t="s">
        <v>192</v>
      </c>
      <c r="E183" s="308">
        <v>2.8000000000000001E-2</v>
      </c>
      <c r="F183" s="305">
        <f t="shared" si="127"/>
        <v>0</v>
      </c>
      <c r="G183" s="305">
        <f t="shared" si="127"/>
        <v>134020.93389960506</v>
      </c>
      <c r="H183" s="305">
        <f t="shared" si="127"/>
        <v>137601.14181349913</v>
      </c>
      <c r="I183" s="305">
        <f t="shared" si="127"/>
        <v>141181.34972739322</v>
      </c>
      <c r="J183" s="305">
        <f t="shared" si="127"/>
        <v>144761.55764128731</v>
      </c>
      <c r="K183" s="305">
        <f t="shared" si="127"/>
        <v>149999.36748372068</v>
      </c>
      <c r="L183" s="306">
        <f t="shared" si="127"/>
        <v>152092.79978054503</v>
      </c>
      <c r="M183" s="307">
        <f t="shared" si="127"/>
        <v>155741.3028096467</v>
      </c>
      <c r="N183" s="305">
        <f t="shared" si="127"/>
        <v>157145.70708291937</v>
      </c>
      <c r="O183" s="305">
        <f t="shared" si="127"/>
        <v>157282.38430074306</v>
      </c>
      <c r="P183" s="305">
        <f t="shared" si="127"/>
        <v>157350.63592224641</v>
      </c>
      <c r="Q183" s="305">
        <f t="shared" si="127"/>
        <v>158227.72532049718</v>
      </c>
      <c r="R183" s="305">
        <f t="shared" si="127"/>
        <v>158364.35904461666</v>
      </c>
      <c r="S183" s="305">
        <f t="shared" si="127"/>
        <v>159377.03454499083</v>
      </c>
      <c r="T183" s="305">
        <f t="shared" si="127"/>
        <v>159376.9910512866</v>
      </c>
      <c r="U183" s="305">
        <f t="shared" si="127"/>
        <v>159445.32966019848</v>
      </c>
      <c r="V183" s="305">
        <f t="shared" si="128"/>
        <v>159445.28616649422</v>
      </c>
      <c r="W183" s="305">
        <f t="shared" si="128"/>
        <v>159445.28616649422</v>
      </c>
      <c r="X183" s="305">
        <f t="shared" si="128"/>
        <v>159445.28616649422</v>
      </c>
      <c r="Y183" s="306">
        <f t="shared" si="128"/>
        <v>164691.79196631943</v>
      </c>
      <c r="Z183" s="307">
        <f t="shared" si="128"/>
        <v>164691.79196631943</v>
      </c>
      <c r="AA183" s="305">
        <f t="shared" si="128"/>
        <v>164691.79196631943</v>
      </c>
      <c r="AB183" s="305">
        <f t="shared" si="128"/>
        <v>164691.79196631943</v>
      </c>
      <c r="AC183" s="305">
        <f t="shared" si="128"/>
        <v>169549.9612341334</v>
      </c>
      <c r="AD183" s="305">
        <f t="shared" si="128"/>
        <v>169549.9612341334</v>
      </c>
      <c r="AE183" s="305">
        <f t="shared" si="128"/>
        <v>169549.9612341334</v>
      </c>
      <c r="AF183" s="305">
        <f t="shared" si="128"/>
        <v>169549.9612341334</v>
      </c>
      <c r="AG183" s="305">
        <f t="shared" si="128"/>
        <v>169549.9612341334</v>
      </c>
      <c r="AH183" s="305">
        <f t="shared" si="128"/>
        <v>169549.9612341334</v>
      </c>
      <c r="AI183" s="305">
        <f t="shared" si="128"/>
        <v>169549.9612341334</v>
      </c>
      <c r="AJ183" s="236">
        <f t="shared" si="129"/>
        <v>4605921.3750868905</v>
      </c>
    </row>
    <row r="184" spans="2:37" ht="14.4">
      <c r="D184" s="235" t="s">
        <v>193</v>
      </c>
      <c r="E184" s="308">
        <v>5.0000000000000001E-3</v>
      </c>
      <c r="F184" s="305">
        <f t="shared" si="127"/>
        <v>0</v>
      </c>
      <c r="G184" s="305">
        <f t="shared" si="127"/>
        <v>23932.309624929472</v>
      </c>
      <c r="H184" s="305">
        <f t="shared" si="127"/>
        <v>24571.632466696268</v>
      </c>
      <c r="I184" s="305">
        <f t="shared" si="127"/>
        <v>25210.955308463072</v>
      </c>
      <c r="J184" s="305">
        <f t="shared" si="127"/>
        <v>25850.278150229871</v>
      </c>
      <c r="K184" s="305">
        <f t="shared" si="127"/>
        <v>26785.601336378684</v>
      </c>
      <c r="L184" s="306">
        <f t="shared" si="127"/>
        <v>27159.428532240177</v>
      </c>
      <c r="M184" s="307">
        <f t="shared" si="127"/>
        <v>27810.946930294052</v>
      </c>
      <c r="N184" s="305">
        <f t="shared" si="127"/>
        <v>28061.733407664171</v>
      </c>
      <c r="O184" s="305">
        <f t="shared" si="127"/>
        <v>28086.140053704119</v>
      </c>
      <c r="P184" s="305">
        <f t="shared" si="127"/>
        <v>28098.327843258285</v>
      </c>
      <c r="Q184" s="305">
        <f t="shared" si="127"/>
        <v>28254.95095008878</v>
      </c>
      <c r="R184" s="305">
        <f t="shared" si="127"/>
        <v>28279.349829395826</v>
      </c>
      <c r="S184" s="305">
        <f t="shared" si="127"/>
        <v>28460.184740176937</v>
      </c>
      <c r="T184" s="305">
        <f t="shared" si="127"/>
        <v>28460.176973444035</v>
      </c>
      <c r="U184" s="305">
        <f t="shared" si="127"/>
        <v>28472.380296464009</v>
      </c>
      <c r="V184" s="305">
        <f t="shared" si="128"/>
        <v>28472.37252973111</v>
      </c>
      <c r="W184" s="305">
        <f t="shared" si="128"/>
        <v>28472.37252973111</v>
      </c>
      <c r="X184" s="305">
        <f t="shared" si="128"/>
        <v>28472.37252973111</v>
      </c>
      <c r="Y184" s="306">
        <f t="shared" si="128"/>
        <v>29409.248565414178</v>
      </c>
      <c r="Z184" s="307">
        <f t="shared" si="128"/>
        <v>29409.248565414178</v>
      </c>
      <c r="AA184" s="305">
        <f t="shared" si="128"/>
        <v>29409.248565414178</v>
      </c>
      <c r="AB184" s="305">
        <f t="shared" si="128"/>
        <v>29409.248565414178</v>
      </c>
      <c r="AC184" s="305">
        <f t="shared" si="128"/>
        <v>30276.778791809535</v>
      </c>
      <c r="AD184" s="305">
        <f t="shared" si="128"/>
        <v>30276.778791809535</v>
      </c>
      <c r="AE184" s="305">
        <f t="shared" si="128"/>
        <v>30276.778791809535</v>
      </c>
      <c r="AF184" s="305">
        <f t="shared" si="128"/>
        <v>30276.778791809535</v>
      </c>
      <c r="AG184" s="305">
        <f t="shared" si="128"/>
        <v>30276.778791809535</v>
      </c>
      <c r="AH184" s="305">
        <f t="shared" si="128"/>
        <v>30276.778791809535</v>
      </c>
      <c r="AI184" s="305">
        <f t="shared" si="128"/>
        <v>30276.778791809535</v>
      </c>
      <c r="AJ184" s="236">
        <f t="shared" si="129"/>
        <v>822485.95983694505</v>
      </c>
    </row>
    <row r="185" spans="2:37" ht="14.4">
      <c r="D185" s="235" t="s">
        <v>194</v>
      </c>
      <c r="E185" s="309"/>
      <c r="F185" s="305">
        <f t="shared" si="127"/>
        <v>0</v>
      </c>
      <c r="G185" s="305">
        <f t="shared" si="127"/>
        <v>5271330.5179869663</v>
      </c>
      <c r="H185" s="305">
        <f t="shared" si="127"/>
        <v>5412147.767114521</v>
      </c>
      <c r="I185" s="305">
        <f t="shared" si="127"/>
        <v>5552965.0162420757</v>
      </c>
      <c r="J185" s="305">
        <f t="shared" si="127"/>
        <v>5693782.2653696323</v>
      </c>
      <c r="K185" s="305">
        <f t="shared" si="127"/>
        <v>5899796.5503507704</v>
      </c>
      <c r="L185" s="306">
        <f t="shared" si="127"/>
        <v>5982135.7285112217</v>
      </c>
      <c r="M185" s="307">
        <f t="shared" si="127"/>
        <v>6125639.1708665676</v>
      </c>
      <c r="N185" s="305">
        <f t="shared" si="127"/>
        <v>6180877.4003721094</v>
      </c>
      <c r="O185" s="305">
        <f t="shared" si="127"/>
        <v>6186253.2082288684</v>
      </c>
      <c r="P185" s="305">
        <f t="shared" si="127"/>
        <v>6188937.6907560695</v>
      </c>
      <c r="Q185" s="305">
        <f t="shared" si="127"/>
        <v>6223435.496266555</v>
      </c>
      <c r="R185" s="305">
        <f t="shared" si="127"/>
        <v>6228809.5934227258</v>
      </c>
      <c r="S185" s="305">
        <f t="shared" si="127"/>
        <v>6268640.2908713724</v>
      </c>
      <c r="T185" s="305">
        <f t="shared" si="127"/>
        <v>6268638.5801707841</v>
      </c>
      <c r="U185" s="305">
        <f t="shared" si="127"/>
        <v>6271326.4840991627</v>
      </c>
      <c r="V185" s="305">
        <f t="shared" si="128"/>
        <v>6271324.7733985744</v>
      </c>
      <c r="W185" s="305">
        <f t="shared" si="128"/>
        <v>6271324.7733985744</v>
      </c>
      <c r="X185" s="305">
        <f t="shared" si="128"/>
        <v>6271324.7733985744</v>
      </c>
      <c r="Y185" s="306">
        <f t="shared" si="128"/>
        <v>6477681.0890181279</v>
      </c>
      <c r="Z185" s="307">
        <f t="shared" si="128"/>
        <v>6477681.0890181279</v>
      </c>
      <c r="AA185" s="305">
        <f t="shared" si="128"/>
        <v>6477681.0890181279</v>
      </c>
      <c r="AB185" s="305">
        <f t="shared" si="128"/>
        <v>6477681.0890181279</v>
      </c>
      <c r="AC185" s="305">
        <f t="shared" si="128"/>
        <v>6668763.296683968</v>
      </c>
      <c r="AD185" s="305">
        <f t="shared" si="128"/>
        <v>6668763.296683968</v>
      </c>
      <c r="AE185" s="305">
        <f t="shared" si="128"/>
        <v>6668763.296683968</v>
      </c>
      <c r="AF185" s="305">
        <f t="shared" si="128"/>
        <v>6668763.296683968</v>
      </c>
      <c r="AG185" s="305">
        <f t="shared" si="128"/>
        <v>6668763.296683968</v>
      </c>
      <c r="AH185" s="305">
        <f t="shared" si="128"/>
        <v>6668763.296683968</v>
      </c>
      <c r="AI185" s="305">
        <f t="shared" si="128"/>
        <v>6668763.296683968</v>
      </c>
      <c r="AJ185" s="236">
        <f t="shared" si="129"/>
        <v>181160757.51368538</v>
      </c>
    </row>
    <row r="186" spans="2:37" ht="14.4">
      <c r="D186" s="235" t="s">
        <v>197</v>
      </c>
      <c r="E186" s="308">
        <f>BDI!$F$34</f>
        <v>0.15</v>
      </c>
      <c r="F186" s="305">
        <f t="shared" si="127"/>
        <v>0</v>
      </c>
      <c r="G186" s="305">
        <f t="shared" si="127"/>
        <v>60952.127627949922</v>
      </c>
      <c r="H186" s="305">
        <f t="shared" si="127"/>
        <v>65046.685270998176</v>
      </c>
      <c r="I186" s="305">
        <f t="shared" si="127"/>
        <v>69141.242914046408</v>
      </c>
      <c r="J186" s="305">
        <f t="shared" si="127"/>
        <v>73235.800557094684</v>
      </c>
      <c r="K186" s="305">
        <f t="shared" si="127"/>
        <v>79225.999636031498</v>
      </c>
      <c r="L186" s="306">
        <f t="shared" si="127"/>
        <v>81620.2341343632</v>
      </c>
      <c r="M186" s="307">
        <f t="shared" si="127"/>
        <v>85792.89849430653</v>
      </c>
      <c r="N186" s="305">
        <f t="shared" si="127"/>
        <v>87399.115919898089</v>
      </c>
      <c r="O186" s="305">
        <f t="shared" si="127"/>
        <v>87555.329353688285</v>
      </c>
      <c r="P186" s="305">
        <f t="shared" si="127"/>
        <v>87633.436070583426</v>
      </c>
      <c r="Q186" s="305">
        <f t="shared" si="127"/>
        <v>88636.532311253468</v>
      </c>
      <c r="R186" s="305">
        <f t="shared" si="127"/>
        <v>88792.745745043692</v>
      </c>
      <c r="S186" s="305">
        <f t="shared" si="127"/>
        <v>89950.956775574028</v>
      </c>
      <c r="T186" s="305">
        <f t="shared" si="127"/>
        <v>89950.956775574028</v>
      </c>
      <c r="U186" s="305">
        <f t="shared" si="127"/>
        <v>90029.063492469126</v>
      </c>
      <c r="V186" s="305">
        <f t="shared" si="128"/>
        <v>90029.063492469126</v>
      </c>
      <c r="W186" s="305">
        <f t="shared" si="128"/>
        <v>90029.063492469126</v>
      </c>
      <c r="X186" s="305">
        <f t="shared" si="128"/>
        <v>90029.063492469126</v>
      </c>
      <c r="Y186" s="306">
        <f t="shared" si="128"/>
        <v>96029.307315908387</v>
      </c>
      <c r="Z186" s="307">
        <f t="shared" si="128"/>
        <v>96029.307315908387</v>
      </c>
      <c r="AA186" s="305">
        <f t="shared" si="128"/>
        <v>96029.307315908387</v>
      </c>
      <c r="AB186" s="305">
        <f t="shared" si="128"/>
        <v>96029.307315908387</v>
      </c>
      <c r="AC186" s="305">
        <f t="shared" si="128"/>
        <v>101585.42433066411</v>
      </c>
      <c r="AD186" s="305">
        <f t="shared" si="128"/>
        <v>101585.42433066411</v>
      </c>
      <c r="AE186" s="305">
        <f t="shared" si="128"/>
        <v>101585.42433066411</v>
      </c>
      <c r="AF186" s="305">
        <f t="shared" si="128"/>
        <v>101585.42433066411</v>
      </c>
      <c r="AG186" s="305">
        <f t="shared" si="128"/>
        <v>101585.42433066411</v>
      </c>
      <c r="AH186" s="305">
        <f t="shared" si="128"/>
        <v>101585.42433066411</v>
      </c>
      <c r="AI186" s="305">
        <f t="shared" si="128"/>
        <v>101585.42433066411</v>
      </c>
      <c r="AJ186" s="236">
        <f>+SUM(F186:AI186)</f>
        <v>2590265.5151345651</v>
      </c>
    </row>
    <row r="187" spans="2:37" ht="14.4">
      <c r="D187" s="235" t="s">
        <v>195</v>
      </c>
      <c r="E187" s="304">
        <f>BDI!$F$33</f>
        <v>0.26450000000000001</v>
      </c>
      <c r="F187" s="305">
        <f t="shared" si="127"/>
        <v>0</v>
      </c>
      <c r="G187" s="305">
        <f t="shared" si="127"/>
        <v>1286788.0036236006</v>
      </c>
      <c r="H187" s="305">
        <f t="shared" si="127"/>
        <v>1316814.0960405972</v>
      </c>
      <c r="I187" s="305">
        <f t="shared" si="127"/>
        <v>1346840.1884575938</v>
      </c>
      <c r="J187" s="305">
        <f t="shared" si="127"/>
        <v>1376866.2808745904</v>
      </c>
      <c r="K187" s="305">
        <f t="shared" si="127"/>
        <v>1420794.3415429099</v>
      </c>
      <c r="L187" s="306">
        <f t="shared" si="127"/>
        <v>1438351.2206676244</v>
      </c>
      <c r="M187" s="307">
        <f t="shared" si="127"/>
        <v>1468950.0830159136</v>
      </c>
      <c r="N187" s="305">
        <f t="shared" si="127"/>
        <v>1480728.2979930029</v>
      </c>
      <c r="O187" s="305">
        <f t="shared" si="127"/>
        <v>1481874.7428161986</v>
      </c>
      <c r="P187" s="305">
        <f t="shared" si="127"/>
        <v>1482447.0602671853</v>
      </c>
      <c r="Q187" s="305">
        <f t="shared" si="127"/>
        <v>1489802.9367869934</v>
      </c>
      <c r="R187" s="305">
        <f t="shared" si="127"/>
        <v>1490948.9291298836</v>
      </c>
      <c r="S187" s="305">
        <f t="shared" si="127"/>
        <v>1499441.8364878823</v>
      </c>
      <c r="T187" s="305">
        <f t="shared" si="127"/>
        <v>1499441.3840075769</v>
      </c>
      <c r="U187" s="305">
        <f t="shared" si="127"/>
        <v>1500014.6064191749</v>
      </c>
      <c r="V187" s="305">
        <f t="shared" si="128"/>
        <v>1500014.153938869</v>
      </c>
      <c r="W187" s="305">
        <f t="shared" si="128"/>
        <v>1500014.153938869</v>
      </c>
      <c r="X187" s="305">
        <f t="shared" si="128"/>
        <v>1500014.153938869</v>
      </c>
      <c r="Y187" s="306">
        <f t="shared" si="128"/>
        <v>1544014.969478243</v>
      </c>
      <c r="Z187" s="307">
        <f t="shared" si="128"/>
        <v>1544014.969478243</v>
      </c>
      <c r="AA187" s="305">
        <f t="shared" si="128"/>
        <v>1544014.969478243</v>
      </c>
      <c r="AB187" s="305">
        <f t="shared" si="128"/>
        <v>1544014.969478243</v>
      </c>
      <c r="AC187" s="305">
        <f t="shared" si="128"/>
        <v>1584758.9270698382</v>
      </c>
      <c r="AD187" s="305">
        <f t="shared" si="128"/>
        <v>1584758.9270698382</v>
      </c>
      <c r="AE187" s="305">
        <f t="shared" si="128"/>
        <v>1584758.9270698382</v>
      </c>
      <c r="AF187" s="305">
        <f t="shared" si="128"/>
        <v>1584758.9270698382</v>
      </c>
      <c r="AG187" s="305">
        <f t="shared" si="128"/>
        <v>1584758.9270698382</v>
      </c>
      <c r="AH187" s="305">
        <f t="shared" si="128"/>
        <v>1584758.9270698382</v>
      </c>
      <c r="AI187" s="305">
        <f t="shared" si="128"/>
        <v>1584758.9270698382</v>
      </c>
      <c r="AJ187" s="236">
        <f t="shared" si="129"/>
        <v>43349518.837349147</v>
      </c>
    </row>
    <row r="188" spans="2:37" ht="14.4">
      <c r="D188" s="237" t="s">
        <v>196</v>
      </c>
      <c r="E188" s="310"/>
      <c r="F188" s="311">
        <f t="shared" si="127"/>
        <v>0</v>
      </c>
      <c r="G188" s="311">
        <f t="shared" si="127"/>
        <v>6619070.6492385166</v>
      </c>
      <c r="H188" s="311">
        <f t="shared" si="127"/>
        <v>6794008.5484261168</v>
      </c>
      <c r="I188" s="311">
        <f t="shared" si="127"/>
        <v>6968946.4476137161</v>
      </c>
      <c r="J188" s="311">
        <f t="shared" si="127"/>
        <v>7143884.3468013173</v>
      </c>
      <c r="K188" s="311">
        <f t="shared" si="127"/>
        <v>7399816.891529711</v>
      </c>
      <c r="L188" s="312">
        <f t="shared" si="127"/>
        <v>7502107.1833132086</v>
      </c>
      <c r="M188" s="313">
        <f t="shared" si="127"/>
        <v>7680382.1523767868</v>
      </c>
      <c r="N188" s="311">
        <f t="shared" si="127"/>
        <v>7749004.814285011</v>
      </c>
      <c r="O188" s="311">
        <f t="shared" si="127"/>
        <v>7755683.2803987544</v>
      </c>
      <c r="P188" s="311">
        <f t="shared" si="127"/>
        <v>7759018.1870938381</v>
      </c>
      <c r="Q188" s="311">
        <f t="shared" si="127"/>
        <v>7801874.9653648017</v>
      </c>
      <c r="R188" s="311">
        <f t="shared" si="127"/>
        <v>7808551.2682976527</v>
      </c>
      <c r="S188" s="311">
        <f t="shared" si="127"/>
        <v>7858033.0841348283</v>
      </c>
      <c r="T188" s="311">
        <f t="shared" si="127"/>
        <v>7858030.920953935</v>
      </c>
      <c r="U188" s="311">
        <f t="shared" si="127"/>
        <v>7861370.1540108072</v>
      </c>
      <c r="V188" s="311">
        <f t="shared" si="128"/>
        <v>7861367.990829912</v>
      </c>
      <c r="W188" s="311">
        <f t="shared" si="128"/>
        <v>7861367.990829912</v>
      </c>
      <c r="X188" s="311">
        <f t="shared" si="128"/>
        <v>7861367.990829912</v>
      </c>
      <c r="Y188" s="312">
        <f t="shared" si="128"/>
        <v>8117725.3658122793</v>
      </c>
      <c r="Z188" s="313">
        <f t="shared" si="128"/>
        <v>8117725.3658122793</v>
      </c>
      <c r="AA188" s="311">
        <f t="shared" si="128"/>
        <v>8117725.3658122793</v>
      </c>
      <c r="AB188" s="311">
        <f t="shared" si="128"/>
        <v>8117725.3658122793</v>
      </c>
      <c r="AC188" s="311">
        <f t="shared" si="128"/>
        <v>8355107.6480844701</v>
      </c>
      <c r="AD188" s="311">
        <f t="shared" si="128"/>
        <v>8355107.6480844701</v>
      </c>
      <c r="AE188" s="311">
        <f t="shared" si="128"/>
        <v>8355107.6480844701</v>
      </c>
      <c r="AF188" s="311">
        <f t="shared" si="128"/>
        <v>8355107.6480844701</v>
      </c>
      <c r="AG188" s="311">
        <f t="shared" si="128"/>
        <v>8355107.6480844701</v>
      </c>
      <c r="AH188" s="311">
        <f t="shared" si="128"/>
        <v>8355107.6480844701</v>
      </c>
      <c r="AI188" s="311">
        <f t="shared" si="128"/>
        <v>8355107.6480844701</v>
      </c>
      <c r="AJ188" s="238">
        <f t="shared" si="129"/>
        <v>227100541.86616904</v>
      </c>
      <c r="AK188" s="2"/>
    </row>
    <row r="190" spans="2:37"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  <c r="AC190" s="78"/>
      <c r="AD190" s="78"/>
      <c r="AE190" s="78"/>
      <c r="AF190" s="78"/>
      <c r="AG190" s="78"/>
      <c r="AH190" s="78"/>
      <c r="AI190" s="78"/>
      <c r="AJ190" s="78"/>
    </row>
    <row r="191" spans="2:37">
      <c r="G191" s="2"/>
    </row>
  </sheetData>
  <mergeCells count="24">
    <mergeCell ref="B7:D7"/>
    <mergeCell ref="B161:B168"/>
    <mergeCell ref="C161:C168"/>
    <mergeCell ref="B170:B177"/>
    <mergeCell ref="C170:C177"/>
    <mergeCell ref="B134:B141"/>
    <mergeCell ref="C134:C141"/>
    <mergeCell ref="B143:B150"/>
    <mergeCell ref="C143:C150"/>
    <mergeCell ref="B152:B159"/>
    <mergeCell ref="C152:C159"/>
    <mergeCell ref="B108:B115"/>
    <mergeCell ref="C108:C115"/>
    <mergeCell ref="B116:B123"/>
    <mergeCell ref="C116:C123"/>
    <mergeCell ref="B125:B132"/>
    <mergeCell ref="B15:C15"/>
    <mergeCell ref="C125:C132"/>
    <mergeCell ref="B100:B107"/>
    <mergeCell ref="C100:C107"/>
    <mergeCell ref="B83:B90"/>
    <mergeCell ref="C83:C90"/>
    <mergeCell ref="B91:B98"/>
    <mergeCell ref="C91:C98"/>
  </mergeCells>
  <printOptions horizontalCentered="1"/>
  <pageMargins left="1.1811023622047245" right="0.59055118110236227" top="1.1811023622047245" bottom="1.1811023622047245" header="0.31496062992125984" footer="0.31496062992125984"/>
  <pageSetup paperSize="8" scale="54" fitToWidth="3" fitToHeight="0" orientation="landscape" horizontalDpi="1200" verticalDpi="1200" r:id="rId1"/>
  <rowBreaks count="1" manualBreakCount="1">
    <brk id="98" min="1" max="34" man="1"/>
  </rowBreaks>
  <colBreaks count="2" manualBreakCount="2">
    <brk id="15" min="10" max="176" man="1"/>
    <brk id="25" min="10" max="176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5314-BD96-4CC9-A0F3-A5CD82969820}">
  <sheetPr>
    <tabColor rgb="FF00B050"/>
  </sheetPr>
  <dimension ref="B1:AM79"/>
  <sheetViews>
    <sheetView showGridLines="0" zoomScale="80" zoomScaleNormal="80" workbookViewId="0"/>
  </sheetViews>
  <sheetFormatPr defaultRowHeight="13.8"/>
  <cols>
    <col min="1" max="1" width="3.625" customWidth="1"/>
    <col min="2" max="2" width="14.75" bestFit="1" customWidth="1"/>
    <col min="3" max="3" width="85.125" customWidth="1"/>
    <col min="4" max="5" width="13.125" customWidth="1"/>
    <col min="6" max="35" width="15" customWidth="1"/>
    <col min="36" max="36" width="15.875" bestFit="1" customWidth="1"/>
    <col min="37" max="37" width="3" customWidth="1"/>
    <col min="38" max="38" width="10.375" bestFit="1" customWidth="1"/>
    <col min="39" max="39" width="11.125" bestFit="1" customWidth="1"/>
  </cols>
  <sheetData>
    <row r="1" spans="2:36" s="1" customFormat="1" ht="18">
      <c r="B1" s="103"/>
      <c r="C1" s="104"/>
    </row>
    <row r="2" spans="2:36" s="1" customFormat="1">
      <c r="C2" s="34"/>
    </row>
    <row r="3" spans="2:36" s="1" customFormat="1">
      <c r="C3" s="34"/>
      <c r="F3"/>
    </row>
    <row r="4" spans="2:36" s="1" customFormat="1">
      <c r="C4" s="34"/>
      <c r="F4"/>
    </row>
    <row r="5" spans="2:36" s="1" customFormat="1">
      <c r="B5" s="105"/>
      <c r="C5" s="106"/>
      <c r="D5" s="105"/>
    </row>
    <row r="6" spans="2:36" s="1" customFormat="1">
      <c r="C6" s="34"/>
    </row>
    <row r="7" spans="2:36" s="1" customFormat="1" ht="49.95" customHeight="1">
      <c r="B7" s="359" t="s">
        <v>0</v>
      </c>
      <c r="C7" s="360"/>
      <c r="D7" s="361"/>
    </row>
    <row r="8" spans="2:36" s="1" customFormat="1" ht="15.6">
      <c r="B8" s="107" t="s">
        <v>1</v>
      </c>
      <c r="C8" s="108"/>
      <c r="D8" s="109"/>
    </row>
    <row r="9" spans="2:36" s="1" customFormat="1" ht="15.6">
      <c r="B9" s="110" t="s">
        <v>2</v>
      </c>
      <c r="C9" s="111"/>
      <c r="D9" s="112"/>
    </row>
    <row r="10" spans="2:36" s="1" customFormat="1" ht="15.6">
      <c r="B10" s="113"/>
      <c r="C10" s="114"/>
      <c r="D10" s="113"/>
    </row>
    <row r="11" spans="2:36" s="1" customFormat="1" ht="18">
      <c r="B11" s="115" t="s">
        <v>214</v>
      </c>
      <c r="C11" s="116"/>
      <c r="D11" s="117"/>
    </row>
    <row r="12" spans="2:36" s="1" customFormat="1" ht="18.600000000000001" thickBot="1">
      <c r="B12" s="118" t="s">
        <v>1016</v>
      </c>
      <c r="C12" s="119"/>
      <c r="D12" s="120"/>
    </row>
    <row r="13" spans="2:36" s="1" customFormat="1" ht="18.600000000000001" thickBot="1">
      <c r="B13" s="121" t="s">
        <v>4</v>
      </c>
      <c r="C13" s="122"/>
      <c r="D13" s="123"/>
      <c r="F13" s="314" t="s">
        <v>215</v>
      </c>
      <c r="G13" s="315">
        <v>226.7</v>
      </c>
    </row>
    <row r="14" spans="2:36" s="1" customFormat="1">
      <c r="C14" s="34"/>
    </row>
    <row r="15" spans="2:36" ht="13.95" customHeight="1">
      <c r="B15" s="372" t="s">
        <v>88</v>
      </c>
      <c r="C15" s="382"/>
      <c r="D15" s="382" t="s">
        <v>89</v>
      </c>
      <c r="E15" s="373" t="s">
        <v>216</v>
      </c>
      <c r="F15" s="379" t="s">
        <v>217</v>
      </c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80"/>
      <c r="W15" s="380"/>
      <c r="X15" s="380"/>
      <c r="Y15" s="380"/>
      <c r="Z15" s="380"/>
      <c r="AA15" s="380"/>
      <c r="AB15" s="380"/>
      <c r="AC15" s="380"/>
      <c r="AD15" s="380"/>
      <c r="AE15" s="380"/>
      <c r="AF15" s="380"/>
      <c r="AG15" s="380"/>
      <c r="AH15" s="380"/>
      <c r="AI15" s="380"/>
      <c r="AJ15" s="381"/>
    </row>
    <row r="16" spans="2:36">
      <c r="B16" s="383" t="s">
        <v>91</v>
      </c>
      <c r="C16" s="383" t="s">
        <v>92</v>
      </c>
      <c r="D16" s="383" t="s">
        <v>89</v>
      </c>
      <c r="E16" s="201" t="s">
        <v>216</v>
      </c>
      <c r="F16" s="377" t="s">
        <v>40</v>
      </c>
      <c r="G16" s="377" t="s">
        <v>41</v>
      </c>
      <c r="H16" s="377" t="s">
        <v>42</v>
      </c>
      <c r="I16" s="377" t="s">
        <v>43</v>
      </c>
      <c r="J16" s="377" t="s">
        <v>44</v>
      </c>
      <c r="K16" s="377" t="s">
        <v>45</v>
      </c>
      <c r="L16" s="377" t="s">
        <v>46</v>
      </c>
      <c r="M16" s="377" t="s">
        <v>47</v>
      </c>
      <c r="N16" s="377" t="s">
        <v>48</v>
      </c>
      <c r="O16" s="377" t="s">
        <v>49</v>
      </c>
      <c r="P16" s="377" t="s">
        <v>50</v>
      </c>
      <c r="Q16" s="377" t="s">
        <v>51</v>
      </c>
      <c r="R16" s="377" t="s">
        <v>52</v>
      </c>
      <c r="S16" s="377" t="s">
        <v>53</v>
      </c>
      <c r="T16" s="377" t="s">
        <v>54</v>
      </c>
      <c r="U16" s="377" t="s">
        <v>55</v>
      </c>
      <c r="V16" s="377" t="s">
        <v>56</v>
      </c>
      <c r="W16" s="377" t="s">
        <v>57</v>
      </c>
      <c r="X16" s="377" t="s">
        <v>58</v>
      </c>
      <c r="Y16" s="377" t="s">
        <v>59</v>
      </c>
      <c r="Z16" s="377" t="s">
        <v>60</v>
      </c>
      <c r="AA16" s="377" t="s">
        <v>61</v>
      </c>
      <c r="AB16" s="377" t="s">
        <v>62</v>
      </c>
      <c r="AC16" s="377" t="s">
        <v>63</v>
      </c>
      <c r="AD16" s="377" t="s">
        <v>64</v>
      </c>
      <c r="AE16" s="377" t="s">
        <v>65</v>
      </c>
      <c r="AF16" s="377" t="s">
        <v>66</v>
      </c>
      <c r="AG16" s="377" t="s">
        <v>67</v>
      </c>
      <c r="AH16" s="377" t="s">
        <v>68</v>
      </c>
      <c r="AI16" s="377" t="s">
        <v>69</v>
      </c>
      <c r="AJ16" s="377" t="s">
        <v>218</v>
      </c>
    </row>
    <row r="17" spans="2:38">
      <c r="B17" s="384"/>
      <c r="C17" s="384"/>
      <c r="D17" s="384"/>
      <c r="E17" s="203" t="s">
        <v>219</v>
      </c>
      <c r="F17" s="378"/>
      <c r="G17" s="378"/>
      <c r="H17" s="378"/>
      <c r="I17" s="378"/>
      <c r="J17" s="378"/>
      <c r="K17" s="378"/>
      <c r="L17" s="378"/>
      <c r="M17" s="378"/>
      <c r="N17" s="378"/>
      <c r="O17" s="378"/>
      <c r="P17" s="378"/>
      <c r="Q17" s="378"/>
      <c r="R17" s="378"/>
      <c r="S17" s="378"/>
      <c r="T17" s="378"/>
      <c r="U17" s="378"/>
      <c r="V17" s="378"/>
      <c r="W17" s="378"/>
      <c r="X17" s="378"/>
      <c r="Y17" s="378"/>
      <c r="Z17" s="378"/>
      <c r="AA17" s="378"/>
      <c r="AB17" s="378"/>
      <c r="AC17" s="378"/>
      <c r="AD17" s="378"/>
      <c r="AE17" s="378"/>
      <c r="AF17" s="378"/>
      <c r="AG17" s="378"/>
      <c r="AH17" s="378"/>
      <c r="AI17" s="378"/>
      <c r="AJ17" s="378"/>
    </row>
    <row r="18" spans="2:38">
      <c r="B18" s="205"/>
      <c r="C18" s="206" t="s">
        <v>93</v>
      </c>
      <c r="D18" s="205"/>
      <c r="E18" s="239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</row>
    <row r="19" spans="2:38">
      <c r="B19" s="43"/>
      <c r="C19" s="38" t="s">
        <v>94</v>
      </c>
      <c r="D19" s="39"/>
      <c r="E19" s="39"/>
      <c r="F19" s="46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59"/>
    </row>
    <row r="20" spans="2:38" ht="14.4">
      <c r="B20" s="285" t="s">
        <v>95</v>
      </c>
      <c r="C20" s="316" t="s">
        <v>96</v>
      </c>
      <c r="D20" s="240" t="str">
        <f>VLOOKUP(B20,'Padrão Conserva'!$B$21:$G$75,3,FALSE)</f>
        <v>m³/km eq.</v>
      </c>
      <c r="E20" s="241">
        <f>VLOOKUP(B20,'Padrão Conserva'!$B$21:$G$75,4,FALSE)</f>
        <v>1</v>
      </c>
      <c r="F20" s="214">
        <v>0</v>
      </c>
      <c r="G20" s="242">
        <f>$E20*'Ext Equiv'!F353</f>
        <v>147.94511904761902</v>
      </c>
      <c r="H20" s="242">
        <f>$E20*'Ext Equiv'!G353</f>
        <v>157.8835714285714</v>
      </c>
      <c r="I20" s="242">
        <f>$E20*'Ext Equiv'!H353</f>
        <v>167.82202380952376</v>
      </c>
      <c r="J20" s="242">
        <f>$E20*'Ext Equiv'!I353</f>
        <v>177.76047619047617</v>
      </c>
      <c r="K20" s="242">
        <f>$E20*'Ext Equiv'!J353</f>
        <v>192.3000952380952</v>
      </c>
      <c r="L20" s="242">
        <f>$E20*'Ext Equiv'!K353</f>
        <v>198.11146428571428</v>
      </c>
      <c r="M20" s="242">
        <f>$E20*'Ext Equiv'!L353</f>
        <v>208.23950000000002</v>
      </c>
      <c r="N20" s="242">
        <f>$E20*'Ext Equiv'!M353</f>
        <v>212.13816666666668</v>
      </c>
      <c r="O20" s="242">
        <f>$E20*'Ext Equiv'!N353</f>
        <v>212.51733333333334</v>
      </c>
      <c r="P20" s="242">
        <f>$E20*'Ext Equiv'!O353</f>
        <v>212.70691666666667</v>
      </c>
      <c r="Q20" s="242">
        <f>$E20*'Ext Equiv'!P353</f>
        <v>215.14166666666665</v>
      </c>
      <c r="R20" s="242">
        <f>$E20*'Ext Equiv'!Q353</f>
        <v>215.52083333333334</v>
      </c>
      <c r="S20" s="242">
        <f>$E20*'Ext Equiv'!R353</f>
        <v>218.33208333333334</v>
      </c>
      <c r="T20" s="242">
        <f>$E20*'Ext Equiv'!S353</f>
        <v>218.33208333333334</v>
      </c>
      <c r="U20" s="242">
        <f>$E20*'Ext Equiv'!T353</f>
        <v>218.52166666666668</v>
      </c>
      <c r="V20" s="242">
        <f>$E20*'Ext Equiv'!U353</f>
        <v>218.52166666666668</v>
      </c>
      <c r="W20" s="242">
        <f>$E20*'Ext Equiv'!V353</f>
        <v>218.52166666666668</v>
      </c>
      <c r="X20" s="242">
        <f>$E20*'Ext Equiv'!W353</f>
        <v>218.52166666666668</v>
      </c>
      <c r="Y20" s="242">
        <f>$E20*'Ext Equiv'!X353</f>
        <v>233.08566666666667</v>
      </c>
      <c r="Z20" s="242">
        <f>$E20*'Ext Equiv'!Y353</f>
        <v>233.08566666666667</v>
      </c>
      <c r="AA20" s="242">
        <f>$E20*'Ext Equiv'!Z353</f>
        <v>233.08566666666667</v>
      </c>
      <c r="AB20" s="242">
        <f>$E20*'Ext Equiv'!AA353</f>
        <v>233.08566666666667</v>
      </c>
      <c r="AC20" s="242">
        <f>$E20*'Ext Equiv'!AB353</f>
        <v>246.57166666666666</v>
      </c>
      <c r="AD20" s="242">
        <f>$E20*'Ext Equiv'!AC353</f>
        <v>246.57166666666666</v>
      </c>
      <c r="AE20" s="242">
        <f>$E20*'Ext Equiv'!AD353</f>
        <v>246.57166666666666</v>
      </c>
      <c r="AF20" s="242">
        <f>$E20*'Ext Equiv'!AE353</f>
        <v>246.57166666666666</v>
      </c>
      <c r="AG20" s="242">
        <f>$E20*'Ext Equiv'!AF353</f>
        <v>246.57166666666666</v>
      </c>
      <c r="AH20" s="242">
        <f>$E20*'Ext Equiv'!AG353</f>
        <v>246.57166666666666</v>
      </c>
      <c r="AI20" s="242">
        <f>$E20*'Ext Equiv'!AH353</f>
        <v>246.57166666666666</v>
      </c>
      <c r="AJ20" s="317">
        <f t="shared" ref="AJ20:AJ25" si="0">SUM(F20:AI20)</f>
        <v>6287.1823333333332</v>
      </c>
      <c r="AL20" s="51"/>
    </row>
    <row r="21" spans="2:38" ht="14.4">
      <c r="B21" s="285" t="s">
        <v>98</v>
      </c>
      <c r="C21" s="316" t="s">
        <v>99</v>
      </c>
      <c r="D21" s="240" t="str">
        <f>VLOOKUP(B21,'Padrão Conserva'!$B$21:$G$75,3,FALSE)</f>
        <v>m³/km eq.</v>
      </c>
      <c r="E21" s="241">
        <f>VLOOKUP(B21,'Padrão Conserva'!$B$21:$G$75,4,FALSE)</f>
        <v>2.1</v>
      </c>
      <c r="F21" s="214">
        <v>0</v>
      </c>
      <c r="G21" s="242">
        <f>$E21*'Ext Equiv'!F353</f>
        <v>310.68474999999995</v>
      </c>
      <c r="H21" s="242">
        <f>$E21*'Ext Equiv'!G353</f>
        <v>331.55549999999994</v>
      </c>
      <c r="I21" s="242">
        <f>$E21*'Ext Equiv'!H353</f>
        <v>352.42624999999992</v>
      </c>
      <c r="J21" s="242">
        <f>$E21*'Ext Equiv'!I353</f>
        <v>373.29699999999997</v>
      </c>
      <c r="K21" s="242">
        <f>$E21*'Ext Equiv'!J353</f>
        <v>403.83019999999993</v>
      </c>
      <c r="L21" s="242">
        <f>$E21*'Ext Equiv'!K353</f>
        <v>416.03407499999997</v>
      </c>
      <c r="M21" s="242">
        <f>$E21*'Ext Equiv'!L353</f>
        <v>437.30295000000007</v>
      </c>
      <c r="N21" s="242">
        <f>$E21*'Ext Equiv'!M353</f>
        <v>445.49015000000003</v>
      </c>
      <c r="O21" s="242">
        <f>$E21*'Ext Equiv'!N353</f>
        <v>446.28640000000001</v>
      </c>
      <c r="P21" s="242">
        <f>$E21*'Ext Equiv'!O353</f>
        <v>446.68452500000001</v>
      </c>
      <c r="Q21" s="242">
        <f>$E21*'Ext Equiv'!P353</f>
        <v>451.79750000000001</v>
      </c>
      <c r="R21" s="242">
        <f>$E21*'Ext Equiv'!Q353</f>
        <v>452.59375000000006</v>
      </c>
      <c r="S21" s="242">
        <f>$E21*'Ext Equiv'!R353</f>
        <v>458.49737500000003</v>
      </c>
      <c r="T21" s="242">
        <f>$E21*'Ext Equiv'!S353</f>
        <v>458.49737500000003</v>
      </c>
      <c r="U21" s="242">
        <f>$E21*'Ext Equiv'!T353</f>
        <v>458.89550000000003</v>
      </c>
      <c r="V21" s="242">
        <f>$E21*'Ext Equiv'!U353</f>
        <v>458.89550000000003</v>
      </c>
      <c r="W21" s="242">
        <f>$E21*'Ext Equiv'!V353</f>
        <v>458.89550000000003</v>
      </c>
      <c r="X21" s="242">
        <f>$E21*'Ext Equiv'!W353</f>
        <v>458.89550000000003</v>
      </c>
      <c r="Y21" s="242">
        <f>$E21*'Ext Equiv'!X353</f>
        <v>489.47990000000004</v>
      </c>
      <c r="Z21" s="242">
        <f>$E21*'Ext Equiv'!Y353</f>
        <v>489.47990000000004</v>
      </c>
      <c r="AA21" s="242">
        <f>$E21*'Ext Equiv'!Z353</f>
        <v>489.47990000000004</v>
      </c>
      <c r="AB21" s="242">
        <f>$E21*'Ext Equiv'!AA353</f>
        <v>489.47990000000004</v>
      </c>
      <c r="AC21" s="242">
        <f>$E21*'Ext Equiv'!AB353</f>
        <v>517.80050000000006</v>
      </c>
      <c r="AD21" s="242">
        <f>$E21*'Ext Equiv'!AC353</f>
        <v>517.80050000000006</v>
      </c>
      <c r="AE21" s="242">
        <f>$E21*'Ext Equiv'!AD353</f>
        <v>517.80050000000006</v>
      </c>
      <c r="AF21" s="242">
        <f>$E21*'Ext Equiv'!AE353</f>
        <v>517.80050000000006</v>
      </c>
      <c r="AG21" s="242">
        <f>$E21*'Ext Equiv'!AF353</f>
        <v>517.80050000000006</v>
      </c>
      <c r="AH21" s="242">
        <f>$E21*'Ext Equiv'!AG353</f>
        <v>517.80050000000006</v>
      </c>
      <c r="AI21" s="242">
        <f>$E21*'Ext Equiv'!AH353</f>
        <v>517.80050000000006</v>
      </c>
      <c r="AJ21" s="317">
        <f t="shared" si="0"/>
        <v>13203.082899999994</v>
      </c>
      <c r="AL21" s="51"/>
    </row>
    <row r="22" spans="2:38" ht="14.4">
      <c r="B22" s="285">
        <v>4011353</v>
      </c>
      <c r="C22" s="316" t="s">
        <v>100</v>
      </c>
      <c r="D22" s="240" t="str">
        <f>VLOOKUP(B22,'Padrão Conserva'!$B$21:$G$75,3,FALSE)</f>
        <v>m²/km eq.</v>
      </c>
      <c r="E22" s="241">
        <f>VLOOKUP(B22,'Padrão Conserva'!$B$21:$G$75,4,FALSE)</f>
        <v>70</v>
      </c>
      <c r="F22" s="214">
        <v>0</v>
      </c>
      <c r="G22" s="242">
        <f>$E22*'Ext Equiv'!F353</f>
        <v>10356.158333333331</v>
      </c>
      <c r="H22" s="242">
        <f>$E22*'Ext Equiv'!G353</f>
        <v>11051.849999999999</v>
      </c>
      <c r="I22" s="242">
        <f>$E22*'Ext Equiv'!H353</f>
        <v>11747.541666666662</v>
      </c>
      <c r="J22" s="242">
        <f>$E22*'Ext Equiv'!I353</f>
        <v>12443.233333333332</v>
      </c>
      <c r="K22" s="242">
        <f>$E22*'Ext Equiv'!J353</f>
        <v>13461.006666666664</v>
      </c>
      <c r="L22" s="242">
        <f>$E22*'Ext Equiv'!K353</f>
        <v>13867.8025</v>
      </c>
      <c r="M22" s="242">
        <f>$E22*'Ext Equiv'!L353</f>
        <v>14576.765000000001</v>
      </c>
      <c r="N22" s="242">
        <f>$E22*'Ext Equiv'!M353</f>
        <v>14849.671666666667</v>
      </c>
      <c r="O22" s="242">
        <f>$E22*'Ext Equiv'!N353</f>
        <v>14876.213333333333</v>
      </c>
      <c r="P22" s="242">
        <f>$E22*'Ext Equiv'!O353</f>
        <v>14889.484166666667</v>
      </c>
      <c r="Q22" s="242">
        <f>$E22*'Ext Equiv'!P353</f>
        <v>15059.916666666666</v>
      </c>
      <c r="R22" s="242">
        <f>$E22*'Ext Equiv'!Q353</f>
        <v>15086.458333333334</v>
      </c>
      <c r="S22" s="242">
        <f>$E22*'Ext Equiv'!R353</f>
        <v>15283.245833333334</v>
      </c>
      <c r="T22" s="242">
        <f>$E22*'Ext Equiv'!S353</f>
        <v>15283.245833333334</v>
      </c>
      <c r="U22" s="242">
        <f>$E22*'Ext Equiv'!T353</f>
        <v>15296.516666666666</v>
      </c>
      <c r="V22" s="242">
        <f>$E22*'Ext Equiv'!U353</f>
        <v>15296.516666666666</v>
      </c>
      <c r="W22" s="242">
        <f>$E22*'Ext Equiv'!V353</f>
        <v>15296.516666666666</v>
      </c>
      <c r="X22" s="242">
        <f>$E22*'Ext Equiv'!W353</f>
        <v>15296.516666666666</v>
      </c>
      <c r="Y22" s="242">
        <f>$E22*'Ext Equiv'!X353</f>
        <v>16315.996666666666</v>
      </c>
      <c r="Z22" s="242">
        <f>$E22*'Ext Equiv'!Y353</f>
        <v>16315.996666666666</v>
      </c>
      <c r="AA22" s="242">
        <f>$E22*'Ext Equiv'!Z353</f>
        <v>16315.996666666666</v>
      </c>
      <c r="AB22" s="242">
        <f>$E22*'Ext Equiv'!AA353</f>
        <v>16315.996666666666</v>
      </c>
      <c r="AC22" s="242">
        <f>$E22*'Ext Equiv'!AB353</f>
        <v>17260.016666666666</v>
      </c>
      <c r="AD22" s="242">
        <f>$E22*'Ext Equiv'!AC353</f>
        <v>17260.016666666666</v>
      </c>
      <c r="AE22" s="242">
        <f>$E22*'Ext Equiv'!AD353</f>
        <v>17260.016666666666</v>
      </c>
      <c r="AF22" s="242">
        <f>$E22*'Ext Equiv'!AE353</f>
        <v>17260.016666666666</v>
      </c>
      <c r="AG22" s="242">
        <f>$E22*'Ext Equiv'!AF353</f>
        <v>17260.016666666666</v>
      </c>
      <c r="AH22" s="242">
        <f>$E22*'Ext Equiv'!AG353</f>
        <v>17260.016666666666</v>
      </c>
      <c r="AI22" s="242">
        <f>$E22*'Ext Equiv'!AH353</f>
        <v>17260.016666666666</v>
      </c>
      <c r="AJ22" s="317">
        <f t="shared" si="0"/>
        <v>440102.76333333319</v>
      </c>
    </row>
    <row r="23" spans="2:38" ht="28.8">
      <c r="B23" s="285" t="s">
        <v>102</v>
      </c>
      <c r="C23" s="316" t="s">
        <v>103</v>
      </c>
      <c r="D23" s="240" t="str">
        <f>VLOOKUP(B23,'Padrão Conserva'!$B$21:$G$75,3,FALSE)</f>
        <v>t/km eq.</v>
      </c>
      <c r="E23" s="241">
        <f>VLOOKUP(B23,'Padrão Conserva'!$B$21:$G$75,4,FALSE)</f>
        <v>5.04</v>
      </c>
      <c r="F23" s="214">
        <v>0</v>
      </c>
      <c r="G23" s="242">
        <f>$E23*'Ext Equiv'!F353</f>
        <v>745.64339999999982</v>
      </c>
      <c r="H23" s="242">
        <f>$E23*'Ext Equiv'!G353</f>
        <v>795.7331999999999</v>
      </c>
      <c r="I23" s="242">
        <f>$E23*'Ext Equiv'!H353</f>
        <v>845.82299999999975</v>
      </c>
      <c r="J23" s="242">
        <f>$E23*'Ext Equiv'!I353</f>
        <v>895.91279999999995</v>
      </c>
      <c r="K23" s="242">
        <f>$E23*'Ext Equiv'!J353</f>
        <v>969.19247999999982</v>
      </c>
      <c r="L23" s="242">
        <f>$E23*'Ext Equiv'!K353</f>
        <v>998.48177999999996</v>
      </c>
      <c r="M23" s="242">
        <f>$E23*'Ext Equiv'!L353</f>
        <v>1049.5270800000001</v>
      </c>
      <c r="N23" s="242">
        <f>$E23*'Ext Equiv'!M353</f>
        <v>1069.1763600000002</v>
      </c>
      <c r="O23" s="242">
        <f>$E23*'Ext Equiv'!N353</f>
        <v>1071.08736</v>
      </c>
      <c r="P23" s="242">
        <f>$E23*'Ext Equiv'!O353</f>
        <v>1072.04286</v>
      </c>
      <c r="Q23" s="242">
        <f>$E23*'Ext Equiv'!P353</f>
        <v>1084.3139999999999</v>
      </c>
      <c r="R23" s="242">
        <f>$E23*'Ext Equiv'!Q353</f>
        <v>1086.2250000000001</v>
      </c>
      <c r="S23" s="242">
        <f>$E23*'Ext Equiv'!R353</f>
        <v>1100.3937000000001</v>
      </c>
      <c r="T23" s="242">
        <f>$E23*'Ext Equiv'!S353</f>
        <v>1100.3937000000001</v>
      </c>
      <c r="U23" s="242">
        <f>$E23*'Ext Equiv'!T353</f>
        <v>1101.3492000000001</v>
      </c>
      <c r="V23" s="242">
        <f>$E23*'Ext Equiv'!U353</f>
        <v>1101.3492000000001</v>
      </c>
      <c r="W23" s="242">
        <f>$E23*'Ext Equiv'!V353</f>
        <v>1101.3492000000001</v>
      </c>
      <c r="X23" s="242">
        <f>$E23*'Ext Equiv'!W353</f>
        <v>1101.3492000000001</v>
      </c>
      <c r="Y23" s="242">
        <f>$E23*'Ext Equiv'!X353</f>
        <v>1174.7517600000001</v>
      </c>
      <c r="Z23" s="242">
        <f>$E23*'Ext Equiv'!Y353</f>
        <v>1174.7517600000001</v>
      </c>
      <c r="AA23" s="242">
        <f>$E23*'Ext Equiv'!Z353</f>
        <v>1174.7517600000001</v>
      </c>
      <c r="AB23" s="242">
        <f>$E23*'Ext Equiv'!AA353</f>
        <v>1174.7517600000001</v>
      </c>
      <c r="AC23" s="242">
        <f>$E23*'Ext Equiv'!AB353</f>
        <v>1242.7212</v>
      </c>
      <c r="AD23" s="242">
        <f>$E23*'Ext Equiv'!AC353</f>
        <v>1242.7212</v>
      </c>
      <c r="AE23" s="242">
        <f>$E23*'Ext Equiv'!AD353</f>
        <v>1242.7212</v>
      </c>
      <c r="AF23" s="242">
        <f>$E23*'Ext Equiv'!AE353</f>
        <v>1242.7212</v>
      </c>
      <c r="AG23" s="242">
        <f>$E23*'Ext Equiv'!AF353</f>
        <v>1242.7212</v>
      </c>
      <c r="AH23" s="242">
        <f>$E23*'Ext Equiv'!AG353</f>
        <v>1242.7212</v>
      </c>
      <c r="AI23" s="242">
        <f>$E23*'Ext Equiv'!AH353</f>
        <v>1242.7212</v>
      </c>
      <c r="AJ23" s="317">
        <f t="shared" si="0"/>
        <v>31687.398959999999</v>
      </c>
    </row>
    <row r="24" spans="2:38" ht="28.8">
      <c r="B24" s="285" t="s">
        <v>105</v>
      </c>
      <c r="C24" s="316" t="s">
        <v>106</v>
      </c>
      <c r="D24" s="240" t="str">
        <f>VLOOKUP(B24,'Padrão Conserva'!$B$21:$G$75,3,FALSE)</f>
        <v>m/km.eq</v>
      </c>
      <c r="E24" s="241">
        <f>VLOOKUP(B24,'Padrão Conserva'!$B$21:$G$75,4,FALSE)</f>
        <v>20</v>
      </c>
      <c r="F24" s="214">
        <v>0</v>
      </c>
      <c r="G24" s="242">
        <f>$E24*'Ext Equiv'!F353</f>
        <v>2958.9023809523806</v>
      </c>
      <c r="H24" s="242">
        <f>$E24*'Ext Equiv'!G353</f>
        <v>3157.6714285714279</v>
      </c>
      <c r="I24" s="242">
        <f>$E24*'Ext Equiv'!H353</f>
        <v>3356.4404761904752</v>
      </c>
      <c r="J24" s="242">
        <f>$E24*'Ext Equiv'!I353</f>
        <v>3555.2095238095235</v>
      </c>
      <c r="K24" s="242">
        <f>$E24*'Ext Equiv'!J353</f>
        <v>3846.0019047619039</v>
      </c>
      <c r="L24" s="242">
        <f>$E24*'Ext Equiv'!K353</f>
        <v>3962.2292857142857</v>
      </c>
      <c r="M24" s="242">
        <f>$E24*'Ext Equiv'!L353</f>
        <v>4164.7900000000009</v>
      </c>
      <c r="N24" s="242">
        <f>$E24*'Ext Equiv'!M353</f>
        <v>4242.7633333333333</v>
      </c>
      <c r="O24" s="242">
        <f>$E24*'Ext Equiv'!N353</f>
        <v>4250.3466666666664</v>
      </c>
      <c r="P24" s="242">
        <f>$E24*'Ext Equiv'!O353</f>
        <v>4254.1383333333333</v>
      </c>
      <c r="Q24" s="242">
        <f>$E24*'Ext Equiv'!P353</f>
        <v>4302.833333333333</v>
      </c>
      <c r="R24" s="242">
        <f>$E24*'Ext Equiv'!Q353</f>
        <v>4310.416666666667</v>
      </c>
      <c r="S24" s="242">
        <f>$E24*'Ext Equiv'!R353</f>
        <v>4366.6416666666664</v>
      </c>
      <c r="T24" s="242">
        <f>$E24*'Ext Equiv'!S353</f>
        <v>4366.6416666666664</v>
      </c>
      <c r="U24" s="242">
        <f>$E24*'Ext Equiv'!T353</f>
        <v>4370.4333333333334</v>
      </c>
      <c r="V24" s="242">
        <f>$E24*'Ext Equiv'!U353</f>
        <v>4370.4333333333334</v>
      </c>
      <c r="W24" s="242">
        <f>$E24*'Ext Equiv'!V353</f>
        <v>4370.4333333333334</v>
      </c>
      <c r="X24" s="242">
        <f>$E24*'Ext Equiv'!W353</f>
        <v>4370.4333333333334</v>
      </c>
      <c r="Y24" s="242">
        <f>$E24*'Ext Equiv'!X353</f>
        <v>4661.7133333333331</v>
      </c>
      <c r="Z24" s="242">
        <f>$E24*'Ext Equiv'!Y353</f>
        <v>4661.7133333333331</v>
      </c>
      <c r="AA24" s="242">
        <f>$E24*'Ext Equiv'!Z353</f>
        <v>4661.7133333333331</v>
      </c>
      <c r="AB24" s="242">
        <f>$E24*'Ext Equiv'!AA353</f>
        <v>4661.7133333333331</v>
      </c>
      <c r="AC24" s="242">
        <f>$E24*'Ext Equiv'!AB353</f>
        <v>4931.4333333333334</v>
      </c>
      <c r="AD24" s="242">
        <f>$E24*'Ext Equiv'!AC353</f>
        <v>4931.4333333333334</v>
      </c>
      <c r="AE24" s="242">
        <f>$E24*'Ext Equiv'!AD353</f>
        <v>4931.4333333333334</v>
      </c>
      <c r="AF24" s="242">
        <f>$E24*'Ext Equiv'!AE353</f>
        <v>4931.4333333333334</v>
      </c>
      <c r="AG24" s="242">
        <f>$E24*'Ext Equiv'!AF353</f>
        <v>4931.4333333333334</v>
      </c>
      <c r="AH24" s="242">
        <f>$E24*'Ext Equiv'!AG353</f>
        <v>4931.4333333333334</v>
      </c>
      <c r="AI24" s="242">
        <f>$E24*'Ext Equiv'!AH353</f>
        <v>4931.4333333333334</v>
      </c>
      <c r="AJ24" s="317">
        <f t="shared" si="0"/>
        <v>125743.64666666667</v>
      </c>
    </row>
    <row r="25" spans="2:38" ht="14.4">
      <c r="B25" s="285">
        <v>3806402</v>
      </c>
      <c r="C25" s="316" t="s">
        <v>108</v>
      </c>
      <c r="D25" s="240" t="str">
        <f>VLOOKUP(B25,'Padrão Conserva'!$B$21:$G$75,3,FALSE)</f>
        <v>m²/m²</v>
      </c>
      <c r="E25" s="241">
        <f>VLOOKUP(B25,'Padrão Conserva'!$B$21:$G$75,4,FALSE)</f>
        <v>1.5E-3</v>
      </c>
      <c r="F25" s="214">
        <v>0</v>
      </c>
      <c r="G25" s="242">
        <f>$E25*SUM('Ext Equiv'!F242,'Ext Equiv'!F345)</f>
        <v>2663.0121428571424</v>
      </c>
      <c r="H25" s="242">
        <f>$E25*SUM('Ext Equiv'!G242,'Ext Equiv'!G345)</f>
        <v>2841.9042857142854</v>
      </c>
      <c r="I25" s="242">
        <f>$E25*SUM('Ext Equiv'!H242,'Ext Equiv'!H345)</f>
        <v>3020.7964285714279</v>
      </c>
      <c r="J25" s="242">
        <f>$E25*SUM('Ext Equiv'!I242,'Ext Equiv'!I345)</f>
        <v>3199.6885714285713</v>
      </c>
      <c r="K25" s="242">
        <f>$E25*SUM('Ext Equiv'!J242,'Ext Equiv'!J345)</f>
        <v>3461.4017142857133</v>
      </c>
      <c r="L25" s="242">
        <f>$E25*SUM('Ext Equiv'!K242,'Ext Equiv'!K345)</f>
        <v>3566.0063571428573</v>
      </c>
      <c r="M25" s="242">
        <f>$E25*SUM('Ext Equiv'!L242,'Ext Equiv'!L345)</f>
        <v>3748.3110000000001</v>
      </c>
      <c r="N25" s="242">
        <f>$E25*SUM('Ext Equiv'!M242,'Ext Equiv'!M345)</f>
        <v>3818.4870000000001</v>
      </c>
      <c r="O25" s="242">
        <f>$E25*SUM('Ext Equiv'!N242,'Ext Equiv'!N345)</f>
        <v>3825.3119999999999</v>
      </c>
      <c r="P25" s="242">
        <f>$E25*SUM('Ext Equiv'!O242,'Ext Equiv'!O345)</f>
        <v>3828.7245000000003</v>
      </c>
      <c r="Q25" s="242">
        <f>$E25*SUM('Ext Equiv'!P242,'Ext Equiv'!P345)</f>
        <v>3872.55</v>
      </c>
      <c r="R25" s="242">
        <f>$E25*SUM('Ext Equiv'!Q242,'Ext Equiv'!Q345)</f>
        <v>3879.375</v>
      </c>
      <c r="S25" s="242">
        <f>$E25*SUM('Ext Equiv'!R242,'Ext Equiv'!R345)</f>
        <v>3929.9775</v>
      </c>
      <c r="T25" s="242">
        <f>$E25*SUM('Ext Equiv'!S242,'Ext Equiv'!S345)</f>
        <v>3929.9775</v>
      </c>
      <c r="U25" s="242">
        <f>$E25*SUM('Ext Equiv'!T242,'Ext Equiv'!T345)</f>
        <v>3933.39</v>
      </c>
      <c r="V25" s="242">
        <f>$E25*SUM('Ext Equiv'!U242,'Ext Equiv'!U345)</f>
        <v>3933.39</v>
      </c>
      <c r="W25" s="242">
        <f>$E25*SUM('Ext Equiv'!V242,'Ext Equiv'!V345)</f>
        <v>3933.39</v>
      </c>
      <c r="X25" s="242">
        <f>$E25*SUM('Ext Equiv'!W242,'Ext Equiv'!W345)</f>
        <v>3933.39</v>
      </c>
      <c r="Y25" s="242">
        <f>$E25*SUM('Ext Equiv'!X242,'Ext Equiv'!X345)</f>
        <v>4195.5420000000004</v>
      </c>
      <c r="Z25" s="242">
        <f>$E25*SUM('Ext Equiv'!Y242,'Ext Equiv'!Y345)</f>
        <v>4195.5420000000004</v>
      </c>
      <c r="AA25" s="242">
        <f>$E25*SUM('Ext Equiv'!Z242,'Ext Equiv'!Z345)</f>
        <v>4195.5420000000004</v>
      </c>
      <c r="AB25" s="242">
        <f>$E25*SUM('Ext Equiv'!AA242,'Ext Equiv'!AA345)</f>
        <v>4195.5420000000004</v>
      </c>
      <c r="AC25" s="242">
        <f>$E25*SUM('Ext Equiv'!AB242,'Ext Equiv'!AB345)</f>
        <v>4438.29</v>
      </c>
      <c r="AD25" s="242">
        <f>$E25*SUM('Ext Equiv'!AC242,'Ext Equiv'!AC345)</f>
        <v>4438.29</v>
      </c>
      <c r="AE25" s="242">
        <f>$E25*SUM('Ext Equiv'!AD242,'Ext Equiv'!AD345)</f>
        <v>4438.29</v>
      </c>
      <c r="AF25" s="242">
        <f>$E25*SUM('Ext Equiv'!AE242,'Ext Equiv'!AE345)</f>
        <v>4438.29</v>
      </c>
      <c r="AG25" s="242">
        <f>$E25*SUM('Ext Equiv'!AF242,'Ext Equiv'!AF345)</f>
        <v>4438.29</v>
      </c>
      <c r="AH25" s="242">
        <f>$E25*SUM('Ext Equiv'!AG242,'Ext Equiv'!AG345)</f>
        <v>4438.29</v>
      </c>
      <c r="AI25" s="242">
        <f>$E25*SUM('Ext Equiv'!AH242,'Ext Equiv'!AH345)</f>
        <v>4438.29</v>
      </c>
      <c r="AJ25" s="317">
        <f t="shared" si="0"/>
        <v>113169.28199999996</v>
      </c>
    </row>
    <row r="26" spans="2:38">
      <c r="B26" s="43"/>
      <c r="C26" s="38" t="s">
        <v>109</v>
      </c>
      <c r="D26" s="39"/>
      <c r="E26" s="52"/>
      <c r="F26" s="46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59"/>
    </row>
    <row r="27" spans="2:38" ht="14.4">
      <c r="B27" s="318" t="s">
        <v>110</v>
      </c>
      <c r="C27" s="319" t="s">
        <v>111</v>
      </c>
      <c r="D27" s="240" t="str">
        <f>VLOOKUP(B27,'Padrão Conserva'!$B$21:$G$75,3,FALSE)</f>
        <v>t/m²</v>
      </c>
      <c r="E27" s="241">
        <f>VLOOKUP(B27,'Padrão Conserva'!$B$21:$G$75,4,FALSE)</f>
        <v>8.9999999999999993E-3</v>
      </c>
      <c r="F27" s="214">
        <f>+$E27*F$20</f>
        <v>0</v>
      </c>
      <c r="G27" s="216">
        <f>+$E27*G$20</f>
        <v>1.3315060714285711</v>
      </c>
      <c r="H27" s="216">
        <f t="shared" ref="H27:AI27" si="1">+$E27*H$20</f>
        <v>1.4209521428571426</v>
      </c>
      <c r="I27" s="216">
        <f t="shared" si="1"/>
        <v>1.5103982142857137</v>
      </c>
      <c r="J27" s="216">
        <f t="shared" si="1"/>
        <v>1.5998442857142854</v>
      </c>
      <c r="K27" s="216">
        <f t="shared" si="1"/>
        <v>1.7307008571428566</v>
      </c>
      <c r="L27" s="216">
        <f t="shared" si="1"/>
        <v>1.7830031785714284</v>
      </c>
      <c r="M27" s="216">
        <f t="shared" si="1"/>
        <v>1.8741555000000001</v>
      </c>
      <c r="N27" s="216">
        <f t="shared" si="1"/>
        <v>1.9092434999999999</v>
      </c>
      <c r="O27" s="216">
        <f t="shared" si="1"/>
        <v>1.9126559999999999</v>
      </c>
      <c r="P27" s="216">
        <f t="shared" si="1"/>
        <v>1.9143622499999999</v>
      </c>
      <c r="Q27" s="216">
        <f t="shared" si="1"/>
        <v>1.9362749999999997</v>
      </c>
      <c r="R27" s="216">
        <f t="shared" si="1"/>
        <v>1.9396875</v>
      </c>
      <c r="S27" s="216">
        <f t="shared" si="1"/>
        <v>1.9649887499999998</v>
      </c>
      <c r="T27" s="216">
        <f t="shared" si="1"/>
        <v>1.9649887499999998</v>
      </c>
      <c r="U27" s="216">
        <f t="shared" si="1"/>
        <v>1.9666949999999999</v>
      </c>
      <c r="V27" s="216">
        <f t="shared" si="1"/>
        <v>1.9666949999999999</v>
      </c>
      <c r="W27" s="216">
        <f t="shared" si="1"/>
        <v>1.9666949999999999</v>
      </c>
      <c r="X27" s="216">
        <f t="shared" si="1"/>
        <v>1.9666949999999999</v>
      </c>
      <c r="Y27" s="216">
        <f t="shared" si="1"/>
        <v>2.0977709999999998</v>
      </c>
      <c r="Z27" s="216">
        <f t="shared" si="1"/>
        <v>2.0977709999999998</v>
      </c>
      <c r="AA27" s="216">
        <f t="shared" si="1"/>
        <v>2.0977709999999998</v>
      </c>
      <c r="AB27" s="216">
        <f t="shared" si="1"/>
        <v>2.0977709999999998</v>
      </c>
      <c r="AC27" s="216">
        <f t="shared" si="1"/>
        <v>2.2191449999999997</v>
      </c>
      <c r="AD27" s="216">
        <f t="shared" si="1"/>
        <v>2.2191449999999997</v>
      </c>
      <c r="AE27" s="216">
        <f t="shared" si="1"/>
        <v>2.2191449999999997</v>
      </c>
      <c r="AF27" s="216">
        <f t="shared" si="1"/>
        <v>2.2191449999999997</v>
      </c>
      <c r="AG27" s="216">
        <f t="shared" si="1"/>
        <v>2.2191449999999997</v>
      </c>
      <c r="AH27" s="216">
        <f t="shared" si="1"/>
        <v>2.2191449999999997</v>
      </c>
      <c r="AI27" s="216">
        <f t="shared" si="1"/>
        <v>2.2191449999999997</v>
      </c>
      <c r="AJ27" s="317">
        <f>SUM(F27:AI27)</f>
        <v>56.584640999999991</v>
      </c>
    </row>
    <row r="28" spans="2:38" ht="14.4">
      <c r="B28" s="318" t="s">
        <v>112</v>
      </c>
      <c r="C28" s="319" t="s">
        <v>111</v>
      </c>
      <c r="D28" s="240" t="str">
        <f>VLOOKUP(B28,'Padrão Conserva'!$B$21:$G$75,3,FALSE)</f>
        <v>t/m²</v>
      </c>
      <c r="E28" s="241">
        <f>VLOOKUP(B28,'Padrão Conserva'!$B$21:$G$75,4,FALSE)</f>
        <v>4.4999999999999999E-4</v>
      </c>
      <c r="F28" s="214">
        <f>+$E28*F$22</f>
        <v>0</v>
      </c>
      <c r="G28" s="216">
        <f>+$E28*G$22</f>
        <v>4.6602712499999992</v>
      </c>
      <c r="H28" s="216">
        <f t="shared" ref="H28:AI28" si="2">+$E28*H$22</f>
        <v>4.9733324999999988</v>
      </c>
      <c r="I28" s="216">
        <f t="shared" si="2"/>
        <v>5.2863937499999976</v>
      </c>
      <c r="J28" s="216">
        <f t="shared" si="2"/>
        <v>5.599454999999999</v>
      </c>
      <c r="K28" s="216">
        <f t="shared" si="2"/>
        <v>6.0574529999999989</v>
      </c>
      <c r="L28" s="216">
        <f t="shared" si="2"/>
        <v>6.2405111249999994</v>
      </c>
      <c r="M28" s="216">
        <f t="shared" si="2"/>
        <v>6.5595442500000001</v>
      </c>
      <c r="N28" s="216">
        <f t="shared" si="2"/>
        <v>6.6823522500000001</v>
      </c>
      <c r="O28" s="216">
        <f t="shared" si="2"/>
        <v>6.6942959999999996</v>
      </c>
      <c r="P28" s="216">
        <f t="shared" si="2"/>
        <v>6.7002678749999998</v>
      </c>
      <c r="Q28" s="216">
        <f t="shared" si="2"/>
        <v>6.7769624999999998</v>
      </c>
      <c r="R28" s="216">
        <f t="shared" si="2"/>
        <v>6.7889062500000001</v>
      </c>
      <c r="S28" s="216">
        <f t="shared" si="2"/>
        <v>6.8774606250000003</v>
      </c>
      <c r="T28" s="216">
        <f t="shared" si="2"/>
        <v>6.8774606250000003</v>
      </c>
      <c r="U28" s="216">
        <f t="shared" si="2"/>
        <v>6.8834324999999996</v>
      </c>
      <c r="V28" s="216">
        <f t="shared" si="2"/>
        <v>6.8834324999999996</v>
      </c>
      <c r="W28" s="216">
        <f t="shared" si="2"/>
        <v>6.8834324999999996</v>
      </c>
      <c r="X28" s="216">
        <f t="shared" si="2"/>
        <v>6.8834324999999996</v>
      </c>
      <c r="Y28" s="216">
        <f t="shared" si="2"/>
        <v>7.3421984999999994</v>
      </c>
      <c r="Z28" s="216">
        <f t="shared" si="2"/>
        <v>7.3421984999999994</v>
      </c>
      <c r="AA28" s="216">
        <f t="shared" si="2"/>
        <v>7.3421984999999994</v>
      </c>
      <c r="AB28" s="216">
        <f t="shared" si="2"/>
        <v>7.3421984999999994</v>
      </c>
      <c r="AC28" s="216">
        <f t="shared" si="2"/>
        <v>7.7670075000000001</v>
      </c>
      <c r="AD28" s="216">
        <f t="shared" si="2"/>
        <v>7.7670075000000001</v>
      </c>
      <c r="AE28" s="216">
        <f t="shared" si="2"/>
        <v>7.7670075000000001</v>
      </c>
      <c r="AF28" s="216">
        <f t="shared" si="2"/>
        <v>7.7670075000000001</v>
      </c>
      <c r="AG28" s="216">
        <f t="shared" si="2"/>
        <v>7.7670075000000001</v>
      </c>
      <c r="AH28" s="216">
        <f t="shared" si="2"/>
        <v>7.7670075000000001</v>
      </c>
      <c r="AI28" s="216">
        <f t="shared" si="2"/>
        <v>7.7670075000000001</v>
      </c>
      <c r="AJ28" s="317">
        <f>SUM(F28:AI28)</f>
        <v>198.0462435</v>
      </c>
    </row>
    <row r="29" spans="2:38" ht="14.4">
      <c r="B29" s="318" t="s">
        <v>113</v>
      </c>
      <c r="C29" s="319" t="s">
        <v>114</v>
      </c>
      <c r="D29" s="240" t="str">
        <f>VLOOKUP(B29,'Padrão Conserva'!$B$21:$G$75,3,FALSE)</f>
        <v>t/m³</v>
      </c>
      <c r="E29" s="241">
        <f>VLOOKUP(B29,'Padrão Conserva'!$B$21:$G$75,4,FALSE)</f>
        <v>2.6872750000000001E-2</v>
      </c>
      <c r="F29" s="214">
        <f>+$E29*F$20</f>
        <v>0</v>
      </c>
      <c r="G29" s="216">
        <f>+$E29*G$20</f>
        <v>3.9756921978869042</v>
      </c>
      <c r="H29" s="216">
        <f t="shared" ref="H29:AI29" si="3">+$E29*H$20</f>
        <v>4.2427657441071425</v>
      </c>
      <c r="I29" s="216">
        <f t="shared" si="3"/>
        <v>4.5098392903273794</v>
      </c>
      <c r="J29" s="216">
        <f t="shared" si="3"/>
        <v>4.776912836547619</v>
      </c>
      <c r="K29" s="216">
        <f t="shared" si="3"/>
        <v>5.1676323843095231</v>
      </c>
      <c r="L29" s="216">
        <f t="shared" si="3"/>
        <v>5.3237998518839289</v>
      </c>
      <c r="M29" s="216">
        <f t="shared" si="3"/>
        <v>5.5959680236250007</v>
      </c>
      <c r="N29" s="216">
        <f t="shared" si="3"/>
        <v>5.7007359182916675</v>
      </c>
      <c r="O29" s="216">
        <f t="shared" si="3"/>
        <v>5.7109251693333336</v>
      </c>
      <c r="P29" s="216">
        <f t="shared" si="3"/>
        <v>5.7160197948541667</v>
      </c>
      <c r="Q29" s="216">
        <f t="shared" si="3"/>
        <v>5.7814482229166666</v>
      </c>
      <c r="R29" s="216">
        <f t="shared" si="3"/>
        <v>5.7916374739583336</v>
      </c>
      <c r="S29" s="216">
        <f t="shared" si="3"/>
        <v>5.8671834923958341</v>
      </c>
      <c r="T29" s="216">
        <f t="shared" si="3"/>
        <v>5.8671834923958341</v>
      </c>
      <c r="U29" s="216">
        <f t="shared" si="3"/>
        <v>5.8722781179166672</v>
      </c>
      <c r="V29" s="216">
        <f t="shared" si="3"/>
        <v>5.8722781179166672</v>
      </c>
      <c r="W29" s="216">
        <f t="shared" si="3"/>
        <v>5.8722781179166672</v>
      </c>
      <c r="X29" s="216">
        <f t="shared" si="3"/>
        <v>5.8722781179166672</v>
      </c>
      <c r="Y29" s="216">
        <f t="shared" si="3"/>
        <v>6.2636528489166672</v>
      </c>
      <c r="Z29" s="216">
        <f t="shared" si="3"/>
        <v>6.2636528489166672</v>
      </c>
      <c r="AA29" s="216">
        <f t="shared" si="3"/>
        <v>6.2636528489166672</v>
      </c>
      <c r="AB29" s="216">
        <f t="shared" si="3"/>
        <v>6.2636528489166672</v>
      </c>
      <c r="AC29" s="216">
        <f t="shared" si="3"/>
        <v>6.6260587554166666</v>
      </c>
      <c r="AD29" s="216">
        <f t="shared" si="3"/>
        <v>6.6260587554166666</v>
      </c>
      <c r="AE29" s="216">
        <f t="shared" si="3"/>
        <v>6.6260587554166666</v>
      </c>
      <c r="AF29" s="216">
        <f t="shared" si="3"/>
        <v>6.6260587554166666</v>
      </c>
      <c r="AG29" s="216">
        <f t="shared" si="3"/>
        <v>6.6260587554166666</v>
      </c>
      <c r="AH29" s="216">
        <f t="shared" si="3"/>
        <v>6.6260587554166666</v>
      </c>
      <c r="AI29" s="216">
        <f t="shared" si="3"/>
        <v>6.6260587554166666</v>
      </c>
      <c r="AJ29" s="317">
        <f>SUM(F29:AI29)</f>
        <v>168.95387904808331</v>
      </c>
    </row>
    <row r="30" spans="2:38" ht="14.4">
      <c r="B30" s="318" t="s">
        <v>115</v>
      </c>
      <c r="C30" s="319" t="s">
        <v>116</v>
      </c>
      <c r="D30" s="240" t="str">
        <f>VLOOKUP(B30,'Padrão Conserva'!$B$21:$G$75,3,FALSE)</f>
        <v>t/m³</v>
      </c>
      <c r="E30" s="241">
        <f>VLOOKUP(B30,'Padrão Conserva'!$B$21:$G$75,4,FALSE)</f>
        <v>5.9996399999999998E-2</v>
      </c>
      <c r="F30" s="214">
        <f>+$E30*F$23</f>
        <v>0</v>
      </c>
      <c r="G30" s="216">
        <f>+$E30*G$23</f>
        <v>44.735919683759988</v>
      </c>
      <c r="H30" s="216">
        <f t="shared" ref="H30:AI30" si="4">+$E30*H$23</f>
        <v>47.741127360479993</v>
      </c>
      <c r="I30" s="216">
        <f t="shared" si="4"/>
        <v>50.746335037199984</v>
      </c>
      <c r="J30" s="216">
        <f t="shared" si="4"/>
        <v>53.751542713919996</v>
      </c>
      <c r="K30" s="216">
        <f t="shared" si="4"/>
        <v>58.148059707071987</v>
      </c>
      <c r="L30" s="216">
        <f t="shared" si="4"/>
        <v>59.905312265591995</v>
      </c>
      <c r="M30" s="216">
        <f t="shared" si="4"/>
        <v>62.967846502512003</v>
      </c>
      <c r="N30" s="216">
        <f t="shared" si="4"/>
        <v>64.146732565104003</v>
      </c>
      <c r="O30" s="216">
        <f t="shared" si="4"/>
        <v>64.261385685503996</v>
      </c>
      <c r="P30" s="216">
        <f t="shared" si="4"/>
        <v>64.318712245704006</v>
      </c>
      <c r="Q30" s="216">
        <f t="shared" si="4"/>
        <v>65.054936469599994</v>
      </c>
      <c r="R30" s="216">
        <f t="shared" si="4"/>
        <v>65.169589590000001</v>
      </c>
      <c r="S30" s="216">
        <f t="shared" si="4"/>
        <v>66.019660582680004</v>
      </c>
      <c r="T30" s="216">
        <f t="shared" si="4"/>
        <v>66.019660582680004</v>
      </c>
      <c r="U30" s="216">
        <f t="shared" si="4"/>
        <v>66.07698714288</v>
      </c>
      <c r="V30" s="216">
        <f t="shared" si="4"/>
        <v>66.07698714288</v>
      </c>
      <c r="W30" s="216">
        <f t="shared" si="4"/>
        <v>66.07698714288</v>
      </c>
      <c r="X30" s="216">
        <f t="shared" si="4"/>
        <v>66.07698714288</v>
      </c>
      <c r="Y30" s="216">
        <f t="shared" si="4"/>
        <v>70.480876493663999</v>
      </c>
      <c r="Z30" s="216">
        <f t="shared" si="4"/>
        <v>70.480876493663999</v>
      </c>
      <c r="AA30" s="216">
        <f t="shared" si="4"/>
        <v>70.480876493663999</v>
      </c>
      <c r="AB30" s="216">
        <f t="shared" si="4"/>
        <v>70.480876493663999</v>
      </c>
      <c r="AC30" s="216">
        <f t="shared" si="4"/>
        <v>74.558798203679999</v>
      </c>
      <c r="AD30" s="216">
        <f t="shared" si="4"/>
        <v>74.558798203679999</v>
      </c>
      <c r="AE30" s="216">
        <f t="shared" si="4"/>
        <v>74.558798203679999</v>
      </c>
      <c r="AF30" s="216">
        <f t="shared" si="4"/>
        <v>74.558798203679999</v>
      </c>
      <c r="AG30" s="216">
        <f t="shared" si="4"/>
        <v>74.558798203679999</v>
      </c>
      <c r="AH30" s="216">
        <f t="shared" si="4"/>
        <v>74.558798203679999</v>
      </c>
      <c r="AI30" s="216">
        <f t="shared" si="4"/>
        <v>74.558798203679999</v>
      </c>
      <c r="AJ30" s="317">
        <f>SUM(F30:AI30)</f>
        <v>1901.1298629637438</v>
      </c>
    </row>
    <row r="31" spans="2:38">
      <c r="B31" s="205"/>
      <c r="C31" s="206" t="s">
        <v>117</v>
      </c>
      <c r="D31" s="205"/>
      <c r="E31" s="239"/>
      <c r="F31" s="243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5"/>
    </row>
    <row r="32" spans="2:38">
      <c r="B32" s="43"/>
      <c r="C32" s="38" t="s">
        <v>118</v>
      </c>
      <c r="D32" s="43"/>
      <c r="E32" s="46"/>
      <c r="F32" s="4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59"/>
    </row>
    <row r="33" spans="2:38" ht="28.8">
      <c r="B33" s="318" t="s">
        <v>119</v>
      </c>
      <c r="C33" s="320" t="s">
        <v>120</v>
      </c>
      <c r="D33" s="240" t="str">
        <f>VLOOKUP(B33,'Padrão Conserva'!$B$21:$G$75,3,FALSE)</f>
        <v>m²/km eq.</v>
      </c>
      <c r="E33" s="241">
        <f>VLOOKUP(B33,'Padrão Conserva'!$B$21:$G$75,4,FALSE)</f>
        <v>19</v>
      </c>
      <c r="F33" s="214">
        <v>0</v>
      </c>
      <c r="G33" s="216">
        <f>$E33*'Ext Equiv'!F353</f>
        <v>2810.9572619047613</v>
      </c>
      <c r="H33" s="216">
        <f>$E33*'Ext Equiv'!G353</f>
        <v>2999.7878571428564</v>
      </c>
      <c r="I33" s="216">
        <f>$E33*'Ext Equiv'!H353</f>
        <v>3188.6184523809516</v>
      </c>
      <c r="J33" s="216">
        <f>$E33*'Ext Equiv'!I353</f>
        <v>3377.4490476190472</v>
      </c>
      <c r="K33" s="216">
        <f>$E33*'Ext Equiv'!J353</f>
        <v>3653.7018095238086</v>
      </c>
      <c r="L33" s="216">
        <f>$E33*'Ext Equiv'!K353</f>
        <v>3764.1178214285715</v>
      </c>
      <c r="M33" s="216">
        <f>$E33*'Ext Equiv'!L353</f>
        <v>3956.5505000000003</v>
      </c>
      <c r="N33" s="216">
        <f>$E33*'Ext Equiv'!M353</f>
        <v>4030.6251666666667</v>
      </c>
      <c r="O33" s="216">
        <f>$E33*'Ext Equiv'!N353</f>
        <v>4037.8293333333336</v>
      </c>
      <c r="P33" s="216">
        <f>$E33*'Ext Equiv'!O353</f>
        <v>4041.4314166666668</v>
      </c>
      <c r="Q33" s="216">
        <f>$E33*'Ext Equiv'!P353</f>
        <v>4087.6916666666666</v>
      </c>
      <c r="R33" s="216">
        <f>$E33*'Ext Equiv'!Q353</f>
        <v>4094.8958333333335</v>
      </c>
      <c r="S33" s="216">
        <f>$E33*'Ext Equiv'!R353</f>
        <v>4148.3095833333336</v>
      </c>
      <c r="T33" s="216">
        <f>$E33*'Ext Equiv'!S353</f>
        <v>4148.3095833333336</v>
      </c>
      <c r="U33" s="216">
        <f>$E33*'Ext Equiv'!T353</f>
        <v>4151.9116666666669</v>
      </c>
      <c r="V33" s="216">
        <f>$E33*'Ext Equiv'!U353</f>
        <v>4151.9116666666669</v>
      </c>
      <c r="W33" s="216">
        <f>$E33*'Ext Equiv'!V353</f>
        <v>4151.9116666666669</v>
      </c>
      <c r="X33" s="216">
        <f>$E33*'Ext Equiv'!W353</f>
        <v>4151.9116666666669</v>
      </c>
      <c r="Y33" s="216">
        <f>$E33*'Ext Equiv'!X353</f>
        <v>4428.6276666666663</v>
      </c>
      <c r="Z33" s="216">
        <f>$E33*'Ext Equiv'!Y353</f>
        <v>4428.6276666666663</v>
      </c>
      <c r="AA33" s="216">
        <f>$E33*'Ext Equiv'!Z353</f>
        <v>4428.6276666666663</v>
      </c>
      <c r="AB33" s="216">
        <f>$E33*'Ext Equiv'!AA353</f>
        <v>4428.6276666666663</v>
      </c>
      <c r="AC33" s="216">
        <f>$E33*'Ext Equiv'!AB353</f>
        <v>4684.8616666666667</v>
      </c>
      <c r="AD33" s="216">
        <f>$E33*'Ext Equiv'!AC353</f>
        <v>4684.8616666666667</v>
      </c>
      <c r="AE33" s="216">
        <f>$E33*'Ext Equiv'!AD353</f>
        <v>4684.8616666666667</v>
      </c>
      <c r="AF33" s="216">
        <f>$E33*'Ext Equiv'!AE353</f>
        <v>4684.8616666666667</v>
      </c>
      <c r="AG33" s="216">
        <f>$E33*'Ext Equiv'!AF353</f>
        <v>4684.8616666666667</v>
      </c>
      <c r="AH33" s="216">
        <f>$E33*'Ext Equiv'!AG353</f>
        <v>4684.8616666666667</v>
      </c>
      <c r="AI33" s="216">
        <f>$E33*'Ext Equiv'!AH353</f>
        <v>4684.8616666666667</v>
      </c>
      <c r="AJ33" s="317">
        <f>SUM(F33:AI33)</f>
        <v>119456.46433333332</v>
      </c>
    </row>
    <row r="34" spans="2:38" ht="28.8">
      <c r="B34" s="318" t="s">
        <v>121</v>
      </c>
      <c r="C34" s="320" t="s">
        <v>122</v>
      </c>
      <c r="D34" s="240" t="str">
        <f>VLOOKUP(B34,'Padrão Conserva'!$B$21:$G$75,3,FALSE)</f>
        <v>ud/km eq.</v>
      </c>
      <c r="E34" s="241">
        <f>VLOOKUP(B34,'Padrão Conserva'!$B$21:$G$75,4,FALSE)</f>
        <v>12.5</v>
      </c>
      <c r="F34" s="214">
        <v>0</v>
      </c>
      <c r="G34" s="216">
        <f>$E34*'Ext Equiv'!F353</f>
        <v>1849.3139880952376</v>
      </c>
      <c r="H34" s="216">
        <f>$E34*'Ext Equiv'!G353</f>
        <v>1973.5446428571424</v>
      </c>
      <c r="I34" s="216">
        <f>$E34*'Ext Equiv'!H353</f>
        <v>2097.7752976190468</v>
      </c>
      <c r="J34" s="216">
        <f>$E34*'Ext Equiv'!I353</f>
        <v>2222.0059523809523</v>
      </c>
      <c r="K34" s="216">
        <f>$E34*'Ext Equiv'!J353</f>
        <v>2403.75119047619</v>
      </c>
      <c r="L34" s="216">
        <f>$E34*'Ext Equiv'!K353</f>
        <v>2476.3933035714285</v>
      </c>
      <c r="M34" s="216">
        <f>$E34*'Ext Equiv'!L353</f>
        <v>2602.9937500000001</v>
      </c>
      <c r="N34" s="216">
        <f>$E34*'Ext Equiv'!M353</f>
        <v>2651.7270833333337</v>
      </c>
      <c r="O34" s="216">
        <f>$E34*'Ext Equiv'!N353</f>
        <v>2656.4666666666667</v>
      </c>
      <c r="P34" s="216">
        <f>$E34*'Ext Equiv'!O353</f>
        <v>2658.8364583333332</v>
      </c>
      <c r="Q34" s="216">
        <f>$E34*'Ext Equiv'!P353</f>
        <v>2689.270833333333</v>
      </c>
      <c r="R34" s="216">
        <f>$E34*'Ext Equiv'!Q353</f>
        <v>2694.010416666667</v>
      </c>
      <c r="S34" s="216">
        <f>$E34*'Ext Equiv'!R353</f>
        <v>2729.151041666667</v>
      </c>
      <c r="T34" s="216">
        <f>$E34*'Ext Equiv'!S353</f>
        <v>2729.151041666667</v>
      </c>
      <c r="U34" s="216">
        <f>$E34*'Ext Equiv'!T353</f>
        <v>2731.5208333333335</v>
      </c>
      <c r="V34" s="216">
        <f>$E34*'Ext Equiv'!U353</f>
        <v>2731.5208333333335</v>
      </c>
      <c r="W34" s="216">
        <f>$E34*'Ext Equiv'!V353</f>
        <v>2731.5208333333335</v>
      </c>
      <c r="X34" s="216">
        <f>$E34*'Ext Equiv'!W353</f>
        <v>2731.5208333333335</v>
      </c>
      <c r="Y34" s="216">
        <f>$E34*'Ext Equiv'!X353</f>
        <v>2913.5708333333332</v>
      </c>
      <c r="Z34" s="216">
        <f>$E34*'Ext Equiv'!Y353</f>
        <v>2913.5708333333332</v>
      </c>
      <c r="AA34" s="216">
        <f>$E34*'Ext Equiv'!Z353</f>
        <v>2913.5708333333332</v>
      </c>
      <c r="AB34" s="216">
        <f>$E34*'Ext Equiv'!AA353</f>
        <v>2913.5708333333332</v>
      </c>
      <c r="AC34" s="216">
        <f>$E34*'Ext Equiv'!AB353</f>
        <v>3082.145833333333</v>
      </c>
      <c r="AD34" s="216">
        <f>$E34*'Ext Equiv'!AC353</f>
        <v>3082.145833333333</v>
      </c>
      <c r="AE34" s="216">
        <f>$E34*'Ext Equiv'!AD353</f>
        <v>3082.145833333333</v>
      </c>
      <c r="AF34" s="216">
        <f>$E34*'Ext Equiv'!AE353</f>
        <v>3082.145833333333</v>
      </c>
      <c r="AG34" s="216">
        <f>$E34*'Ext Equiv'!AF353</f>
        <v>3082.145833333333</v>
      </c>
      <c r="AH34" s="216">
        <f>$E34*'Ext Equiv'!AG353</f>
        <v>3082.145833333333</v>
      </c>
      <c r="AI34" s="216">
        <f>$E34*'Ext Equiv'!AH353</f>
        <v>3082.145833333333</v>
      </c>
      <c r="AJ34" s="317">
        <f>SUM(F34:AI34)</f>
        <v>78589.77916666666</v>
      </c>
    </row>
    <row r="35" spans="2:38" ht="28.8">
      <c r="B35" s="318" t="s">
        <v>124</v>
      </c>
      <c r="C35" s="320" t="s">
        <v>125</v>
      </c>
      <c r="D35" s="240" t="str">
        <f>VLOOKUP(B35,'Padrão Conserva'!$B$21:$G$75,3,FALSE)</f>
        <v>ud/km eq.</v>
      </c>
      <c r="E35" s="241">
        <f>VLOOKUP(B35,'Padrão Conserva'!$B$21:$G$75,4,FALSE)</f>
        <v>1</v>
      </c>
      <c r="F35" s="214">
        <v>0</v>
      </c>
      <c r="G35" s="216">
        <f>$E35*'Ext Equiv'!F353</f>
        <v>147.94511904761902</v>
      </c>
      <c r="H35" s="216">
        <f>$E35*'Ext Equiv'!G353</f>
        <v>157.8835714285714</v>
      </c>
      <c r="I35" s="216">
        <f>$E35*'Ext Equiv'!H353</f>
        <v>167.82202380952376</v>
      </c>
      <c r="J35" s="216">
        <f>$E35*'Ext Equiv'!I353</f>
        <v>177.76047619047617</v>
      </c>
      <c r="K35" s="216">
        <f>$E35*'Ext Equiv'!J353</f>
        <v>192.3000952380952</v>
      </c>
      <c r="L35" s="216">
        <f>$E35*'Ext Equiv'!K353</f>
        <v>198.11146428571428</v>
      </c>
      <c r="M35" s="216">
        <f>$E35*'Ext Equiv'!L353</f>
        <v>208.23950000000002</v>
      </c>
      <c r="N35" s="216">
        <f>$E35*'Ext Equiv'!M353</f>
        <v>212.13816666666668</v>
      </c>
      <c r="O35" s="216">
        <f>$E35*'Ext Equiv'!N353</f>
        <v>212.51733333333334</v>
      </c>
      <c r="P35" s="216">
        <f>$E35*'Ext Equiv'!O353</f>
        <v>212.70691666666667</v>
      </c>
      <c r="Q35" s="216">
        <f>$E35*'Ext Equiv'!P353</f>
        <v>215.14166666666665</v>
      </c>
      <c r="R35" s="216">
        <f>$E35*'Ext Equiv'!Q353</f>
        <v>215.52083333333334</v>
      </c>
      <c r="S35" s="216">
        <f>$E35*'Ext Equiv'!R353</f>
        <v>218.33208333333334</v>
      </c>
      <c r="T35" s="216">
        <f>$E35*'Ext Equiv'!S353</f>
        <v>218.33208333333334</v>
      </c>
      <c r="U35" s="216">
        <f>$E35*'Ext Equiv'!T353</f>
        <v>218.52166666666668</v>
      </c>
      <c r="V35" s="216">
        <f>$E35*'Ext Equiv'!U353</f>
        <v>218.52166666666668</v>
      </c>
      <c r="W35" s="216">
        <f>$E35*'Ext Equiv'!V353</f>
        <v>218.52166666666668</v>
      </c>
      <c r="X35" s="216">
        <f>$E35*'Ext Equiv'!W353</f>
        <v>218.52166666666668</v>
      </c>
      <c r="Y35" s="216">
        <f>$E35*'Ext Equiv'!X353</f>
        <v>233.08566666666667</v>
      </c>
      <c r="Z35" s="216">
        <f>$E35*'Ext Equiv'!Y353</f>
        <v>233.08566666666667</v>
      </c>
      <c r="AA35" s="216">
        <f>$E35*'Ext Equiv'!Z353</f>
        <v>233.08566666666667</v>
      </c>
      <c r="AB35" s="216">
        <f>$E35*'Ext Equiv'!AA353</f>
        <v>233.08566666666667</v>
      </c>
      <c r="AC35" s="216">
        <f>$E35*'Ext Equiv'!AB353</f>
        <v>246.57166666666666</v>
      </c>
      <c r="AD35" s="216">
        <f>$E35*'Ext Equiv'!AC353</f>
        <v>246.57166666666666</v>
      </c>
      <c r="AE35" s="216">
        <f>$E35*'Ext Equiv'!AD353</f>
        <v>246.57166666666666</v>
      </c>
      <c r="AF35" s="216">
        <f>$E35*'Ext Equiv'!AE353</f>
        <v>246.57166666666666</v>
      </c>
      <c r="AG35" s="216">
        <f>$E35*'Ext Equiv'!AF353</f>
        <v>246.57166666666666</v>
      </c>
      <c r="AH35" s="216">
        <f>$E35*'Ext Equiv'!AG353</f>
        <v>246.57166666666666</v>
      </c>
      <c r="AI35" s="216">
        <f>$E35*'Ext Equiv'!AH353</f>
        <v>246.57166666666666</v>
      </c>
      <c r="AJ35" s="317">
        <f>SUM(F35:AI35)</f>
        <v>6287.1823333333332</v>
      </c>
      <c r="AL35" s="54"/>
    </row>
    <row r="36" spans="2:38" ht="14.4">
      <c r="B36" s="318" t="s">
        <v>126</v>
      </c>
      <c r="C36" s="320" t="s">
        <v>127</v>
      </c>
      <c r="D36" s="240" t="str">
        <f>VLOOKUP(B36,'Padrão Conserva'!$B$21:$G$75,3,FALSE)</f>
        <v>ud/km eq.</v>
      </c>
      <c r="E36" s="241">
        <f>VLOOKUP(B36,'Padrão Conserva'!$B$21:$G$75,4,FALSE)</f>
        <v>2.2000000000000002</v>
      </c>
      <c r="F36" s="214">
        <v>0</v>
      </c>
      <c r="G36" s="216">
        <f>$E36*'Ext Equiv'!F353</f>
        <v>325.47926190476187</v>
      </c>
      <c r="H36" s="216">
        <f>$E36*'Ext Equiv'!G353</f>
        <v>347.34385714285713</v>
      </c>
      <c r="I36" s="216">
        <f>$E36*'Ext Equiv'!H353</f>
        <v>369.20845238095228</v>
      </c>
      <c r="J36" s="216">
        <f>$E36*'Ext Equiv'!I353</f>
        <v>391.0730476190476</v>
      </c>
      <c r="K36" s="216">
        <f>$E36*'Ext Equiv'!J353</f>
        <v>423.06020952380948</v>
      </c>
      <c r="L36" s="216">
        <f>$E36*'Ext Equiv'!K353</f>
        <v>435.84522142857145</v>
      </c>
      <c r="M36" s="216">
        <f>$E36*'Ext Equiv'!L353</f>
        <v>458.12690000000009</v>
      </c>
      <c r="N36" s="216">
        <f>$E36*'Ext Equiv'!M353</f>
        <v>466.7039666666667</v>
      </c>
      <c r="O36" s="216">
        <f>$E36*'Ext Equiv'!N353</f>
        <v>467.53813333333341</v>
      </c>
      <c r="P36" s="216">
        <f>$E36*'Ext Equiv'!O353</f>
        <v>467.95521666666673</v>
      </c>
      <c r="Q36" s="216">
        <f>$E36*'Ext Equiv'!P353</f>
        <v>473.31166666666667</v>
      </c>
      <c r="R36" s="216">
        <f>$E36*'Ext Equiv'!Q353</f>
        <v>474.14583333333337</v>
      </c>
      <c r="S36" s="216">
        <f>$E36*'Ext Equiv'!R353</f>
        <v>480.33058333333338</v>
      </c>
      <c r="T36" s="216">
        <f>$E36*'Ext Equiv'!S353</f>
        <v>480.33058333333338</v>
      </c>
      <c r="U36" s="216">
        <f>$E36*'Ext Equiv'!T353</f>
        <v>480.7476666666667</v>
      </c>
      <c r="V36" s="216">
        <f>$E36*'Ext Equiv'!U353</f>
        <v>480.7476666666667</v>
      </c>
      <c r="W36" s="216">
        <f>$E36*'Ext Equiv'!V353</f>
        <v>480.7476666666667</v>
      </c>
      <c r="X36" s="216">
        <f>$E36*'Ext Equiv'!W353</f>
        <v>480.7476666666667</v>
      </c>
      <c r="Y36" s="216">
        <f>$E36*'Ext Equiv'!X353</f>
        <v>512.78846666666675</v>
      </c>
      <c r="Z36" s="216">
        <f>$E36*'Ext Equiv'!Y353</f>
        <v>512.78846666666675</v>
      </c>
      <c r="AA36" s="216">
        <f>$E36*'Ext Equiv'!Z353</f>
        <v>512.78846666666675</v>
      </c>
      <c r="AB36" s="216">
        <f>$E36*'Ext Equiv'!AA353</f>
        <v>512.78846666666675</v>
      </c>
      <c r="AC36" s="216">
        <f>$E36*'Ext Equiv'!AB353</f>
        <v>542.45766666666668</v>
      </c>
      <c r="AD36" s="216">
        <f>$E36*'Ext Equiv'!AC353</f>
        <v>542.45766666666668</v>
      </c>
      <c r="AE36" s="216">
        <f>$E36*'Ext Equiv'!AD353</f>
        <v>542.45766666666668</v>
      </c>
      <c r="AF36" s="216">
        <f>$E36*'Ext Equiv'!AE353</f>
        <v>542.45766666666668</v>
      </c>
      <c r="AG36" s="216">
        <f>$E36*'Ext Equiv'!AF353</f>
        <v>542.45766666666668</v>
      </c>
      <c r="AH36" s="216">
        <f>$E36*'Ext Equiv'!AG353</f>
        <v>542.45766666666668</v>
      </c>
      <c r="AI36" s="216">
        <f>$E36*'Ext Equiv'!AH353</f>
        <v>542.45766666666668</v>
      </c>
      <c r="AJ36" s="317">
        <f>SUM(F36:AI36)</f>
        <v>13831.801133333338</v>
      </c>
    </row>
    <row r="37" spans="2:38">
      <c r="B37" s="43"/>
      <c r="C37" s="38" t="s">
        <v>128</v>
      </c>
      <c r="D37" s="43"/>
      <c r="E37" s="50"/>
      <c r="F37" s="46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59"/>
    </row>
    <row r="38" spans="2:38" ht="14.4">
      <c r="B38" s="318" t="s">
        <v>129</v>
      </c>
      <c r="C38" s="319" t="s">
        <v>130</v>
      </c>
      <c r="D38" s="240" t="str">
        <f>VLOOKUP(B38,'Padrão Conserva'!$B$21:$G$75,3,FALSE)</f>
        <v>m²/km eq.</v>
      </c>
      <c r="E38" s="241">
        <f>VLOOKUP(B38,'Padrão Conserva'!$B$21:$G$75,4,FALSE)</f>
        <v>2</v>
      </c>
      <c r="F38" s="214">
        <v>0</v>
      </c>
      <c r="G38" s="216">
        <f>'Ext Equiv'!F353*$E38</f>
        <v>295.89023809523803</v>
      </c>
      <c r="H38" s="216">
        <f>'Ext Equiv'!G353*$E38</f>
        <v>315.7671428571428</v>
      </c>
      <c r="I38" s="216">
        <f>'Ext Equiv'!H353*$E38</f>
        <v>335.64404761904751</v>
      </c>
      <c r="J38" s="216">
        <f>'Ext Equiv'!I353*$E38</f>
        <v>355.52095238095234</v>
      </c>
      <c r="K38" s="216">
        <f>'Ext Equiv'!J353*$E38</f>
        <v>384.60019047619039</v>
      </c>
      <c r="L38" s="216">
        <f>'Ext Equiv'!K353*$E38</f>
        <v>396.22292857142855</v>
      </c>
      <c r="M38" s="216">
        <f>'Ext Equiv'!L353*$E38</f>
        <v>416.47900000000004</v>
      </c>
      <c r="N38" s="216">
        <f>'Ext Equiv'!M353*$E38</f>
        <v>424.27633333333335</v>
      </c>
      <c r="O38" s="216">
        <f>'Ext Equiv'!N353*$E38</f>
        <v>425.03466666666668</v>
      </c>
      <c r="P38" s="216">
        <f>'Ext Equiv'!O353*$E38</f>
        <v>425.41383333333334</v>
      </c>
      <c r="Q38" s="216">
        <f>'Ext Equiv'!P353*$E38</f>
        <v>430.2833333333333</v>
      </c>
      <c r="R38" s="216">
        <f>'Ext Equiv'!Q353*$E38</f>
        <v>431.04166666666669</v>
      </c>
      <c r="S38" s="216">
        <f>'Ext Equiv'!R353*$E38</f>
        <v>436.66416666666669</v>
      </c>
      <c r="T38" s="216">
        <f>'Ext Equiv'!S353*$E38</f>
        <v>436.66416666666669</v>
      </c>
      <c r="U38" s="216">
        <f>'Ext Equiv'!T353*$E38</f>
        <v>437.04333333333335</v>
      </c>
      <c r="V38" s="216">
        <f>'Ext Equiv'!U353*$E38</f>
        <v>437.04333333333335</v>
      </c>
      <c r="W38" s="216">
        <f>'Ext Equiv'!V353*$E38</f>
        <v>437.04333333333335</v>
      </c>
      <c r="X38" s="216">
        <f>'Ext Equiv'!W353*$E38</f>
        <v>437.04333333333335</v>
      </c>
      <c r="Y38" s="216">
        <f>'Ext Equiv'!X353*$E38</f>
        <v>466.17133333333334</v>
      </c>
      <c r="Z38" s="216">
        <f>'Ext Equiv'!Y353*$E38</f>
        <v>466.17133333333334</v>
      </c>
      <c r="AA38" s="216">
        <f>'Ext Equiv'!Z353*$E38</f>
        <v>466.17133333333334</v>
      </c>
      <c r="AB38" s="216">
        <f>'Ext Equiv'!AA353*$E38</f>
        <v>466.17133333333334</v>
      </c>
      <c r="AC38" s="216">
        <f>'Ext Equiv'!AB353*$E38</f>
        <v>493.14333333333332</v>
      </c>
      <c r="AD38" s="216">
        <f>'Ext Equiv'!AC353*$E38</f>
        <v>493.14333333333332</v>
      </c>
      <c r="AE38" s="216">
        <f>'Ext Equiv'!AD353*$E38</f>
        <v>493.14333333333332</v>
      </c>
      <c r="AF38" s="216">
        <f>'Ext Equiv'!AE353*$E38</f>
        <v>493.14333333333332</v>
      </c>
      <c r="AG38" s="216">
        <f>'Ext Equiv'!AF353*$E38</f>
        <v>493.14333333333332</v>
      </c>
      <c r="AH38" s="216">
        <f>'Ext Equiv'!AG353*$E38</f>
        <v>493.14333333333332</v>
      </c>
      <c r="AI38" s="216">
        <f>'Ext Equiv'!AH353*$E38</f>
        <v>493.14333333333332</v>
      </c>
      <c r="AJ38" s="317">
        <f>SUM(F38:AI38)</f>
        <v>12574.364666666666</v>
      </c>
      <c r="AK38" s="54"/>
      <c r="AL38" s="54"/>
    </row>
    <row r="39" spans="2:38" ht="14.4">
      <c r="B39" s="318" t="s">
        <v>126</v>
      </c>
      <c r="C39" s="319" t="s">
        <v>131</v>
      </c>
      <c r="D39" s="240" t="str">
        <f>'Padrão Conserva'!$D$40</f>
        <v>m²/km eq.</v>
      </c>
      <c r="E39" s="241">
        <f>VLOOKUP(B39,'Padrão Conserva'!$B$21:$G$75,4,FALSE)</f>
        <v>2.2000000000000002</v>
      </c>
      <c r="F39" s="214">
        <v>0</v>
      </c>
      <c r="G39" s="216">
        <f>'Ext Equiv'!F353*$E39</f>
        <v>325.47926190476187</v>
      </c>
      <c r="H39" s="216">
        <f>'Ext Equiv'!G353*$E39</f>
        <v>347.34385714285713</v>
      </c>
      <c r="I39" s="216">
        <f>'Ext Equiv'!H353*$E39</f>
        <v>369.20845238095228</v>
      </c>
      <c r="J39" s="216">
        <f>'Ext Equiv'!I353*$E39</f>
        <v>391.0730476190476</v>
      </c>
      <c r="K39" s="216">
        <f>'Ext Equiv'!J353*$E39</f>
        <v>423.06020952380948</v>
      </c>
      <c r="L39" s="216">
        <f>'Ext Equiv'!K353*$E39</f>
        <v>435.84522142857145</v>
      </c>
      <c r="M39" s="216">
        <f>'Ext Equiv'!L353*$E39</f>
        <v>458.12690000000009</v>
      </c>
      <c r="N39" s="216">
        <f>'Ext Equiv'!M353*$E39</f>
        <v>466.7039666666667</v>
      </c>
      <c r="O39" s="216">
        <f>'Ext Equiv'!N353*$E39</f>
        <v>467.53813333333341</v>
      </c>
      <c r="P39" s="216">
        <f>'Ext Equiv'!O353*$E39</f>
        <v>467.95521666666673</v>
      </c>
      <c r="Q39" s="216">
        <f>'Ext Equiv'!P353*$E39</f>
        <v>473.31166666666667</v>
      </c>
      <c r="R39" s="216">
        <f>'Ext Equiv'!Q353*$E39</f>
        <v>474.14583333333337</v>
      </c>
      <c r="S39" s="216">
        <f>'Ext Equiv'!R353*$E39</f>
        <v>480.33058333333338</v>
      </c>
      <c r="T39" s="216">
        <f>'Ext Equiv'!S353*$E39</f>
        <v>480.33058333333338</v>
      </c>
      <c r="U39" s="216">
        <f>'Ext Equiv'!T353*$E39</f>
        <v>480.7476666666667</v>
      </c>
      <c r="V39" s="216">
        <f>'Ext Equiv'!U353*$E39</f>
        <v>480.7476666666667</v>
      </c>
      <c r="W39" s="216">
        <f>'Ext Equiv'!V353*$E39</f>
        <v>480.7476666666667</v>
      </c>
      <c r="X39" s="216">
        <f>'Ext Equiv'!W353*$E39</f>
        <v>480.7476666666667</v>
      </c>
      <c r="Y39" s="216">
        <f>'Ext Equiv'!X353*$E39</f>
        <v>512.78846666666675</v>
      </c>
      <c r="Z39" s="216">
        <f>'Ext Equiv'!Y353*$E39</f>
        <v>512.78846666666675</v>
      </c>
      <c r="AA39" s="216">
        <f>'Ext Equiv'!Z353*$E39</f>
        <v>512.78846666666675</v>
      </c>
      <c r="AB39" s="216">
        <f>'Ext Equiv'!AA353*$E39</f>
        <v>512.78846666666675</v>
      </c>
      <c r="AC39" s="216">
        <f>'Ext Equiv'!AB353*$E39</f>
        <v>542.45766666666668</v>
      </c>
      <c r="AD39" s="216">
        <f>'Ext Equiv'!AC353*$E39</f>
        <v>542.45766666666668</v>
      </c>
      <c r="AE39" s="216">
        <f>'Ext Equiv'!AD353*$E39</f>
        <v>542.45766666666668</v>
      </c>
      <c r="AF39" s="216">
        <f>'Ext Equiv'!AE353*$E39</f>
        <v>542.45766666666668</v>
      </c>
      <c r="AG39" s="216">
        <f>'Ext Equiv'!AF353*$E39</f>
        <v>542.45766666666668</v>
      </c>
      <c r="AH39" s="216">
        <f>'Ext Equiv'!AG353*$E39</f>
        <v>542.45766666666668</v>
      </c>
      <c r="AI39" s="216">
        <f>'Ext Equiv'!AH353*$E39</f>
        <v>542.45766666666668</v>
      </c>
      <c r="AJ39" s="317">
        <f>SUM(F39:AI39)</f>
        <v>13831.801133333338</v>
      </c>
      <c r="AL39" s="54"/>
    </row>
    <row r="40" spans="2:38">
      <c r="B40" s="43"/>
      <c r="C40" s="38" t="s">
        <v>132</v>
      </c>
      <c r="D40" s="43"/>
      <c r="E40" s="50"/>
      <c r="F40" s="46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59"/>
    </row>
    <row r="41" spans="2:38" ht="14.4">
      <c r="B41" s="318" t="s">
        <v>133</v>
      </c>
      <c r="C41" s="319" t="s">
        <v>134</v>
      </c>
      <c r="D41" s="240" t="str">
        <f>VLOOKUP(B41,'Padrão Conserva'!$B$21:$G$75,3,FALSE)</f>
        <v>m/km</v>
      </c>
      <c r="E41" s="241">
        <f>VLOOKUP(B41,'Padrão Conserva'!$B$21:$G$75,4,FALSE)</f>
        <v>30</v>
      </c>
      <c r="F41" s="214">
        <v>0</v>
      </c>
      <c r="G41" s="216">
        <f>('Disp Segurança'!$C$223)*$E$41</f>
        <v>1503.9779999999926</v>
      </c>
      <c r="H41" s="216">
        <f>('Disp Segurança'!$C$223)*$E$41</f>
        <v>1503.9779999999926</v>
      </c>
      <c r="I41" s="216">
        <f>('Disp Segurança'!$C$223)*$E$41</f>
        <v>1503.9779999999926</v>
      </c>
      <c r="J41" s="216">
        <f>('Disp Segurança'!$C$223)*$E$41</f>
        <v>1503.9779999999926</v>
      </c>
      <c r="K41" s="216">
        <f>('Disp Segurança'!$C$223)*$E$41</f>
        <v>1503.9779999999926</v>
      </c>
      <c r="L41" s="216">
        <f>('Disp Segurança'!$C$223)*$E$41</f>
        <v>1503.9779999999926</v>
      </c>
      <c r="M41" s="216">
        <f>('Disp Segurança'!$C$223)*$E$41</f>
        <v>1503.9779999999926</v>
      </c>
      <c r="N41" s="216">
        <f>('Disp Segurança'!$C$223)*$E$41</f>
        <v>1503.9779999999926</v>
      </c>
      <c r="O41" s="216">
        <f>('Disp Segurança'!$C$223)*$E$41</f>
        <v>1503.9779999999926</v>
      </c>
      <c r="P41" s="216">
        <f>('Disp Segurança'!$C$223)*$E$41</f>
        <v>1503.9779999999926</v>
      </c>
      <c r="Q41" s="216">
        <f>('Disp Segurança'!$C$223)*$E$41</f>
        <v>1503.9779999999926</v>
      </c>
      <c r="R41" s="216">
        <f>('Disp Segurança'!$C$223)*$E$41</f>
        <v>1503.9779999999926</v>
      </c>
      <c r="S41" s="216">
        <f>('Disp Segurança'!$C$223)*$E$41</f>
        <v>1503.9779999999926</v>
      </c>
      <c r="T41" s="216">
        <f>('Disp Segurança'!$C$223)*$E$41</f>
        <v>1503.9779999999926</v>
      </c>
      <c r="U41" s="216">
        <f>('Disp Segurança'!$C$223)*$E$41</f>
        <v>1503.9779999999926</v>
      </c>
      <c r="V41" s="216">
        <f>('Disp Segurança'!$C$223)*$E$41</f>
        <v>1503.9779999999926</v>
      </c>
      <c r="W41" s="216">
        <f>('Disp Segurança'!$C$223)*$E$41</f>
        <v>1503.9779999999926</v>
      </c>
      <c r="X41" s="216">
        <f>('Disp Segurança'!$C$223)*$E$41</f>
        <v>1503.9779999999926</v>
      </c>
      <c r="Y41" s="216">
        <f>('Disp Segurança'!$C$223)*$E$41</f>
        <v>1503.9779999999926</v>
      </c>
      <c r="Z41" s="216">
        <f>('Disp Segurança'!$C$223)*$E$41</f>
        <v>1503.9779999999926</v>
      </c>
      <c r="AA41" s="216">
        <f>('Disp Segurança'!$C$223)*$E$41</f>
        <v>1503.9779999999926</v>
      </c>
      <c r="AB41" s="216">
        <f>('Disp Segurança'!$C$223)*$E$41</f>
        <v>1503.9779999999926</v>
      </c>
      <c r="AC41" s="216">
        <f>('Disp Segurança'!$C$223)*$E$41</f>
        <v>1503.9779999999926</v>
      </c>
      <c r="AD41" s="216">
        <f>('Disp Segurança'!$C$223)*$E$41</f>
        <v>1503.9779999999926</v>
      </c>
      <c r="AE41" s="216">
        <f>('Disp Segurança'!$C$223)*$E$41</f>
        <v>1503.9779999999926</v>
      </c>
      <c r="AF41" s="216">
        <f>('Disp Segurança'!$C$223)*$E$41</f>
        <v>1503.9779999999926</v>
      </c>
      <c r="AG41" s="216">
        <f>('Disp Segurança'!$C$223)*$E$41</f>
        <v>1503.9779999999926</v>
      </c>
      <c r="AH41" s="216">
        <f>('Disp Segurança'!$C$223)*$E$41</f>
        <v>1503.9779999999926</v>
      </c>
      <c r="AI41" s="216">
        <f>('Disp Segurança'!$C$223)*$E$41</f>
        <v>1503.9779999999926</v>
      </c>
      <c r="AJ41" s="317">
        <f>SUM(F41:AI41)</f>
        <v>43615.361999999797</v>
      </c>
    </row>
    <row r="42" spans="2:38" ht="14.4">
      <c r="B42" s="318" t="s">
        <v>136</v>
      </c>
      <c r="C42" s="319" t="s">
        <v>137</v>
      </c>
      <c r="D42" s="240" t="str">
        <f>VLOOKUP(B42,'Padrão Conserva'!$B$21:$G$75,3,FALSE)</f>
        <v>m³/km</v>
      </c>
      <c r="E42" s="241">
        <f>VLOOKUP(B42,'Padrão Conserva'!$B$21:$G$75,4,FALSE)</f>
        <v>0.2</v>
      </c>
      <c r="F42" s="214">
        <v>0</v>
      </c>
      <c r="G42" s="216">
        <f>'Disp Segurança'!$E$223*$E42</f>
        <v>107.40000000001191</v>
      </c>
      <c r="H42" s="216">
        <f>'Disp Segurança'!$E$223*$E42</f>
        <v>107.40000000001191</v>
      </c>
      <c r="I42" s="216">
        <f>'Disp Segurança'!$E$223*$E42</f>
        <v>107.40000000001191</v>
      </c>
      <c r="J42" s="216">
        <f>'Disp Segurança'!$E$223*$E42</f>
        <v>107.40000000001191</v>
      </c>
      <c r="K42" s="216">
        <f>'Disp Segurança'!$E$223*$E42</f>
        <v>107.40000000001191</v>
      </c>
      <c r="L42" s="216">
        <f>'Disp Segurança'!$E$223*$E42</f>
        <v>107.40000000001191</v>
      </c>
      <c r="M42" s="216">
        <f>'Disp Segurança'!$E$223*$E42</f>
        <v>107.40000000001191</v>
      </c>
      <c r="N42" s="216">
        <f>'Disp Segurança'!$E$223*$E42</f>
        <v>107.40000000001191</v>
      </c>
      <c r="O42" s="216">
        <f>'Disp Segurança'!$E$223*$E42</f>
        <v>107.40000000001191</v>
      </c>
      <c r="P42" s="216">
        <f>'Disp Segurança'!$E$223*$E42</f>
        <v>107.40000000001191</v>
      </c>
      <c r="Q42" s="216">
        <f>'Disp Segurança'!$E$223*$E42</f>
        <v>107.40000000001191</v>
      </c>
      <c r="R42" s="216">
        <f>'Disp Segurança'!$E$223*$E42</f>
        <v>107.40000000001191</v>
      </c>
      <c r="S42" s="216">
        <f>'Disp Segurança'!$E$223*$E42</f>
        <v>107.40000000001191</v>
      </c>
      <c r="T42" s="216">
        <f>'Disp Segurança'!$E$223*$E42</f>
        <v>107.40000000001191</v>
      </c>
      <c r="U42" s="216">
        <f>'Disp Segurança'!$E$223*$E42</f>
        <v>107.40000000001191</v>
      </c>
      <c r="V42" s="216">
        <f>'Disp Segurança'!$E$223*$E42</f>
        <v>107.40000000001191</v>
      </c>
      <c r="W42" s="216">
        <f>'Disp Segurança'!$E$223*$E42</f>
        <v>107.40000000001191</v>
      </c>
      <c r="X42" s="216">
        <f>'Disp Segurança'!$E$223*$E42</f>
        <v>107.40000000001191</v>
      </c>
      <c r="Y42" s="216">
        <f>'Disp Segurança'!$E$223*$E42</f>
        <v>107.40000000001191</v>
      </c>
      <c r="Z42" s="216">
        <f>'Disp Segurança'!$E$223*$E42</f>
        <v>107.40000000001191</v>
      </c>
      <c r="AA42" s="216">
        <f>'Disp Segurança'!$E$223*$E42</f>
        <v>107.40000000001191</v>
      </c>
      <c r="AB42" s="216">
        <f>'Disp Segurança'!$E$223*$E42</f>
        <v>107.40000000001191</v>
      </c>
      <c r="AC42" s="216">
        <f>'Disp Segurança'!$E$223*$E42</f>
        <v>107.40000000001191</v>
      </c>
      <c r="AD42" s="216">
        <f>'Disp Segurança'!$E$223*$E42</f>
        <v>107.40000000001191</v>
      </c>
      <c r="AE42" s="216">
        <f>'Disp Segurança'!$E$223*$E42</f>
        <v>107.40000000001191</v>
      </c>
      <c r="AF42" s="216">
        <f>'Disp Segurança'!$E$223*$E42</f>
        <v>107.40000000001191</v>
      </c>
      <c r="AG42" s="216">
        <f>'Disp Segurança'!$E$223*$E42</f>
        <v>107.40000000001191</v>
      </c>
      <c r="AH42" s="216">
        <f>'Disp Segurança'!$E$223*$E42</f>
        <v>107.40000000001191</v>
      </c>
      <c r="AI42" s="216">
        <f>'Disp Segurança'!$E$223*$E42</f>
        <v>107.40000000001191</v>
      </c>
      <c r="AJ42" s="317">
        <f>SUM(F42:AI42)</f>
        <v>3114.6000000003455</v>
      </c>
    </row>
    <row r="43" spans="2:38" ht="14.4">
      <c r="B43" s="318" t="s">
        <v>138</v>
      </c>
      <c r="C43" s="319" t="s">
        <v>139</v>
      </c>
      <c r="D43" s="240" t="str">
        <f>VLOOKUP(B43,'Padrão Conserva'!$B$21:$G$75,3,FALSE)</f>
        <v>m/km</v>
      </c>
      <c r="E43" s="241">
        <f>VLOOKUP(B43,'Padrão Conserva'!$B$21:$G$75,4,FALSE)</f>
        <v>15</v>
      </c>
      <c r="F43" s="214">
        <v>0</v>
      </c>
      <c r="G43" s="216">
        <f>'Disp Segurança'!$E$223/1000*$E43</f>
        <v>8.0550000000008932</v>
      </c>
      <c r="H43" s="216">
        <f>'Disp Segurança'!$E$223/1000*$E43</f>
        <v>8.0550000000008932</v>
      </c>
      <c r="I43" s="216">
        <f>'Disp Segurança'!$E$223/1000*$E43</f>
        <v>8.0550000000008932</v>
      </c>
      <c r="J43" s="216">
        <f>'Disp Segurança'!$E$223/1000*$E43</f>
        <v>8.0550000000008932</v>
      </c>
      <c r="K43" s="216">
        <f>'Disp Segurança'!$E$223/1000*$E43</f>
        <v>8.0550000000008932</v>
      </c>
      <c r="L43" s="216">
        <f>'Disp Segurança'!$E$223/1000*$E43</f>
        <v>8.0550000000008932</v>
      </c>
      <c r="M43" s="216">
        <f>'Disp Segurança'!$E$223/1000*$E43</f>
        <v>8.0550000000008932</v>
      </c>
      <c r="N43" s="216">
        <f>'Disp Segurança'!$E$223/1000*$E43</f>
        <v>8.0550000000008932</v>
      </c>
      <c r="O43" s="216">
        <f>'Disp Segurança'!$E$223/1000*$E43</f>
        <v>8.0550000000008932</v>
      </c>
      <c r="P43" s="216">
        <f>'Disp Segurança'!$E$223/1000*$E43</f>
        <v>8.0550000000008932</v>
      </c>
      <c r="Q43" s="216">
        <f>'Disp Segurança'!$E$223/1000*$E43</f>
        <v>8.0550000000008932</v>
      </c>
      <c r="R43" s="216">
        <f>'Disp Segurança'!$E$223/1000*$E43</f>
        <v>8.0550000000008932</v>
      </c>
      <c r="S43" s="216">
        <f>'Disp Segurança'!$E$223/1000*$E43</f>
        <v>8.0550000000008932</v>
      </c>
      <c r="T43" s="216">
        <f>'Disp Segurança'!$E$223/1000*$E43</f>
        <v>8.0550000000008932</v>
      </c>
      <c r="U43" s="216">
        <f>'Disp Segurança'!$E$223/1000*$E43</f>
        <v>8.0550000000008932</v>
      </c>
      <c r="V43" s="216">
        <f>'Disp Segurança'!$E$223/1000*$E43</f>
        <v>8.0550000000008932</v>
      </c>
      <c r="W43" s="216">
        <f>'Disp Segurança'!$E$223/1000*$E43</f>
        <v>8.0550000000008932</v>
      </c>
      <c r="X43" s="216">
        <f>'Disp Segurança'!$E$223/1000*$E43</f>
        <v>8.0550000000008932</v>
      </c>
      <c r="Y43" s="216">
        <f>'Disp Segurança'!$E$223/1000*$E43</f>
        <v>8.0550000000008932</v>
      </c>
      <c r="Z43" s="216">
        <f>'Disp Segurança'!$E$223/1000*$E43</f>
        <v>8.0550000000008932</v>
      </c>
      <c r="AA43" s="216">
        <f>'Disp Segurança'!$E$223/1000*$E43</f>
        <v>8.0550000000008932</v>
      </c>
      <c r="AB43" s="216">
        <f>'Disp Segurança'!$E$223/1000*$E43</f>
        <v>8.0550000000008932</v>
      </c>
      <c r="AC43" s="216">
        <f>'Disp Segurança'!$E$223/1000*$E43</f>
        <v>8.0550000000008932</v>
      </c>
      <c r="AD43" s="216">
        <f>'Disp Segurança'!$E$223/1000*$E43</f>
        <v>8.0550000000008932</v>
      </c>
      <c r="AE43" s="216">
        <f>'Disp Segurança'!$E$223/1000*$E43</f>
        <v>8.0550000000008932</v>
      </c>
      <c r="AF43" s="216">
        <f>'Disp Segurança'!$E$223/1000*$E43</f>
        <v>8.0550000000008932</v>
      </c>
      <c r="AG43" s="216">
        <f>'Disp Segurança'!$E$223/1000*$E43</f>
        <v>8.0550000000008932</v>
      </c>
      <c r="AH43" s="216">
        <f>'Disp Segurança'!$E$223/1000*$E43</f>
        <v>8.0550000000008932</v>
      </c>
      <c r="AI43" s="216">
        <f>'Disp Segurança'!$E$223/1000*$E43</f>
        <v>8.0550000000008932</v>
      </c>
      <c r="AJ43" s="317">
        <f>SUM(F43:AI43)</f>
        <v>233.59500000002581</v>
      </c>
    </row>
    <row r="44" spans="2:38">
      <c r="B44" s="205"/>
      <c r="C44" s="206" t="s">
        <v>140</v>
      </c>
      <c r="D44" s="205"/>
      <c r="E44" s="239"/>
      <c r="F44" s="243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5"/>
    </row>
    <row r="45" spans="2:38">
      <c r="B45" s="43"/>
      <c r="C45" s="38" t="s">
        <v>220</v>
      </c>
      <c r="D45" s="43"/>
      <c r="E45" s="50"/>
      <c r="F45" s="46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59"/>
    </row>
    <row r="46" spans="2:38" ht="14.4">
      <c r="B46" s="318" t="s">
        <v>142</v>
      </c>
      <c r="C46" s="319" t="s">
        <v>143</v>
      </c>
      <c r="D46" s="240" t="str">
        <f>VLOOKUP(B46,'Padrão Conserva'!$B$21:$G$75,3,FALSE)</f>
        <v>m/m</v>
      </c>
      <c r="E46" s="241">
        <f>VLOOKUP(B46,'Padrão Conserva'!$B$21:$G$75,4,FALSE)</f>
        <v>0.02</v>
      </c>
      <c r="F46" s="214">
        <v>0</v>
      </c>
      <c r="G46" s="216">
        <f>+$E46*'Lista OAEs'!$D$27</f>
        <v>5.7</v>
      </c>
      <c r="H46" s="216">
        <f>+$E46*'Lista OAEs'!$D$27</f>
        <v>5.7</v>
      </c>
      <c r="I46" s="216">
        <f>+$E46*'Lista OAEs'!$D$27</f>
        <v>5.7</v>
      </c>
      <c r="J46" s="216">
        <f>+$E46*'Lista OAEs'!$D$27</f>
        <v>5.7</v>
      </c>
      <c r="K46" s="216">
        <f>+$E46*'Lista OAEs'!$D$27</f>
        <v>5.7</v>
      </c>
      <c r="L46" s="216">
        <f>+$E46*'Lista OAEs'!$D$27</f>
        <v>5.7</v>
      </c>
      <c r="M46" s="216">
        <f>+$E46*'Lista OAEs'!$D$27</f>
        <v>5.7</v>
      </c>
      <c r="N46" s="216">
        <f>+$E46*'Lista OAEs'!$D$27</f>
        <v>5.7</v>
      </c>
      <c r="O46" s="216">
        <f>+$E46*'Lista OAEs'!$D$27</f>
        <v>5.7</v>
      </c>
      <c r="P46" s="216">
        <f>+$E46*'Lista OAEs'!$D$27</f>
        <v>5.7</v>
      </c>
      <c r="Q46" s="216">
        <f>+$E46*'Lista OAEs'!$D$27</f>
        <v>5.7</v>
      </c>
      <c r="R46" s="216">
        <f>+$E46*'Lista OAEs'!$D$27</f>
        <v>5.7</v>
      </c>
      <c r="S46" s="216">
        <f>+$E46*'Lista OAEs'!$D$27</f>
        <v>5.7</v>
      </c>
      <c r="T46" s="216">
        <f>+$E46*'Lista OAEs'!$D$27</f>
        <v>5.7</v>
      </c>
      <c r="U46" s="216">
        <f>+$E46*'Lista OAEs'!$D$27</f>
        <v>5.7</v>
      </c>
      <c r="V46" s="216">
        <f>+$E46*'Lista OAEs'!$D$27</f>
        <v>5.7</v>
      </c>
      <c r="W46" s="216">
        <f>+$E46*'Lista OAEs'!$D$27</f>
        <v>5.7</v>
      </c>
      <c r="X46" s="216">
        <f>+$E46*'Lista OAEs'!$D$27</f>
        <v>5.7</v>
      </c>
      <c r="Y46" s="216">
        <f>+$E46*'Lista OAEs'!$D$27</f>
        <v>5.7</v>
      </c>
      <c r="Z46" s="216">
        <f>+$E46*'Lista OAEs'!$D$27</f>
        <v>5.7</v>
      </c>
      <c r="AA46" s="216">
        <f>+$E46*'Lista OAEs'!$D$27</f>
        <v>5.7</v>
      </c>
      <c r="AB46" s="216">
        <f>+$E46*'Lista OAEs'!$D$27</f>
        <v>5.7</v>
      </c>
      <c r="AC46" s="216">
        <f>+$E46*'Lista OAEs'!$D$27</f>
        <v>5.7</v>
      </c>
      <c r="AD46" s="216">
        <f>+$E46*'Lista OAEs'!$D$27</f>
        <v>5.7</v>
      </c>
      <c r="AE46" s="216">
        <f>+$E46*'Lista OAEs'!$D$27</f>
        <v>5.7</v>
      </c>
      <c r="AF46" s="216">
        <f>+$E46*'Lista OAEs'!$D$27</f>
        <v>5.7</v>
      </c>
      <c r="AG46" s="216">
        <f>+$E46*'Lista OAEs'!$D$27</f>
        <v>5.7</v>
      </c>
      <c r="AH46" s="216">
        <f>+$E46*'Lista OAEs'!$D$27</f>
        <v>5.7</v>
      </c>
      <c r="AI46" s="216">
        <f>+$E46*'Lista OAEs'!$D$27</f>
        <v>5.7</v>
      </c>
      <c r="AJ46" s="317">
        <f>SUM(F46:AI46)</f>
        <v>165.29999999999998</v>
      </c>
    </row>
    <row r="47" spans="2:38" ht="14.4">
      <c r="B47" s="318" t="s">
        <v>144</v>
      </c>
      <c r="C47" s="319" t="s">
        <v>145</v>
      </c>
      <c r="D47" s="240" t="str">
        <f>VLOOKUP(B47,'Padrão Conserva'!$B$21:$G$75,3,FALSE)</f>
        <v>m²/m²</v>
      </c>
      <c r="E47" s="241">
        <f>VLOOKUP(B47,'Padrão Conserva'!$B$21:$G$75,4,FALSE)</f>
        <v>1</v>
      </c>
      <c r="F47" s="214">
        <v>0</v>
      </c>
      <c r="G47" s="216">
        <f>'Lista OAEs'!$E$27*$E$47</f>
        <v>3336</v>
      </c>
      <c r="H47" s="216">
        <f>'Lista OAEs'!$E$27*$E$47</f>
        <v>3336</v>
      </c>
      <c r="I47" s="216">
        <f>'Lista OAEs'!$E$27*$E$47</f>
        <v>3336</v>
      </c>
      <c r="J47" s="216">
        <f>'Lista OAEs'!$E$27*$E$47</f>
        <v>3336</v>
      </c>
      <c r="K47" s="216">
        <f>'Lista OAEs'!$E$27*$E$47</f>
        <v>3336</v>
      </c>
      <c r="L47" s="216">
        <f>'Lista OAEs'!$E$27*$E$47</f>
        <v>3336</v>
      </c>
      <c r="M47" s="216">
        <f>'Lista OAEs'!$E$27*$E$47</f>
        <v>3336</v>
      </c>
      <c r="N47" s="216">
        <f>'Lista OAEs'!$E$27*$E$47</f>
        <v>3336</v>
      </c>
      <c r="O47" s="216">
        <f>'Lista OAEs'!$E$27*$E$47</f>
        <v>3336</v>
      </c>
      <c r="P47" s="216">
        <f>'Lista OAEs'!$E$27*$E$47</f>
        <v>3336</v>
      </c>
      <c r="Q47" s="216">
        <f>'Lista OAEs'!$E$27*$E$47</f>
        <v>3336</v>
      </c>
      <c r="R47" s="216">
        <f>'Lista OAEs'!$E$27*$E$47</f>
        <v>3336</v>
      </c>
      <c r="S47" s="216">
        <f>'Lista OAEs'!$E$27*$E$47</f>
        <v>3336</v>
      </c>
      <c r="T47" s="216">
        <f>'Lista OAEs'!$E$27*$E$47</f>
        <v>3336</v>
      </c>
      <c r="U47" s="216">
        <f>'Lista OAEs'!$E$27*$E$47</f>
        <v>3336</v>
      </c>
      <c r="V47" s="216">
        <f>'Lista OAEs'!$E$27*$E$47</f>
        <v>3336</v>
      </c>
      <c r="W47" s="216">
        <f>'Lista OAEs'!$E$27*$E$47</f>
        <v>3336</v>
      </c>
      <c r="X47" s="216">
        <f>'Lista OAEs'!$E$27*$E$47</f>
        <v>3336</v>
      </c>
      <c r="Y47" s="216">
        <f>'Lista OAEs'!$E$27*$E$47</f>
        <v>3336</v>
      </c>
      <c r="Z47" s="216">
        <f>'Lista OAEs'!$E$27*$E$47</f>
        <v>3336</v>
      </c>
      <c r="AA47" s="216">
        <f>'Lista OAEs'!$E$27*$E$47</f>
        <v>3336</v>
      </c>
      <c r="AB47" s="216">
        <f>'Lista OAEs'!$E$27*$E$47</f>
        <v>3336</v>
      </c>
      <c r="AC47" s="216">
        <f>'Lista OAEs'!$E$27*$E$47</f>
        <v>3336</v>
      </c>
      <c r="AD47" s="216">
        <f>'Lista OAEs'!$E$27*$E$47</f>
        <v>3336</v>
      </c>
      <c r="AE47" s="216">
        <f>'Lista OAEs'!$E$27*$E$47</f>
        <v>3336</v>
      </c>
      <c r="AF47" s="216">
        <f>'Lista OAEs'!$E$27*$E$47</f>
        <v>3336</v>
      </c>
      <c r="AG47" s="216">
        <f>'Lista OAEs'!$E$27*$E$47</f>
        <v>3336</v>
      </c>
      <c r="AH47" s="216">
        <f>'Lista OAEs'!$E$27*$E$47</f>
        <v>3336</v>
      </c>
      <c r="AI47" s="216">
        <f>'Lista OAEs'!$E$27*$E$47</f>
        <v>3336</v>
      </c>
      <c r="AJ47" s="317">
        <f>SUM(F47:AI47)</f>
        <v>96744</v>
      </c>
    </row>
    <row r="48" spans="2:38" ht="14.4">
      <c r="B48" s="318" t="s">
        <v>146</v>
      </c>
      <c r="C48" s="319" t="s">
        <v>147</v>
      </c>
      <c r="D48" s="240" t="s">
        <v>221</v>
      </c>
      <c r="E48" s="241">
        <v>0.01</v>
      </c>
      <c r="F48" s="214">
        <v>0</v>
      </c>
      <c r="G48" s="216">
        <f>$E$48*'Lista OAEs'!$D$34</f>
        <v>1.33</v>
      </c>
      <c r="H48" s="216">
        <f>$E$48*'Lista OAEs'!$D$34</f>
        <v>1.33</v>
      </c>
      <c r="I48" s="216">
        <f>$E$48*'Lista OAEs'!$D$34</f>
        <v>1.33</v>
      </c>
      <c r="J48" s="216">
        <f>$E$48*'Lista OAEs'!$D$34</f>
        <v>1.33</v>
      </c>
      <c r="K48" s="216">
        <f>$E$48*'Lista OAEs'!$D$34</f>
        <v>1.33</v>
      </c>
      <c r="L48" s="216">
        <f>$E$48*'Lista OAEs'!$D$34</f>
        <v>1.33</v>
      </c>
      <c r="M48" s="216">
        <f>$E$48*'Lista OAEs'!$D$34</f>
        <v>1.33</v>
      </c>
      <c r="N48" s="216">
        <f>$E$48*'Lista OAEs'!$D$34</f>
        <v>1.33</v>
      </c>
      <c r="O48" s="216">
        <f>$E$48*'Lista OAEs'!$D$34</f>
        <v>1.33</v>
      </c>
      <c r="P48" s="216">
        <f>$E$48*'Lista OAEs'!$D$34</f>
        <v>1.33</v>
      </c>
      <c r="Q48" s="216">
        <f>$E$48*'Lista OAEs'!$D$34</f>
        <v>1.33</v>
      </c>
      <c r="R48" s="216">
        <f>$E$48*'Lista OAEs'!$D$34</f>
        <v>1.33</v>
      </c>
      <c r="S48" s="216">
        <f>$E$48*'Lista OAEs'!$D$34</f>
        <v>1.33</v>
      </c>
      <c r="T48" s="216">
        <f>$E$48*'Lista OAEs'!$D$34</f>
        <v>1.33</v>
      </c>
      <c r="U48" s="216">
        <f>$E$48*'Lista OAEs'!$D$34</f>
        <v>1.33</v>
      </c>
      <c r="V48" s="216">
        <f>$E$48*'Lista OAEs'!$D$34</f>
        <v>1.33</v>
      </c>
      <c r="W48" s="216">
        <f>$E$48*'Lista OAEs'!$D$34</f>
        <v>1.33</v>
      </c>
      <c r="X48" s="216">
        <f>$E$48*'Lista OAEs'!$D$34</f>
        <v>1.33</v>
      </c>
      <c r="Y48" s="216">
        <f>$E$48*'Lista OAEs'!$D$34</f>
        <v>1.33</v>
      </c>
      <c r="Z48" s="216">
        <f>$E$48*'Lista OAEs'!$D$34</f>
        <v>1.33</v>
      </c>
      <c r="AA48" s="216">
        <f>$E$48*'Lista OAEs'!$D$34</f>
        <v>1.33</v>
      </c>
      <c r="AB48" s="216">
        <f>$E$48*'Lista OAEs'!$D$34</f>
        <v>1.33</v>
      </c>
      <c r="AC48" s="216">
        <f>$E$48*'Lista OAEs'!$D$34</f>
        <v>1.33</v>
      </c>
      <c r="AD48" s="216">
        <f>$E$48*'Lista OAEs'!$D$34</f>
        <v>1.33</v>
      </c>
      <c r="AE48" s="216">
        <f>$E$48*'Lista OAEs'!$D$34</f>
        <v>1.33</v>
      </c>
      <c r="AF48" s="216">
        <f>$E$48*'Lista OAEs'!$D$34</f>
        <v>1.33</v>
      </c>
      <c r="AG48" s="216">
        <f>$E$48*'Lista OAEs'!$D$34</f>
        <v>1.33</v>
      </c>
      <c r="AH48" s="216">
        <f>$E$48*'Lista OAEs'!$D$34</f>
        <v>1.33</v>
      </c>
      <c r="AI48" s="216">
        <f>$E$48*'Lista OAEs'!$D$34</f>
        <v>1.33</v>
      </c>
      <c r="AJ48" s="317">
        <f t="shared" ref="AJ48:AJ50" si="5">SUM(F48:AI48)</f>
        <v>38.569999999999972</v>
      </c>
    </row>
    <row r="49" spans="2:39" ht="14.4">
      <c r="B49" s="318">
        <v>3806406</v>
      </c>
      <c r="C49" s="319" t="s">
        <v>148</v>
      </c>
      <c r="D49" s="240" t="s">
        <v>221</v>
      </c>
      <c r="E49" s="241">
        <v>1</v>
      </c>
      <c r="F49" s="214">
        <v>0</v>
      </c>
      <c r="G49" s="216">
        <f>$E$49*'Lista OAEs'!$D$34</f>
        <v>133</v>
      </c>
      <c r="H49" s="216">
        <f>$E$49*'Lista OAEs'!$D$34</f>
        <v>133</v>
      </c>
      <c r="I49" s="216">
        <f>$E$49*'Lista OAEs'!$D$34</f>
        <v>133</v>
      </c>
      <c r="J49" s="216">
        <f>$E$49*'Lista OAEs'!$D$34</f>
        <v>133</v>
      </c>
      <c r="K49" s="216">
        <f>$E$49*'Lista OAEs'!$D$34</f>
        <v>133</v>
      </c>
      <c r="L49" s="216">
        <f>$E$49*'Lista OAEs'!$D$34</f>
        <v>133</v>
      </c>
      <c r="M49" s="216">
        <f>$E$49*'Lista OAEs'!$D$34</f>
        <v>133</v>
      </c>
      <c r="N49" s="216">
        <f>$E$49*'Lista OAEs'!$D$34</f>
        <v>133</v>
      </c>
      <c r="O49" s="216">
        <f>$E$49*'Lista OAEs'!$D$34</f>
        <v>133</v>
      </c>
      <c r="P49" s="216">
        <f>$E$49*'Lista OAEs'!$D$34</f>
        <v>133</v>
      </c>
      <c r="Q49" s="216">
        <f>$E$49*'Lista OAEs'!$D$34</f>
        <v>133</v>
      </c>
      <c r="R49" s="216">
        <f>$E$49*'Lista OAEs'!$D$34</f>
        <v>133</v>
      </c>
      <c r="S49" s="216">
        <f>$E$49*'Lista OAEs'!$D$34</f>
        <v>133</v>
      </c>
      <c r="T49" s="216">
        <f>$E$49*'Lista OAEs'!$D$34</f>
        <v>133</v>
      </c>
      <c r="U49" s="216">
        <f>$E$49*'Lista OAEs'!$D$34</f>
        <v>133</v>
      </c>
      <c r="V49" s="216">
        <f>$E$49*'Lista OAEs'!$D$34</f>
        <v>133</v>
      </c>
      <c r="W49" s="216">
        <f>$E$49*'Lista OAEs'!$D$34</f>
        <v>133</v>
      </c>
      <c r="X49" s="216">
        <f>$E$49*'Lista OAEs'!$D$34</f>
        <v>133</v>
      </c>
      <c r="Y49" s="216">
        <f>$E$49*'Lista OAEs'!$D$34</f>
        <v>133</v>
      </c>
      <c r="Z49" s="216">
        <f>$E$49*'Lista OAEs'!$D$34</f>
        <v>133</v>
      </c>
      <c r="AA49" s="216">
        <f>$E$49*'Lista OAEs'!$D$34</f>
        <v>133</v>
      </c>
      <c r="AB49" s="216">
        <f>$E$49*'Lista OAEs'!$D$34</f>
        <v>133</v>
      </c>
      <c r="AC49" s="216">
        <f>$E$49*'Lista OAEs'!$D$34</f>
        <v>133</v>
      </c>
      <c r="AD49" s="216">
        <f>$E$49*'Lista OAEs'!$D$34</f>
        <v>133</v>
      </c>
      <c r="AE49" s="216">
        <f>$E$49*'Lista OAEs'!$D$34</f>
        <v>133</v>
      </c>
      <c r="AF49" s="216">
        <f>$E$49*'Lista OAEs'!$D$34</f>
        <v>133</v>
      </c>
      <c r="AG49" s="216">
        <f>$E$49*'Lista OAEs'!$D$34</f>
        <v>133</v>
      </c>
      <c r="AH49" s="216">
        <f>$E$49*'Lista OAEs'!$D$34</f>
        <v>133</v>
      </c>
      <c r="AI49" s="216">
        <f>$E$49*'Lista OAEs'!$D$34</f>
        <v>133</v>
      </c>
      <c r="AJ49" s="317">
        <f t="shared" si="5"/>
        <v>3857</v>
      </c>
    </row>
    <row r="50" spans="2:39" ht="14.4">
      <c r="B50" s="318">
        <v>4915686</v>
      </c>
      <c r="C50" s="319" t="s">
        <v>149</v>
      </c>
      <c r="D50" s="240" t="s">
        <v>222</v>
      </c>
      <c r="E50" s="241">
        <v>0.2</v>
      </c>
      <c r="F50" s="214">
        <v>0</v>
      </c>
      <c r="G50" s="216">
        <f>$E$50*'Lista OAEs'!$D$27</f>
        <v>57</v>
      </c>
      <c r="H50" s="216">
        <f>$E$50*'Lista OAEs'!$D$27</f>
        <v>57</v>
      </c>
      <c r="I50" s="216">
        <f>$E$50*'Lista OAEs'!$D$27</f>
        <v>57</v>
      </c>
      <c r="J50" s="216">
        <f>$E$50*'Lista OAEs'!$D$27</f>
        <v>57</v>
      </c>
      <c r="K50" s="216">
        <f>$E$50*'Lista OAEs'!$D$27</f>
        <v>57</v>
      </c>
      <c r="L50" s="216">
        <f>$E$50*'Lista OAEs'!$D$27</f>
        <v>57</v>
      </c>
      <c r="M50" s="216">
        <f>$E$50*'Lista OAEs'!$D$27</f>
        <v>57</v>
      </c>
      <c r="N50" s="216">
        <f>$E$50*'Lista OAEs'!$D$27</f>
        <v>57</v>
      </c>
      <c r="O50" s="216">
        <f>$E$50*'Lista OAEs'!$D$27</f>
        <v>57</v>
      </c>
      <c r="P50" s="216">
        <f>$E$50*'Lista OAEs'!$D$27</f>
        <v>57</v>
      </c>
      <c r="Q50" s="216">
        <f>$E$50*'Lista OAEs'!$D$27</f>
        <v>57</v>
      </c>
      <c r="R50" s="216">
        <f>$E$50*'Lista OAEs'!$D$27</f>
        <v>57</v>
      </c>
      <c r="S50" s="216">
        <f>$E$50*'Lista OAEs'!$D$27</f>
        <v>57</v>
      </c>
      <c r="T50" s="216">
        <f>$E$50*'Lista OAEs'!$D$27</f>
        <v>57</v>
      </c>
      <c r="U50" s="216">
        <f>$E$50*'Lista OAEs'!$D$27</f>
        <v>57</v>
      </c>
      <c r="V50" s="216">
        <f>$E$50*'Lista OAEs'!$D$27</f>
        <v>57</v>
      </c>
      <c r="W50" s="216">
        <f>$E$50*'Lista OAEs'!$D$27</f>
        <v>57</v>
      </c>
      <c r="X50" s="216">
        <f>$E$50*'Lista OAEs'!$D$27</f>
        <v>57</v>
      </c>
      <c r="Y50" s="216">
        <f>$E$50*'Lista OAEs'!$D$27</f>
        <v>57</v>
      </c>
      <c r="Z50" s="216">
        <f>$E$50*'Lista OAEs'!$D$27</f>
        <v>57</v>
      </c>
      <c r="AA50" s="216">
        <f>$E$50*'Lista OAEs'!$D$27</f>
        <v>57</v>
      </c>
      <c r="AB50" s="216">
        <f>$E$50*'Lista OAEs'!$D$27</f>
        <v>57</v>
      </c>
      <c r="AC50" s="216">
        <f>$E$50*'Lista OAEs'!$D$27</f>
        <v>57</v>
      </c>
      <c r="AD50" s="216">
        <f>$E$50*'Lista OAEs'!$D$27</f>
        <v>57</v>
      </c>
      <c r="AE50" s="216">
        <f>$E$50*'Lista OAEs'!$D$27</f>
        <v>57</v>
      </c>
      <c r="AF50" s="216">
        <f>$E$50*'Lista OAEs'!$D$27</f>
        <v>57</v>
      </c>
      <c r="AG50" s="216">
        <f>$E$50*'Lista OAEs'!$D$27</f>
        <v>57</v>
      </c>
      <c r="AH50" s="216">
        <f>$E$50*'Lista OAEs'!$D$27</f>
        <v>57</v>
      </c>
      <c r="AI50" s="216">
        <f>$E$50*'Lista OAEs'!$D$27</f>
        <v>57</v>
      </c>
      <c r="AJ50" s="317">
        <f t="shared" si="5"/>
        <v>1653</v>
      </c>
    </row>
    <row r="51" spans="2:39" ht="14.4">
      <c r="B51" s="318">
        <v>4915672</v>
      </c>
      <c r="C51" s="319" t="s">
        <v>151</v>
      </c>
      <c r="D51" s="240" t="str">
        <f>VLOOKUP(B51,'Padrão Conserva'!$B$21:$G$75,3,FALSE)</f>
        <v>m/m</v>
      </c>
      <c r="E51" s="241">
        <f>VLOOKUP(B51,'Padrão Conserva'!$B$21:$G$75,4,FALSE)</f>
        <v>1</v>
      </c>
      <c r="F51" s="214">
        <v>0</v>
      </c>
      <c r="G51" s="216">
        <f>'Lista OAEs'!$D$27*$E51</f>
        <v>285</v>
      </c>
      <c r="H51" s="216">
        <f>'Lista OAEs'!$D$27*$E51</f>
        <v>285</v>
      </c>
      <c r="I51" s="216">
        <f>'Lista OAEs'!$D$27*$E51</f>
        <v>285</v>
      </c>
      <c r="J51" s="216">
        <f>'Lista OAEs'!$D$27*$E51</f>
        <v>285</v>
      </c>
      <c r="K51" s="216">
        <f>'Lista OAEs'!$D$27*$E51</f>
        <v>285</v>
      </c>
      <c r="L51" s="216">
        <f>'Lista OAEs'!$D$27*$E51</f>
        <v>285</v>
      </c>
      <c r="M51" s="216">
        <f>'Lista OAEs'!$D$27*$E51</f>
        <v>285</v>
      </c>
      <c r="N51" s="216">
        <f>'Lista OAEs'!$D$27*$E51</f>
        <v>285</v>
      </c>
      <c r="O51" s="216">
        <f>'Lista OAEs'!$D$27*$E51</f>
        <v>285</v>
      </c>
      <c r="P51" s="216">
        <f>'Lista OAEs'!$D$27*$E51</f>
        <v>285</v>
      </c>
      <c r="Q51" s="216">
        <f>'Lista OAEs'!$D$27*$E51</f>
        <v>285</v>
      </c>
      <c r="R51" s="216">
        <f>'Lista OAEs'!$D$27*$E51</f>
        <v>285</v>
      </c>
      <c r="S51" s="216">
        <f>'Lista OAEs'!$D$27*$E51</f>
        <v>285</v>
      </c>
      <c r="T51" s="216">
        <f>'Lista OAEs'!$D$27*$E51</f>
        <v>285</v>
      </c>
      <c r="U51" s="216">
        <f>'Lista OAEs'!$D$27*$E51</f>
        <v>285</v>
      </c>
      <c r="V51" s="216">
        <f>'Lista OAEs'!$D$27*$E51</f>
        <v>285</v>
      </c>
      <c r="W51" s="216">
        <f>'Lista OAEs'!$D$27*$E51</f>
        <v>285</v>
      </c>
      <c r="X51" s="216">
        <f>'Lista OAEs'!$D$27*$E51</f>
        <v>285</v>
      </c>
      <c r="Y51" s="216">
        <f>'Lista OAEs'!$D$27*$E51</f>
        <v>285</v>
      </c>
      <c r="Z51" s="216">
        <f>'Lista OAEs'!$D$27*$E51</f>
        <v>285</v>
      </c>
      <c r="AA51" s="216">
        <f>'Lista OAEs'!$D$27*$E51</f>
        <v>285</v>
      </c>
      <c r="AB51" s="216">
        <f>'Lista OAEs'!$D$27*$E51</f>
        <v>285</v>
      </c>
      <c r="AC51" s="216">
        <f>'Lista OAEs'!$D$27*$E51</f>
        <v>285</v>
      </c>
      <c r="AD51" s="216">
        <f>'Lista OAEs'!$D$27*$E51</f>
        <v>285</v>
      </c>
      <c r="AE51" s="216">
        <f>'Lista OAEs'!$D$27*$E51</f>
        <v>285</v>
      </c>
      <c r="AF51" s="216">
        <f>'Lista OAEs'!$D$27*$E51</f>
        <v>285</v>
      </c>
      <c r="AG51" s="216">
        <f>'Lista OAEs'!$D$27*$E51</f>
        <v>285</v>
      </c>
      <c r="AH51" s="216">
        <f>'Lista OAEs'!$D$27*$E51</f>
        <v>285</v>
      </c>
      <c r="AI51" s="216">
        <f>'Lista OAEs'!$D$27*$E51</f>
        <v>285</v>
      </c>
      <c r="AJ51" s="317">
        <f>SUM(F51:AI51)</f>
        <v>8265</v>
      </c>
    </row>
    <row r="52" spans="2:39">
      <c r="B52" s="205"/>
      <c r="C52" s="206" t="s">
        <v>152</v>
      </c>
      <c r="D52" s="205"/>
      <c r="E52" s="239"/>
      <c r="F52" s="243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5"/>
    </row>
    <row r="53" spans="2:39">
      <c r="B53" s="43"/>
      <c r="C53" s="38" t="s">
        <v>153</v>
      </c>
      <c r="D53" s="43"/>
      <c r="E53" s="53"/>
      <c r="F53" s="46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59"/>
    </row>
    <row r="54" spans="2:39" ht="14.4">
      <c r="B54" s="318">
        <v>4915708</v>
      </c>
      <c r="C54" s="319" t="s">
        <v>154</v>
      </c>
      <c r="D54" s="240" t="str">
        <f>VLOOKUP(B54,'Padrão Conserva'!$B$21:$G$75,3,FALSE)</f>
        <v>m/m</v>
      </c>
      <c r="E54" s="241">
        <f>VLOOKUP(B54,'Padrão Conserva'!$B$21:$G$75,4,FALSE)</f>
        <v>2</v>
      </c>
      <c r="F54" s="214">
        <v>0</v>
      </c>
      <c r="G54" s="216">
        <f>$E54*'Ext Equiv'!F353*0.2*1000</f>
        <v>59178.047619047611</v>
      </c>
      <c r="H54" s="216">
        <f>$E54*'Ext Equiv'!G353*0.2*1000</f>
        <v>63153.428571428565</v>
      </c>
      <c r="I54" s="216">
        <f>$E54*'Ext Equiv'!H353*0.2*1000</f>
        <v>67128.809523809512</v>
      </c>
      <c r="J54" s="216">
        <f>$E54*'Ext Equiv'!I353*0.2*1000</f>
        <v>71104.190476190473</v>
      </c>
      <c r="K54" s="216">
        <f>$E54*'Ext Equiv'!J353*0.2*1000</f>
        <v>76920.03809523808</v>
      </c>
      <c r="L54" s="216">
        <f>$E54*'Ext Equiv'!K353*0.2*1000</f>
        <v>79244.585714285713</v>
      </c>
      <c r="M54" s="216">
        <f>$E54*'Ext Equiv'!L353*0.2*1000</f>
        <v>83295.800000000017</v>
      </c>
      <c r="N54" s="216">
        <f>$E54*'Ext Equiv'!M353*0.2*1000</f>
        <v>84855.266666666677</v>
      </c>
      <c r="O54" s="216">
        <f>$E54*'Ext Equiv'!N353*0.2*1000</f>
        <v>85006.933333333334</v>
      </c>
      <c r="P54" s="216">
        <f>$E54*'Ext Equiv'!O353*0.2*1000</f>
        <v>85082.766666666677</v>
      </c>
      <c r="Q54" s="216">
        <f>$E54*'Ext Equiv'!P353*0.2*1000</f>
        <v>86056.666666666672</v>
      </c>
      <c r="R54" s="216">
        <f>$E54*'Ext Equiv'!Q353*0.2*1000</f>
        <v>86208.333333333343</v>
      </c>
      <c r="S54" s="216">
        <f>$E54*'Ext Equiv'!R353*0.2*1000</f>
        <v>87332.833333333343</v>
      </c>
      <c r="T54" s="216">
        <f>$E54*'Ext Equiv'!S353*0.2*1000</f>
        <v>87332.833333333343</v>
      </c>
      <c r="U54" s="216">
        <f>$E54*'Ext Equiv'!T353*0.2*1000</f>
        <v>87408.666666666672</v>
      </c>
      <c r="V54" s="216">
        <f>$E54*'Ext Equiv'!U353*0.2*1000</f>
        <v>87408.666666666672</v>
      </c>
      <c r="W54" s="216">
        <f>$E54*'Ext Equiv'!V353*0.2*1000</f>
        <v>87408.666666666672</v>
      </c>
      <c r="X54" s="216">
        <f>$E54*'Ext Equiv'!W353*0.2*1000</f>
        <v>87408.666666666672</v>
      </c>
      <c r="Y54" s="216">
        <f>$E54*'Ext Equiv'!X353*0.2*1000</f>
        <v>93234.266666666677</v>
      </c>
      <c r="Z54" s="216">
        <f>$E54*'Ext Equiv'!Y353*0.2*1000</f>
        <v>93234.266666666677</v>
      </c>
      <c r="AA54" s="216">
        <f>$E54*'Ext Equiv'!Z353*0.2*1000</f>
        <v>93234.266666666677</v>
      </c>
      <c r="AB54" s="216">
        <f>$E54*'Ext Equiv'!AA353*0.2*1000</f>
        <v>93234.266666666677</v>
      </c>
      <c r="AC54" s="216">
        <f>$E54*'Ext Equiv'!AB353*0.2*1000</f>
        <v>98628.666666666672</v>
      </c>
      <c r="AD54" s="216">
        <f>$E54*'Ext Equiv'!AC353*0.2*1000</f>
        <v>98628.666666666672</v>
      </c>
      <c r="AE54" s="216">
        <f>$E54*'Ext Equiv'!AD353*0.2*1000</f>
        <v>98628.666666666672</v>
      </c>
      <c r="AF54" s="216">
        <f>$E54*'Ext Equiv'!AE353*0.2*1000</f>
        <v>98628.666666666672</v>
      </c>
      <c r="AG54" s="216">
        <f>$E54*'Ext Equiv'!AF353*0.2*1000</f>
        <v>98628.666666666672</v>
      </c>
      <c r="AH54" s="216">
        <f>$E54*'Ext Equiv'!AG353*0.2*1000</f>
        <v>98628.666666666672</v>
      </c>
      <c r="AI54" s="216">
        <f>$E54*'Ext Equiv'!AH353*0.2*1000</f>
        <v>98628.666666666672</v>
      </c>
      <c r="AJ54" s="317">
        <f>SUM(F54:AI54)</f>
        <v>2514872.9333333331</v>
      </c>
      <c r="AK54" s="9"/>
    </row>
    <row r="55" spans="2:39" ht="14.4">
      <c r="B55" s="318" t="s">
        <v>144</v>
      </c>
      <c r="C55" s="319" t="s">
        <v>145</v>
      </c>
      <c r="D55" s="240" t="str">
        <f>VLOOKUP(B55,'Padrão Conserva'!$B$21:$G$75,3,FALSE)</f>
        <v>m²/m²</v>
      </c>
      <c r="E55" s="241">
        <f>VLOOKUP(B55,'Padrão Conserva'!$B$21:$G$75,4,FALSE)</f>
        <v>1</v>
      </c>
      <c r="F55" s="214">
        <v>0</v>
      </c>
      <c r="G55" s="216">
        <f>$E55*'Ext Equiv'!F353*0.5*0.25*1000</f>
        <v>18493.139880952378</v>
      </c>
      <c r="H55" s="216">
        <f>$E55*'Ext Equiv'!G353*0.5*0.25*1000</f>
        <v>19735.446428571424</v>
      </c>
      <c r="I55" s="216">
        <f>$E55*'Ext Equiv'!H353*0.5*0.25*1000</f>
        <v>20977.75297619047</v>
      </c>
      <c r="J55" s="216">
        <f>$E55*'Ext Equiv'!I353*0.5*0.25*1000</f>
        <v>22220.059523809519</v>
      </c>
      <c r="K55" s="216">
        <f>$E55*'Ext Equiv'!J353*0.5*0.25*1000</f>
        <v>24037.511904761901</v>
      </c>
      <c r="L55" s="216">
        <f>$E55*'Ext Equiv'!K353*0.5*0.25*1000</f>
        <v>24763.933035714286</v>
      </c>
      <c r="M55" s="216">
        <f>$E55*'Ext Equiv'!L353*0.5*0.25*1000</f>
        <v>26029.937500000004</v>
      </c>
      <c r="N55" s="216">
        <f>$E55*'Ext Equiv'!M353*0.5*0.25*1000</f>
        <v>26517.270833333336</v>
      </c>
      <c r="O55" s="216">
        <f>$E55*'Ext Equiv'!N353*0.5*0.25*1000</f>
        <v>26564.666666666668</v>
      </c>
      <c r="P55" s="216">
        <f>$E55*'Ext Equiv'!O353*0.5*0.25*1000</f>
        <v>26588.364583333336</v>
      </c>
      <c r="Q55" s="216">
        <f>$E55*'Ext Equiv'!P353*0.5*0.25*1000</f>
        <v>26892.708333333332</v>
      </c>
      <c r="R55" s="216">
        <f>$E55*'Ext Equiv'!Q353*0.5*0.25*1000</f>
        <v>26940.104166666668</v>
      </c>
      <c r="S55" s="216">
        <f>$E55*'Ext Equiv'!R353*0.5*0.25*1000</f>
        <v>27291.510416666668</v>
      </c>
      <c r="T55" s="216">
        <f>$E55*'Ext Equiv'!S353*0.5*0.25*1000</f>
        <v>27291.510416666668</v>
      </c>
      <c r="U55" s="216">
        <f>$E55*'Ext Equiv'!T353*0.5*0.25*1000</f>
        <v>27315.208333333336</v>
      </c>
      <c r="V55" s="216">
        <f>$E55*'Ext Equiv'!U353*0.5*0.25*1000</f>
        <v>27315.208333333336</v>
      </c>
      <c r="W55" s="216">
        <f>$E55*'Ext Equiv'!V353*0.5*0.25*1000</f>
        <v>27315.208333333336</v>
      </c>
      <c r="X55" s="216">
        <f>$E55*'Ext Equiv'!W353*0.5*0.25*1000</f>
        <v>27315.208333333336</v>
      </c>
      <c r="Y55" s="216">
        <f>$E55*'Ext Equiv'!X353*0.5*0.25*1000</f>
        <v>29135.708333333332</v>
      </c>
      <c r="Z55" s="216">
        <f>$E55*'Ext Equiv'!Y353*0.5*0.25*1000</f>
        <v>29135.708333333332</v>
      </c>
      <c r="AA55" s="216">
        <f>$E55*'Ext Equiv'!Z353*0.5*0.25*1000</f>
        <v>29135.708333333332</v>
      </c>
      <c r="AB55" s="216">
        <f>$E55*'Ext Equiv'!AA353*0.5*0.25*1000</f>
        <v>29135.708333333332</v>
      </c>
      <c r="AC55" s="216">
        <f>$E55*'Ext Equiv'!AB353*0.5*0.25*1000</f>
        <v>30821.458333333332</v>
      </c>
      <c r="AD55" s="216">
        <f>$E55*'Ext Equiv'!AC353*0.5*0.25*1000</f>
        <v>30821.458333333332</v>
      </c>
      <c r="AE55" s="216">
        <f>$E55*'Ext Equiv'!AD353*0.5*0.25*1000</f>
        <v>30821.458333333332</v>
      </c>
      <c r="AF55" s="216">
        <f>$E55*'Ext Equiv'!AE353*0.5*0.25*1000</f>
        <v>30821.458333333332</v>
      </c>
      <c r="AG55" s="216">
        <f>$E55*'Ext Equiv'!AF353*0.5*0.25*1000</f>
        <v>30821.458333333332</v>
      </c>
      <c r="AH55" s="216">
        <f>$E55*'Ext Equiv'!AG353*0.5*0.25*1000</f>
        <v>30821.458333333332</v>
      </c>
      <c r="AI55" s="216">
        <f>$E55*'Ext Equiv'!AH353*0.5*0.25*1000</f>
        <v>30821.458333333332</v>
      </c>
      <c r="AJ55" s="317">
        <f>SUM(F55:AI55)</f>
        <v>785897.79166666686</v>
      </c>
      <c r="AK55" s="9"/>
    </row>
    <row r="56" spans="2:39" ht="14.4">
      <c r="B56" s="318">
        <v>4915710</v>
      </c>
      <c r="C56" s="319" t="s">
        <v>155</v>
      </c>
      <c r="D56" s="240" t="str">
        <f>VLOOKUP(B56,'Padrão Conserva'!$B$21:$G$75,3,FALSE)</f>
        <v>m/m</v>
      </c>
      <c r="E56" s="241">
        <f>VLOOKUP(B56,'Padrão Conserva'!$B$21:$G$75,4,FALSE)</f>
        <v>2</v>
      </c>
      <c r="F56" s="214">
        <v>0</v>
      </c>
      <c r="G56" s="216">
        <f>$E56*'Ext Equiv'!F353*0.1*0.3*1000</f>
        <v>8876.7071428571417</v>
      </c>
      <c r="H56" s="216">
        <f>$E56*'Ext Equiv'!G353*0.1*0.3*1000</f>
        <v>9473.0142857142837</v>
      </c>
      <c r="I56" s="216">
        <f>$E56*'Ext Equiv'!H353*0.1*0.3*1000</f>
        <v>10069.321428571426</v>
      </c>
      <c r="J56" s="216">
        <f>$E56*'Ext Equiv'!I353*0.1*0.3*1000</f>
        <v>10665.62857142857</v>
      </c>
      <c r="K56" s="216">
        <f>$E56*'Ext Equiv'!J353*0.1*0.3*1000</f>
        <v>11538.005714285711</v>
      </c>
      <c r="L56" s="216">
        <f>$E56*'Ext Equiv'!K353*0.1*0.3*1000</f>
        <v>11886.687857142859</v>
      </c>
      <c r="M56" s="216">
        <f>$E56*'Ext Equiv'!L353*0.1*0.3*1000</f>
        <v>12494.370000000003</v>
      </c>
      <c r="N56" s="216">
        <f>$E56*'Ext Equiv'!M353*0.1*0.3*1000</f>
        <v>12728.29</v>
      </c>
      <c r="O56" s="216">
        <f>$E56*'Ext Equiv'!N353*0.1*0.3*1000</f>
        <v>12751.039999999999</v>
      </c>
      <c r="P56" s="216">
        <f>$E56*'Ext Equiv'!O353*0.1*0.3*1000</f>
        <v>12762.415000000001</v>
      </c>
      <c r="Q56" s="216">
        <f>$E56*'Ext Equiv'!P353*0.1*0.3*1000</f>
        <v>12908.5</v>
      </c>
      <c r="R56" s="216">
        <f>$E56*'Ext Equiv'!Q353*0.1*0.3*1000</f>
        <v>12931.25</v>
      </c>
      <c r="S56" s="216">
        <f>$E56*'Ext Equiv'!R353*0.1*0.3*1000</f>
        <v>13099.925000000001</v>
      </c>
      <c r="T56" s="216">
        <f>$E56*'Ext Equiv'!S353*0.1*0.3*1000</f>
        <v>13099.925000000001</v>
      </c>
      <c r="U56" s="216">
        <f>$E56*'Ext Equiv'!T353*0.1*0.3*1000</f>
        <v>13111.300000000001</v>
      </c>
      <c r="V56" s="216">
        <f>$E56*'Ext Equiv'!U353*0.1*0.3*1000</f>
        <v>13111.300000000001</v>
      </c>
      <c r="W56" s="216">
        <f>$E56*'Ext Equiv'!V353*0.1*0.3*1000</f>
        <v>13111.300000000001</v>
      </c>
      <c r="X56" s="216">
        <f>$E56*'Ext Equiv'!W353*0.1*0.3*1000</f>
        <v>13111.300000000001</v>
      </c>
      <c r="Y56" s="216">
        <f>$E56*'Ext Equiv'!X353*0.1*0.3*1000</f>
        <v>13985.14</v>
      </c>
      <c r="Z56" s="216">
        <f>$E56*'Ext Equiv'!Y353*0.1*0.3*1000</f>
        <v>13985.14</v>
      </c>
      <c r="AA56" s="216">
        <f>$E56*'Ext Equiv'!Z353*0.1*0.3*1000</f>
        <v>13985.14</v>
      </c>
      <c r="AB56" s="216">
        <f>$E56*'Ext Equiv'!AA353*0.1*0.3*1000</f>
        <v>13985.14</v>
      </c>
      <c r="AC56" s="216">
        <f>$E56*'Ext Equiv'!AB353*0.1*0.3*1000</f>
        <v>14794.3</v>
      </c>
      <c r="AD56" s="216">
        <f>$E56*'Ext Equiv'!AC353*0.1*0.3*1000</f>
        <v>14794.3</v>
      </c>
      <c r="AE56" s="216">
        <f>$E56*'Ext Equiv'!AD353*0.1*0.3*1000</f>
        <v>14794.3</v>
      </c>
      <c r="AF56" s="216">
        <f>$E56*'Ext Equiv'!AE353*0.1*0.3*1000</f>
        <v>14794.3</v>
      </c>
      <c r="AG56" s="216">
        <f>$E56*'Ext Equiv'!AF353*0.1*0.3*1000</f>
        <v>14794.3</v>
      </c>
      <c r="AH56" s="216">
        <f>$E56*'Ext Equiv'!AG353*0.1*0.3*1000</f>
        <v>14794.3</v>
      </c>
      <c r="AI56" s="216">
        <f>$E56*'Ext Equiv'!AH353*0.1*0.3*1000</f>
        <v>14794.3</v>
      </c>
      <c r="AJ56" s="317">
        <f>SUM(F56:AI56)</f>
        <v>377230.93999999989</v>
      </c>
    </row>
    <row r="57" spans="2:39" ht="14.4">
      <c r="B57" s="318">
        <v>4915712</v>
      </c>
      <c r="C57" s="319" t="s">
        <v>156</v>
      </c>
      <c r="D57" s="240" t="str">
        <f>VLOOKUP(B57,'Padrão Conserva'!$B$21:$G$75,3,FALSE)</f>
        <v>m³/m</v>
      </c>
      <c r="E57" s="241">
        <f>VLOOKUP(B57,'Padrão Conserva'!$B$21:$G$75,4,FALSE)</f>
        <v>0.5</v>
      </c>
      <c r="F57" s="214">
        <v>0</v>
      </c>
      <c r="G57" s="216">
        <f t="shared" ref="G57:AI57" si="6">($G$13*11.6849)*$E$57</f>
        <v>1324.4834149999999</v>
      </c>
      <c r="H57" s="216">
        <f t="shared" si="6"/>
        <v>1324.4834149999999</v>
      </c>
      <c r="I57" s="216">
        <f t="shared" si="6"/>
        <v>1324.4834149999999</v>
      </c>
      <c r="J57" s="216">
        <f t="shared" si="6"/>
        <v>1324.4834149999999</v>
      </c>
      <c r="K57" s="216">
        <f t="shared" si="6"/>
        <v>1324.4834149999999</v>
      </c>
      <c r="L57" s="216">
        <f t="shared" si="6"/>
        <v>1324.4834149999999</v>
      </c>
      <c r="M57" s="216">
        <f t="shared" si="6"/>
        <v>1324.4834149999999</v>
      </c>
      <c r="N57" s="216">
        <f t="shared" si="6"/>
        <v>1324.4834149999999</v>
      </c>
      <c r="O57" s="216">
        <f t="shared" si="6"/>
        <v>1324.4834149999999</v>
      </c>
      <c r="P57" s="216">
        <f t="shared" si="6"/>
        <v>1324.4834149999999</v>
      </c>
      <c r="Q57" s="216">
        <f t="shared" si="6"/>
        <v>1324.4834149999999</v>
      </c>
      <c r="R57" s="216">
        <f t="shared" si="6"/>
        <v>1324.4834149999999</v>
      </c>
      <c r="S57" s="216">
        <f t="shared" si="6"/>
        <v>1324.4834149999999</v>
      </c>
      <c r="T57" s="216">
        <f t="shared" si="6"/>
        <v>1324.4834149999999</v>
      </c>
      <c r="U57" s="216">
        <f t="shared" si="6"/>
        <v>1324.4834149999999</v>
      </c>
      <c r="V57" s="216">
        <f t="shared" si="6"/>
        <v>1324.4834149999999</v>
      </c>
      <c r="W57" s="216">
        <f t="shared" si="6"/>
        <v>1324.4834149999999</v>
      </c>
      <c r="X57" s="216">
        <f t="shared" si="6"/>
        <v>1324.4834149999999</v>
      </c>
      <c r="Y57" s="216">
        <f t="shared" si="6"/>
        <v>1324.4834149999999</v>
      </c>
      <c r="Z57" s="216">
        <f t="shared" si="6"/>
        <v>1324.4834149999999</v>
      </c>
      <c r="AA57" s="216">
        <f t="shared" si="6"/>
        <v>1324.4834149999999</v>
      </c>
      <c r="AB57" s="216">
        <f t="shared" si="6"/>
        <v>1324.4834149999999</v>
      </c>
      <c r="AC57" s="216">
        <f t="shared" si="6"/>
        <v>1324.4834149999999</v>
      </c>
      <c r="AD57" s="216">
        <f t="shared" si="6"/>
        <v>1324.4834149999999</v>
      </c>
      <c r="AE57" s="216">
        <f t="shared" si="6"/>
        <v>1324.4834149999999</v>
      </c>
      <c r="AF57" s="216">
        <f t="shared" si="6"/>
        <v>1324.4834149999999</v>
      </c>
      <c r="AG57" s="216">
        <f t="shared" si="6"/>
        <v>1324.4834149999999</v>
      </c>
      <c r="AH57" s="216">
        <f t="shared" si="6"/>
        <v>1324.4834149999999</v>
      </c>
      <c r="AI57" s="216">
        <f t="shared" si="6"/>
        <v>1324.4834149999999</v>
      </c>
      <c r="AJ57" s="317">
        <f>SUM(F57:AI57)</f>
        <v>38410.019034999998</v>
      </c>
    </row>
    <row r="58" spans="2:39" ht="14.4">
      <c r="B58" s="318" t="s">
        <v>136</v>
      </c>
      <c r="C58" s="319" t="s">
        <v>157</v>
      </c>
      <c r="D58" s="240" t="str">
        <f>VLOOKUP(B58,'Padrão Conserva'!$B$21:$G$75,3,FALSE)</f>
        <v>m³/km</v>
      </c>
      <c r="E58" s="241">
        <f>VLOOKUP(B58,'Padrão Conserva'!$B$21:$G$75,4,FALSE)</f>
        <v>0.2</v>
      </c>
      <c r="F58" s="214">
        <v>0</v>
      </c>
      <c r="G58" s="216">
        <f>$E58*'Ext Equiv'!F353</f>
        <v>29.589023809523805</v>
      </c>
      <c r="H58" s="216">
        <f>$E58*'Ext Equiv'!G353</f>
        <v>31.576714285714282</v>
      </c>
      <c r="I58" s="216">
        <f>$E58*'Ext Equiv'!H353</f>
        <v>33.564404761904754</v>
      </c>
      <c r="J58" s="216">
        <f>$E58*'Ext Equiv'!I353</f>
        <v>35.552095238095234</v>
      </c>
      <c r="K58" s="216">
        <f>$E58*'Ext Equiv'!J353</f>
        <v>38.460019047619042</v>
      </c>
      <c r="L58" s="216">
        <f>$E58*'Ext Equiv'!K353</f>
        <v>39.62229285714286</v>
      </c>
      <c r="M58" s="216">
        <f>$E58*'Ext Equiv'!L353</f>
        <v>41.647900000000007</v>
      </c>
      <c r="N58" s="216">
        <f>$E58*'Ext Equiv'!M353</f>
        <v>42.42763333333334</v>
      </c>
      <c r="O58" s="216">
        <f>$E58*'Ext Equiv'!N353</f>
        <v>42.503466666666668</v>
      </c>
      <c r="P58" s="216">
        <f>$E58*'Ext Equiv'!O353</f>
        <v>42.541383333333336</v>
      </c>
      <c r="Q58" s="216">
        <f>$E58*'Ext Equiv'!P353</f>
        <v>43.028333333333336</v>
      </c>
      <c r="R58" s="216">
        <f>$E58*'Ext Equiv'!Q353</f>
        <v>43.104166666666671</v>
      </c>
      <c r="S58" s="216">
        <f>$E58*'Ext Equiv'!R353</f>
        <v>43.66641666666667</v>
      </c>
      <c r="T58" s="216">
        <f>$E58*'Ext Equiv'!S353</f>
        <v>43.66641666666667</v>
      </c>
      <c r="U58" s="216">
        <f>$E58*'Ext Equiv'!T353</f>
        <v>43.704333333333338</v>
      </c>
      <c r="V58" s="216">
        <f>$E58*'Ext Equiv'!U353</f>
        <v>43.704333333333338</v>
      </c>
      <c r="W58" s="216">
        <f>$E58*'Ext Equiv'!V353</f>
        <v>43.704333333333338</v>
      </c>
      <c r="X58" s="216">
        <f>$E58*'Ext Equiv'!W353</f>
        <v>43.704333333333338</v>
      </c>
      <c r="Y58" s="216">
        <f>$E58*'Ext Equiv'!X353</f>
        <v>46.617133333333335</v>
      </c>
      <c r="Z58" s="216">
        <f>$E58*'Ext Equiv'!Y353</f>
        <v>46.617133333333335</v>
      </c>
      <c r="AA58" s="216">
        <f>$E58*'Ext Equiv'!Z353</f>
        <v>46.617133333333335</v>
      </c>
      <c r="AB58" s="216">
        <f>$E58*'Ext Equiv'!AA353</f>
        <v>46.617133333333335</v>
      </c>
      <c r="AC58" s="216">
        <f>$E58*'Ext Equiv'!AB353</f>
        <v>49.314333333333337</v>
      </c>
      <c r="AD58" s="216">
        <f>$E58*'Ext Equiv'!AC353</f>
        <v>49.314333333333337</v>
      </c>
      <c r="AE58" s="216">
        <f>$E58*'Ext Equiv'!AD353</f>
        <v>49.314333333333337</v>
      </c>
      <c r="AF58" s="216">
        <f>$E58*'Ext Equiv'!AE353</f>
        <v>49.314333333333337</v>
      </c>
      <c r="AG58" s="216">
        <f>$E58*'Ext Equiv'!AF353</f>
        <v>49.314333333333337</v>
      </c>
      <c r="AH58" s="216">
        <f>$E58*'Ext Equiv'!AG353</f>
        <v>49.314333333333337</v>
      </c>
      <c r="AI58" s="216">
        <f>$E58*'Ext Equiv'!AH353</f>
        <v>49.314333333333337</v>
      </c>
      <c r="AJ58" s="317">
        <f>SUM(F58:AI58)</f>
        <v>1257.4364666666663</v>
      </c>
      <c r="AM58" s="51"/>
    </row>
    <row r="59" spans="2:39">
      <c r="B59" s="205"/>
      <c r="C59" s="206" t="s">
        <v>158</v>
      </c>
      <c r="D59" s="205"/>
      <c r="E59" s="239"/>
      <c r="F59" s="243"/>
      <c r="G59" s="244"/>
      <c r="H59" s="244"/>
      <c r="I59" s="244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5"/>
    </row>
    <row r="60" spans="2:39">
      <c r="B60" s="43"/>
      <c r="C60" s="38" t="s">
        <v>159</v>
      </c>
      <c r="D60" s="43"/>
      <c r="E60" s="53"/>
      <c r="F60" s="46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59"/>
    </row>
    <row r="61" spans="2:39" ht="14.4">
      <c r="B61" s="318" t="s">
        <v>160</v>
      </c>
      <c r="C61" s="319" t="s">
        <v>161</v>
      </c>
      <c r="D61" s="240" t="str">
        <f>VLOOKUP(B61,'Padrão Conserva'!$B$21:$G$75,3,FALSE)</f>
        <v>m³/km.eq</v>
      </c>
      <c r="E61" s="241">
        <f>VLOOKUP(B61,'Padrão Conserva'!$B$21:$G$75,4,FALSE)</f>
        <v>4</v>
      </c>
      <c r="F61" s="214">
        <v>0</v>
      </c>
      <c r="G61" s="216">
        <f>$E61*'Ext Equiv'!F353</f>
        <v>591.78047619047607</v>
      </c>
      <c r="H61" s="216">
        <f>$E61*'Ext Equiv'!G353</f>
        <v>631.5342857142856</v>
      </c>
      <c r="I61" s="216">
        <f>$E61*'Ext Equiv'!H353</f>
        <v>671.28809523809502</v>
      </c>
      <c r="J61" s="216">
        <f>$E61*'Ext Equiv'!I353</f>
        <v>711.04190476190468</v>
      </c>
      <c r="K61" s="216">
        <f>$E61*'Ext Equiv'!J353</f>
        <v>769.20038095238078</v>
      </c>
      <c r="L61" s="216">
        <f>$E61*'Ext Equiv'!K353</f>
        <v>792.44585714285711</v>
      </c>
      <c r="M61" s="216">
        <f>$E61*'Ext Equiv'!L353</f>
        <v>832.95800000000008</v>
      </c>
      <c r="N61" s="216">
        <f>$E61*'Ext Equiv'!M353</f>
        <v>848.55266666666671</v>
      </c>
      <c r="O61" s="216">
        <f>$E61*'Ext Equiv'!N353</f>
        <v>850.06933333333336</v>
      </c>
      <c r="P61" s="216">
        <f>$E61*'Ext Equiv'!O353</f>
        <v>850.82766666666669</v>
      </c>
      <c r="Q61" s="216">
        <f>$E61*'Ext Equiv'!P353</f>
        <v>860.56666666666661</v>
      </c>
      <c r="R61" s="216">
        <f>$E61*'Ext Equiv'!Q353</f>
        <v>862.08333333333337</v>
      </c>
      <c r="S61" s="216">
        <f>$E61*'Ext Equiv'!R353</f>
        <v>873.32833333333338</v>
      </c>
      <c r="T61" s="216">
        <f>$E61*'Ext Equiv'!S353</f>
        <v>873.32833333333338</v>
      </c>
      <c r="U61" s="216">
        <f>$E61*'Ext Equiv'!T353</f>
        <v>874.0866666666667</v>
      </c>
      <c r="V61" s="216">
        <f>$E61*'Ext Equiv'!U353</f>
        <v>874.0866666666667</v>
      </c>
      <c r="W61" s="216">
        <f>$E61*'Ext Equiv'!V353</f>
        <v>874.0866666666667</v>
      </c>
      <c r="X61" s="216">
        <f>$E61*'Ext Equiv'!W353</f>
        <v>874.0866666666667</v>
      </c>
      <c r="Y61" s="216">
        <f>$E61*'Ext Equiv'!X353</f>
        <v>932.34266666666667</v>
      </c>
      <c r="Z61" s="216">
        <f>$E61*'Ext Equiv'!Y353</f>
        <v>932.34266666666667</v>
      </c>
      <c r="AA61" s="216">
        <f>$E61*'Ext Equiv'!Z353</f>
        <v>932.34266666666667</v>
      </c>
      <c r="AB61" s="216">
        <f>$E61*'Ext Equiv'!AA353</f>
        <v>932.34266666666667</v>
      </c>
      <c r="AC61" s="216">
        <f>$E61*'Ext Equiv'!AB353</f>
        <v>986.28666666666663</v>
      </c>
      <c r="AD61" s="216">
        <f>$E61*'Ext Equiv'!AC353</f>
        <v>986.28666666666663</v>
      </c>
      <c r="AE61" s="216">
        <f>$E61*'Ext Equiv'!AD353</f>
        <v>986.28666666666663</v>
      </c>
      <c r="AF61" s="216">
        <f>$E61*'Ext Equiv'!AE353</f>
        <v>986.28666666666663</v>
      </c>
      <c r="AG61" s="216">
        <f>$E61*'Ext Equiv'!AF353</f>
        <v>986.28666666666663</v>
      </c>
      <c r="AH61" s="216">
        <f>$E61*'Ext Equiv'!AG353</f>
        <v>986.28666666666663</v>
      </c>
      <c r="AI61" s="216">
        <f>$E61*'Ext Equiv'!AH353</f>
        <v>986.28666666666663</v>
      </c>
      <c r="AJ61" s="317">
        <f>SUM(F61:AI61)</f>
        <v>25148.729333333333</v>
      </c>
      <c r="AK61" s="9"/>
    </row>
    <row r="62" spans="2:39" ht="14.4">
      <c r="B62" s="318" t="s">
        <v>162</v>
      </c>
      <c r="C62" s="319" t="s">
        <v>163</v>
      </c>
      <c r="D62" s="240" t="str">
        <f>VLOOKUP(B62,'Padrão Conserva'!$B$21:$G$75,3,FALSE)</f>
        <v>m³/km.eq</v>
      </c>
      <c r="E62" s="241">
        <f>VLOOKUP(B62,'Padrão Conserva'!$B$21:$G$75,4,FALSE)</f>
        <v>4</v>
      </c>
      <c r="F62" s="214">
        <v>0</v>
      </c>
      <c r="G62" s="216">
        <f>$E62*'Ext Equiv'!F353</f>
        <v>591.78047619047607</v>
      </c>
      <c r="H62" s="216">
        <f>$E62*'Ext Equiv'!G353</f>
        <v>631.5342857142856</v>
      </c>
      <c r="I62" s="216">
        <f>$E62*'Ext Equiv'!H353</f>
        <v>671.28809523809502</v>
      </c>
      <c r="J62" s="216">
        <f>$E62*'Ext Equiv'!I353</f>
        <v>711.04190476190468</v>
      </c>
      <c r="K62" s="216">
        <f>$E62*'Ext Equiv'!J353</f>
        <v>769.20038095238078</v>
      </c>
      <c r="L62" s="216">
        <f>$E62*'Ext Equiv'!K353</f>
        <v>792.44585714285711</v>
      </c>
      <c r="M62" s="216">
        <f>$E62*'Ext Equiv'!L353</f>
        <v>832.95800000000008</v>
      </c>
      <c r="N62" s="216">
        <f>$E62*'Ext Equiv'!M353</f>
        <v>848.55266666666671</v>
      </c>
      <c r="O62" s="216">
        <f>$E62*'Ext Equiv'!N353</f>
        <v>850.06933333333336</v>
      </c>
      <c r="P62" s="216">
        <f>$E62*'Ext Equiv'!O353</f>
        <v>850.82766666666669</v>
      </c>
      <c r="Q62" s="216">
        <f>$E62*'Ext Equiv'!P353</f>
        <v>860.56666666666661</v>
      </c>
      <c r="R62" s="216">
        <f>$E62*'Ext Equiv'!Q353</f>
        <v>862.08333333333337</v>
      </c>
      <c r="S62" s="216">
        <f>$E62*'Ext Equiv'!R353</f>
        <v>873.32833333333338</v>
      </c>
      <c r="T62" s="216">
        <f>$E62*'Ext Equiv'!S353</f>
        <v>873.32833333333338</v>
      </c>
      <c r="U62" s="216">
        <f>$E62*'Ext Equiv'!T353</f>
        <v>874.0866666666667</v>
      </c>
      <c r="V62" s="216">
        <f>$E62*'Ext Equiv'!U353</f>
        <v>874.0866666666667</v>
      </c>
      <c r="W62" s="216">
        <f>$E62*'Ext Equiv'!V353</f>
        <v>874.0866666666667</v>
      </c>
      <c r="X62" s="216">
        <f>$E62*'Ext Equiv'!W353</f>
        <v>874.0866666666667</v>
      </c>
      <c r="Y62" s="216">
        <f>$E62*'Ext Equiv'!X353</f>
        <v>932.34266666666667</v>
      </c>
      <c r="Z62" s="216">
        <f>$E62*'Ext Equiv'!Y353</f>
        <v>932.34266666666667</v>
      </c>
      <c r="AA62" s="216">
        <f>$E62*'Ext Equiv'!Z353</f>
        <v>932.34266666666667</v>
      </c>
      <c r="AB62" s="216">
        <f>$E62*'Ext Equiv'!AA353</f>
        <v>932.34266666666667</v>
      </c>
      <c r="AC62" s="216">
        <f>$E62*'Ext Equiv'!AB353</f>
        <v>986.28666666666663</v>
      </c>
      <c r="AD62" s="216">
        <f>$E62*'Ext Equiv'!AC353</f>
        <v>986.28666666666663</v>
      </c>
      <c r="AE62" s="216">
        <f>$E62*'Ext Equiv'!AD353</f>
        <v>986.28666666666663</v>
      </c>
      <c r="AF62" s="216">
        <f>$E62*'Ext Equiv'!AE353</f>
        <v>986.28666666666663</v>
      </c>
      <c r="AG62" s="216">
        <f>$E62*'Ext Equiv'!AF353</f>
        <v>986.28666666666663</v>
      </c>
      <c r="AH62" s="216">
        <f>$E62*'Ext Equiv'!AG353</f>
        <v>986.28666666666663</v>
      </c>
      <c r="AI62" s="216">
        <f>$E62*'Ext Equiv'!AH353</f>
        <v>986.28666666666663</v>
      </c>
      <c r="AJ62" s="317">
        <f>SUM(F62:AI62)</f>
        <v>25148.729333333333</v>
      </c>
    </row>
    <row r="63" spans="2:39" ht="14.4">
      <c r="B63" s="318" t="s">
        <v>164</v>
      </c>
      <c r="C63" s="319" t="s">
        <v>165</v>
      </c>
      <c r="D63" s="240" t="str">
        <f>VLOOKUP(B63,'Padrão Conserva'!$B$21:$G$75,3,FALSE)</f>
        <v>m³/km.eq</v>
      </c>
      <c r="E63" s="241">
        <f>VLOOKUP(B63,'Padrão Conserva'!$B$21:$G$75,4,FALSE)</f>
        <v>4</v>
      </c>
      <c r="F63" s="214">
        <v>0</v>
      </c>
      <c r="G63" s="216">
        <f>$E63*'Ext Equiv'!F353</f>
        <v>591.78047619047607</v>
      </c>
      <c r="H63" s="216">
        <f>$E63*'Ext Equiv'!G353</f>
        <v>631.5342857142856</v>
      </c>
      <c r="I63" s="216">
        <f>$E63*'Ext Equiv'!H353</f>
        <v>671.28809523809502</v>
      </c>
      <c r="J63" s="216">
        <f>$E63*'Ext Equiv'!I353</f>
        <v>711.04190476190468</v>
      </c>
      <c r="K63" s="216">
        <f>$E63*'Ext Equiv'!J353</f>
        <v>769.20038095238078</v>
      </c>
      <c r="L63" s="216">
        <f>$E63*'Ext Equiv'!K353</f>
        <v>792.44585714285711</v>
      </c>
      <c r="M63" s="216">
        <f>$E63*'Ext Equiv'!L353</f>
        <v>832.95800000000008</v>
      </c>
      <c r="N63" s="216">
        <f>$E63*'Ext Equiv'!M353</f>
        <v>848.55266666666671</v>
      </c>
      <c r="O63" s="216">
        <f>$E63*'Ext Equiv'!N353</f>
        <v>850.06933333333336</v>
      </c>
      <c r="P63" s="216">
        <f>$E63*'Ext Equiv'!O353</f>
        <v>850.82766666666669</v>
      </c>
      <c r="Q63" s="216">
        <f>$E63*'Ext Equiv'!P353</f>
        <v>860.56666666666661</v>
      </c>
      <c r="R63" s="216">
        <f>$E63*'Ext Equiv'!Q353</f>
        <v>862.08333333333337</v>
      </c>
      <c r="S63" s="216">
        <f>$E63*'Ext Equiv'!R353</f>
        <v>873.32833333333338</v>
      </c>
      <c r="T63" s="216">
        <f>$E63*'Ext Equiv'!S353</f>
        <v>873.32833333333338</v>
      </c>
      <c r="U63" s="216">
        <f>$E63*'Ext Equiv'!T353</f>
        <v>874.0866666666667</v>
      </c>
      <c r="V63" s="216">
        <f>$E63*'Ext Equiv'!U353</f>
        <v>874.0866666666667</v>
      </c>
      <c r="W63" s="216">
        <f>$E63*'Ext Equiv'!V353</f>
        <v>874.0866666666667</v>
      </c>
      <c r="X63" s="216">
        <f>$E63*'Ext Equiv'!W353</f>
        <v>874.0866666666667</v>
      </c>
      <c r="Y63" s="216">
        <f>$E63*'Ext Equiv'!X353</f>
        <v>932.34266666666667</v>
      </c>
      <c r="Z63" s="216">
        <f>$E63*'Ext Equiv'!Y353</f>
        <v>932.34266666666667</v>
      </c>
      <c r="AA63" s="216">
        <f>$E63*'Ext Equiv'!Z353</f>
        <v>932.34266666666667</v>
      </c>
      <c r="AB63" s="216">
        <f>$E63*'Ext Equiv'!AA353</f>
        <v>932.34266666666667</v>
      </c>
      <c r="AC63" s="216">
        <f>$E63*'Ext Equiv'!AB353</f>
        <v>986.28666666666663</v>
      </c>
      <c r="AD63" s="216">
        <f>$E63*'Ext Equiv'!AC353</f>
        <v>986.28666666666663</v>
      </c>
      <c r="AE63" s="216">
        <f>$E63*'Ext Equiv'!AD353</f>
        <v>986.28666666666663</v>
      </c>
      <c r="AF63" s="216">
        <f>$E63*'Ext Equiv'!AE353</f>
        <v>986.28666666666663</v>
      </c>
      <c r="AG63" s="216">
        <f>$E63*'Ext Equiv'!AF353</f>
        <v>986.28666666666663</v>
      </c>
      <c r="AH63" s="216">
        <f>$E63*'Ext Equiv'!AG353</f>
        <v>986.28666666666663</v>
      </c>
      <c r="AI63" s="216">
        <f>$E63*'Ext Equiv'!AH353</f>
        <v>986.28666666666663</v>
      </c>
      <c r="AJ63" s="317">
        <f>SUM(F63:AI63)</f>
        <v>25148.729333333333</v>
      </c>
      <c r="AK63" s="9"/>
    </row>
    <row r="64" spans="2:39">
      <c r="B64" s="205"/>
      <c r="C64" s="206" t="s">
        <v>166</v>
      </c>
      <c r="D64" s="205"/>
      <c r="E64" s="239"/>
      <c r="F64" s="243"/>
      <c r="G64" s="244"/>
      <c r="H64" s="244"/>
      <c r="I64" s="244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5"/>
    </row>
    <row r="65" spans="2:36">
      <c r="B65" s="43"/>
      <c r="C65" s="38" t="s">
        <v>223</v>
      </c>
      <c r="D65" s="43"/>
      <c r="E65" s="53"/>
      <c r="F65" s="46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59"/>
    </row>
    <row r="66" spans="2:36">
      <c r="B66" s="43"/>
      <c r="C66" s="38" t="s">
        <v>224</v>
      </c>
      <c r="D66" s="55" t="s">
        <v>169</v>
      </c>
      <c r="E66" s="56"/>
      <c r="F66" s="57"/>
      <c r="G66" s="58">
        <f>(($G$13*1000*4*2/10000)+(('Ext Equiv'!F110+'Ext Equiv'!F119+'Ext Equiv'!F301+'Ext Equiv'!F304)*8/10000))</f>
        <v>181.36</v>
      </c>
      <c r="H66" s="58">
        <f>(($G$13*1000*4*2/10000)+(('Ext Equiv'!G110+'Ext Equiv'!G119+'Ext Equiv'!G301+'Ext Equiv'!G304)*8/10000))</f>
        <v>181.36</v>
      </c>
      <c r="I66" s="58">
        <f>(($G$13*1000*4*2/10000)+(('Ext Equiv'!H110+'Ext Equiv'!H119+'Ext Equiv'!H301+'Ext Equiv'!H304)*8/10000))</f>
        <v>181.36</v>
      </c>
      <c r="J66" s="58">
        <f>(($G$13*1000*4*2/10000)+(('Ext Equiv'!I110+'Ext Equiv'!I119+'Ext Equiv'!I301+'Ext Equiv'!I304)*8/10000))</f>
        <v>181.36</v>
      </c>
      <c r="K66" s="58">
        <f>(($G$13*1000*4*2/10000)+(('Ext Equiv'!J110+'Ext Equiv'!J119+'Ext Equiv'!J301+'Ext Equiv'!J304)*8/10000))</f>
        <v>181.36104</v>
      </c>
      <c r="L66" s="58">
        <f>(($G$13*1000*4*2/10000)+(('Ext Equiv'!K110+'Ext Equiv'!K119+'Ext Equiv'!K301+'Ext Equiv'!K304)*8/10000))</f>
        <v>181.36052000000001</v>
      </c>
      <c r="M66" s="58">
        <f>(($G$13*1000*4*2/10000)+(('Ext Equiv'!L110+'Ext Equiv'!L119+'Ext Equiv'!L301+'Ext Equiv'!L304)*8/10000))</f>
        <v>181.36052000000001</v>
      </c>
      <c r="N66" s="58">
        <f>(($G$13*1000*4*2/10000)+(('Ext Equiv'!M110+'Ext Equiv'!M119+'Ext Equiv'!M301+'Ext Equiv'!M304)*8/10000))</f>
        <v>181.36</v>
      </c>
      <c r="O66" s="58">
        <f>(($G$13*1000*4*2/10000)+(('Ext Equiv'!N110+'Ext Equiv'!N119+'Ext Equiv'!N301+'Ext Equiv'!N304)*8/10000))</f>
        <v>181.36104</v>
      </c>
      <c r="P66" s="58">
        <f>(($G$13*1000*4*2/10000)+(('Ext Equiv'!O110+'Ext Equiv'!O119+'Ext Equiv'!O301+'Ext Equiv'!O304)*8/10000))</f>
        <v>181.36052000000001</v>
      </c>
      <c r="Q66" s="58">
        <f>(($G$13*1000*4*2/10000)+(('Ext Equiv'!P110+'Ext Equiv'!P119+'Ext Equiv'!P301+'Ext Equiv'!P304)*8/10000))</f>
        <v>181.36052000000001</v>
      </c>
      <c r="R66" s="58">
        <f>(($G$13*1000*4*2/10000)+(('Ext Equiv'!Q110+'Ext Equiv'!Q119+'Ext Equiv'!Q301+'Ext Equiv'!Q304)*8/10000))</f>
        <v>181.36104</v>
      </c>
      <c r="S66" s="58">
        <f>(($G$13*1000*4*2/10000)+(('Ext Equiv'!R110+'Ext Equiv'!R119+'Ext Equiv'!R301+'Ext Equiv'!R304)*8/10000))</f>
        <v>181.36052000000001</v>
      </c>
      <c r="T66" s="58">
        <f>(($G$13*1000*4*2/10000)+(('Ext Equiv'!S110+'Ext Equiv'!S119+'Ext Equiv'!S301+'Ext Equiv'!S304)*8/10000))</f>
        <v>181.36</v>
      </c>
      <c r="U66" s="58">
        <f>(($G$13*1000*4*2/10000)+(('Ext Equiv'!T110+'Ext Equiv'!T119+'Ext Equiv'!T301+'Ext Equiv'!T304)*8/10000))</f>
        <v>181.36052000000001</v>
      </c>
      <c r="V66" s="58">
        <f>(($G$13*1000*4*2/10000)+(('Ext Equiv'!U110+'Ext Equiv'!U119+'Ext Equiv'!U301+'Ext Equiv'!U304)*8/10000))</f>
        <v>181.36</v>
      </c>
      <c r="W66" s="58">
        <f>(($G$13*1000*4*2/10000)+(('Ext Equiv'!V110+'Ext Equiv'!V119+'Ext Equiv'!V301+'Ext Equiv'!V304)*8/10000))</f>
        <v>181.36</v>
      </c>
      <c r="X66" s="58">
        <f>(($G$13*1000*4*2/10000)+(('Ext Equiv'!W110+'Ext Equiv'!W119+'Ext Equiv'!W301+'Ext Equiv'!W304)*8/10000))</f>
        <v>181.36</v>
      </c>
      <c r="Y66" s="58">
        <f>(($G$13*1000*4*2/10000)+(('Ext Equiv'!X110+'Ext Equiv'!X119+'Ext Equiv'!X301+'Ext Equiv'!X304)*8/10000))</f>
        <v>181.36</v>
      </c>
      <c r="Z66" s="58">
        <f>(($G$13*1000*4*2/10000)+(('Ext Equiv'!Y110+'Ext Equiv'!Y119+'Ext Equiv'!Y301+'Ext Equiv'!Y304)*8/10000))</f>
        <v>181.36</v>
      </c>
      <c r="AA66" s="58">
        <f>(($G$13*1000*4*2/10000)+(('Ext Equiv'!Z110+'Ext Equiv'!Z119+'Ext Equiv'!Z301+'Ext Equiv'!Z304)*8/10000))</f>
        <v>181.36</v>
      </c>
      <c r="AB66" s="58">
        <f>(($G$13*1000*4*2/10000)+(('Ext Equiv'!AA110+'Ext Equiv'!AA119+'Ext Equiv'!AA301+'Ext Equiv'!AA304)*8/10000))</f>
        <v>181.36</v>
      </c>
      <c r="AC66" s="58">
        <f>(($G$13*1000*4*2/10000)+(('Ext Equiv'!AB110+'Ext Equiv'!AB119+'Ext Equiv'!AB301+'Ext Equiv'!AB304)*8/10000))</f>
        <v>181.36</v>
      </c>
      <c r="AD66" s="58">
        <f>(($G$13*1000*4*2/10000)+(('Ext Equiv'!AC110+'Ext Equiv'!AC119+'Ext Equiv'!AC301+'Ext Equiv'!AC304)*8/10000))</f>
        <v>181.36</v>
      </c>
      <c r="AE66" s="58">
        <f>(($G$13*1000*4*2/10000)+(('Ext Equiv'!AD110+'Ext Equiv'!AD119+'Ext Equiv'!AD301+'Ext Equiv'!AD304)*8/10000))</f>
        <v>181.36</v>
      </c>
      <c r="AF66" s="58">
        <f>(($G$13*1000*4*2/10000)+(('Ext Equiv'!AE110+'Ext Equiv'!AE119+'Ext Equiv'!AE301+'Ext Equiv'!AE304)*8/10000))</f>
        <v>181.36</v>
      </c>
      <c r="AG66" s="58">
        <f>(($G$13*1000*4*2/10000)+(('Ext Equiv'!AF110+'Ext Equiv'!AF119+'Ext Equiv'!AF301+'Ext Equiv'!AF304)*8/10000))</f>
        <v>181.36</v>
      </c>
      <c r="AH66" s="58">
        <f>(($G$13*1000*4*2/10000)+(('Ext Equiv'!AG110+'Ext Equiv'!AG119+'Ext Equiv'!AG301+'Ext Equiv'!AG304)*8/10000))</f>
        <v>181.36</v>
      </c>
      <c r="AI66" s="58">
        <f>(($G$13*1000*4*2/10000)+(('Ext Equiv'!AH110+'Ext Equiv'!AH119+'Ext Equiv'!AH301+'Ext Equiv'!AH304)*8/10000))</f>
        <v>181.36</v>
      </c>
      <c r="AJ66" s="59"/>
    </row>
    <row r="67" spans="2:36" ht="14.4">
      <c r="B67" s="318">
        <v>4915740</v>
      </c>
      <c r="C67" s="319" t="s">
        <v>168</v>
      </c>
      <c r="D67" s="240" t="str">
        <f>VLOOKUP(B67,'Padrão Conserva'!$B$21:$G$75,3,FALSE)</f>
        <v>ha/km</v>
      </c>
      <c r="E67" s="241">
        <f>VLOOKUP(B67,'Padrão Conserva'!$B$21:$G$75,4,FALSE)</f>
        <v>4</v>
      </c>
      <c r="F67" s="214">
        <v>0</v>
      </c>
      <c r="G67" s="216">
        <f>(G66*20%*$E67)</f>
        <v>145.08800000000002</v>
      </c>
      <c r="H67" s="216">
        <f t="shared" ref="H67:AI67" si="7">(H66*20%*$E67)</f>
        <v>145.08800000000002</v>
      </c>
      <c r="I67" s="216">
        <f t="shared" si="7"/>
        <v>145.08800000000002</v>
      </c>
      <c r="J67" s="216">
        <f t="shared" si="7"/>
        <v>145.08800000000002</v>
      </c>
      <c r="K67" s="216">
        <f t="shared" si="7"/>
        <v>145.088832</v>
      </c>
      <c r="L67" s="216">
        <f t="shared" si="7"/>
        <v>145.08841600000002</v>
      </c>
      <c r="M67" s="216">
        <f t="shared" si="7"/>
        <v>145.08841600000002</v>
      </c>
      <c r="N67" s="216">
        <f t="shared" si="7"/>
        <v>145.08800000000002</v>
      </c>
      <c r="O67" s="216">
        <f t="shared" si="7"/>
        <v>145.088832</v>
      </c>
      <c r="P67" s="216">
        <f t="shared" si="7"/>
        <v>145.08841600000002</v>
      </c>
      <c r="Q67" s="216">
        <f t="shared" si="7"/>
        <v>145.08841600000002</v>
      </c>
      <c r="R67" s="216">
        <f t="shared" si="7"/>
        <v>145.088832</v>
      </c>
      <c r="S67" s="216">
        <f t="shared" si="7"/>
        <v>145.08841600000002</v>
      </c>
      <c r="T67" s="216">
        <f t="shared" si="7"/>
        <v>145.08800000000002</v>
      </c>
      <c r="U67" s="216">
        <f t="shared" si="7"/>
        <v>145.08841600000002</v>
      </c>
      <c r="V67" s="216">
        <f t="shared" si="7"/>
        <v>145.08800000000002</v>
      </c>
      <c r="W67" s="216">
        <f t="shared" si="7"/>
        <v>145.08800000000002</v>
      </c>
      <c r="X67" s="216">
        <f t="shared" si="7"/>
        <v>145.08800000000002</v>
      </c>
      <c r="Y67" s="216">
        <f t="shared" si="7"/>
        <v>145.08800000000002</v>
      </c>
      <c r="Z67" s="216">
        <f t="shared" si="7"/>
        <v>145.08800000000002</v>
      </c>
      <c r="AA67" s="216">
        <f t="shared" si="7"/>
        <v>145.08800000000002</v>
      </c>
      <c r="AB67" s="216">
        <f t="shared" si="7"/>
        <v>145.08800000000002</v>
      </c>
      <c r="AC67" s="216">
        <f t="shared" si="7"/>
        <v>145.08800000000002</v>
      </c>
      <c r="AD67" s="216">
        <f t="shared" si="7"/>
        <v>145.08800000000002</v>
      </c>
      <c r="AE67" s="216">
        <f t="shared" si="7"/>
        <v>145.08800000000002</v>
      </c>
      <c r="AF67" s="216">
        <f t="shared" si="7"/>
        <v>145.08800000000002</v>
      </c>
      <c r="AG67" s="216">
        <f t="shared" si="7"/>
        <v>145.08800000000002</v>
      </c>
      <c r="AH67" s="216">
        <f t="shared" si="7"/>
        <v>145.08800000000002</v>
      </c>
      <c r="AI67" s="216">
        <f t="shared" si="7"/>
        <v>145.08800000000002</v>
      </c>
      <c r="AJ67" s="317">
        <f t="shared" ref="AJ67:AJ72" si="8">SUM(F67:AI67)</f>
        <v>4207.5569920000025</v>
      </c>
    </row>
    <row r="68" spans="2:36" ht="14.4">
      <c r="B68" s="318">
        <v>4915742</v>
      </c>
      <c r="C68" s="319" t="s">
        <v>170</v>
      </c>
      <c r="D68" s="240" t="str">
        <f>VLOOKUP(B68,'Padrão Conserva'!$B$21:$G$75,3,FALSE)</f>
        <v>ha/km</v>
      </c>
      <c r="E68" s="241">
        <f>VLOOKUP(B68,'Padrão Conserva'!$B$21:$G$75,4,FALSE)</f>
        <v>4</v>
      </c>
      <c r="F68" s="214">
        <v>0</v>
      </c>
      <c r="G68" s="216">
        <f>(G$66*80%*$E68)</f>
        <v>580.35200000000009</v>
      </c>
      <c r="H68" s="216">
        <f t="shared" ref="H68:AI68" si="9">(H$66*80%*$E68)</f>
        <v>580.35200000000009</v>
      </c>
      <c r="I68" s="216">
        <f t="shared" si="9"/>
        <v>580.35200000000009</v>
      </c>
      <c r="J68" s="216">
        <f t="shared" si="9"/>
        <v>580.35200000000009</v>
      </c>
      <c r="K68" s="216">
        <f t="shared" si="9"/>
        <v>580.35532799999999</v>
      </c>
      <c r="L68" s="216">
        <f t="shared" si="9"/>
        <v>580.35366400000009</v>
      </c>
      <c r="M68" s="216">
        <f t="shared" si="9"/>
        <v>580.35366400000009</v>
      </c>
      <c r="N68" s="216">
        <f t="shared" si="9"/>
        <v>580.35200000000009</v>
      </c>
      <c r="O68" s="216">
        <f t="shared" si="9"/>
        <v>580.35532799999999</v>
      </c>
      <c r="P68" s="216">
        <f t="shared" si="9"/>
        <v>580.35366400000009</v>
      </c>
      <c r="Q68" s="216">
        <f t="shared" si="9"/>
        <v>580.35366400000009</v>
      </c>
      <c r="R68" s="216">
        <f t="shared" si="9"/>
        <v>580.35532799999999</v>
      </c>
      <c r="S68" s="216">
        <f t="shared" si="9"/>
        <v>580.35366400000009</v>
      </c>
      <c r="T68" s="216">
        <f t="shared" si="9"/>
        <v>580.35200000000009</v>
      </c>
      <c r="U68" s="216">
        <f t="shared" si="9"/>
        <v>580.35366400000009</v>
      </c>
      <c r="V68" s="216">
        <f t="shared" si="9"/>
        <v>580.35200000000009</v>
      </c>
      <c r="W68" s="216">
        <f t="shared" si="9"/>
        <v>580.35200000000009</v>
      </c>
      <c r="X68" s="216">
        <f t="shared" si="9"/>
        <v>580.35200000000009</v>
      </c>
      <c r="Y68" s="216">
        <f t="shared" si="9"/>
        <v>580.35200000000009</v>
      </c>
      <c r="Z68" s="216">
        <f t="shared" si="9"/>
        <v>580.35200000000009</v>
      </c>
      <c r="AA68" s="216">
        <f t="shared" si="9"/>
        <v>580.35200000000009</v>
      </c>
      <c r="AB68" s="216">
        <f t="shared" si="9"/>
        <v>580.35200000000009</v>
      </c>
      <c r="AC68" s="216">
        <f t="shared" si="9"/>
        <v>580.35200000000009</v>
      </c>
      <c r="AD68" s="216">
        <f t="shared" si="9"/>
        <v>580.35200000000009</v>
      </c>
      <c r="AE68" s="216">
        <f t="shared" si="9"/>
        <v>580.35200000000009</v>
      </c>
      <c r="AF68" s="216">
        <f t="shared" si="9"/>
        <v>580.35200000000009</v>
      </c>
      <c r="AG68" s="216">
        <f t="shared" si="9"/>
        <v>580.35200000000009</v>
      </c>
      <c r="AH68" s="216">
        <f t="shared" si="9"/>
        <v>580.35200000000009</v>
      </c>
      <c r="AI68" s="216">
        <f t="shared" si="9"/>
        <v>580.35200000000009</v>
      </c>
      <c r="AJ68" s="317">
        <f t="shared" si="8"/>
        <v>16830.22796800001</v>
      </c>
    </row>
    <row r="69" spans="2:36" ht="14.4">
      <c r="B69" s="318">
        <v>4915744</v>
      </c>
      <c r="C69" s="319" t="s">
        <v>171</v>
      </c>
      <c r="D69" s="240" t="str">
        <f>VLOOKUP(B69,'Padrão Conserva'!$B$21:$G$75,3,FALSE)</f>
        <v>m²/km</v>
      </c>
      <c r="E69" s="241">
        <f>VLOOKUP(B69,'Padrão Conserva'!$B$21:$G$75,4,FALSE)</f>
        <v>3</v>
      </c>
      <c r="F69" s="214">
        <v>0</v>
      </c>
      <c r="G69" s="216">
        <f t="shared" ref="G69:AI69" si="10">$G$13*2*2*$E$69</f>
        <v>2720.3999999999996</v>
      </c>
      <c r="H69" s="216">
        <f t="shared" si="10"/>
        <v>2720.3999999999996</v>
      </c>
      <c r="I69" s="216">
        <f t="shared" si="10"/>
        <v>2720.3999999999996</v>
      </c>
      <c r="J69" s="216">
        <f t="shared" si="10"/>
        <v>2720.3999999999996</v>
      </c>
      <c r="K69" s="216">
        <f t="shared" si="10"/>
        <v>2720.3999999999996</v>
      </c>
      <c r="L69" s="216">
        <f t="shared" si="10"/>
        <v>2720.3999999999996</v>
      </c>
      <c r="M69" s="216">
        <f t="shared" si="10"/>
        <v>2720.3999999999996</v>
      </c>
      <c r="N69" s="216">
        <f t="shared" si="10"/>
        <v>2720.3999999999996</v>
      </c>
      <c r="O69" s="216">
        <f t="shared" si="10"/>
        <v>2720.3999999999996</v>
      </c>
      <c r="P69" s="216">
        <f t="shared" si="10"/>
        <v>2720.3999999999996</v>
      </c>
      <c r="Q69" s="216">
        <f t="shared" si="10"/>
        <v>2720.3999999999996</v>
      </c>
      <c r="R69" s="216">
        <f t="shared" si="10"/>
        <v>2720.3999999999996</v>
      </c>
      <c r="S69" s="216">
        <f t="shared" si="10"/>
        <v>2720.3999999999996</v>
      </c>
      <c r="T69" s="216">
        <f t="shared" si="10"/>
        <v>2720.3999999999996</v>
      </c>
      <c r="U69" s="216">
        <f t="shared" si="10"/>
        <v>2720.3999999999996</v>
      </c>
      <c r="V69" s="216">
        <f t="shared" si="10"/>
        <v>2720.3999999999996</v>
      </c>
      <c r="W69" s="216">
        <f t="shared" si="10"/>
        <v>2720.3999999999996</v>
      </c>
      <c r="X69" s="216">
        <f t="shared" si="10"/>
        <v>2720.3999999999996</v>
      </c>
      <c r="Y69" s="216">
        <f t="shared" si="10"/>
        <v>2720.3999999999996</v>
      </c>
      <c r="Z69" s="216">
        <f t="shared" si="10"/>
        <v>2720.3999999999996</v>
      </c>
      <c r="AA69" s="216">
        <f t="shared" si="10"/>
        <v>2720.3999999999996</v>
      </c>
      <c r="AB69" s="216">
        <f t="shared" si="10"/>
        <v>2720.3999999999996</v>
      </c>
      <c r="AC69" s="216">
        <f t="shared" si="10"/>
        <v>2720.3999999999996</v>
      </c>
      <c r="AD69" s="216">
        <f t="shared" si="10"/>
        <v>2720.3999999999996</v>
      </c>
      <c r="AE69" s="216">
        <f t="shared" si="10"/>
        <v>2720.3999999999996</v>
      </c>
      <c r="AF69" s="216">
        <f t="shared" si="10"/>
        <v>2720.3999999999996</v>
      </c>
      <c r="AG69" s="216">
        <f t="shared" si="10"/>
        <v>2720.3999999999996</v>
      </c>
      <c r="AH69" s="216">
        <f t="shared" si="10"/>
        <v>2720.3999999999996</v>
      </c>
      <c r="AI69" s="216">
        <f t="shared" si="10"/>
        <v>2720.3999999999996</v>
      </c>
      <c r="AJ69" s="317">
        <f t="shared" si="8"/>
        <v>78891.599999999991</v>
      </c>
    </row>
    <row r="70" spans="2:36" ht="14.4">
      <c r="B70" s="318" t="s">
        <v>172</v>
      </c>
      <c r="C70" s="319" t="s">
        <v>173</v>
      </c>
      <c r="D70" s="240" t="str">
        <f>VLOOKUP(B70,'Padrão Conserva'!$B$21:$G$75,3,FALSE)</f>
        <v>m²/km</v>
      </c>
      <c r="E70" s="241">
        <f>VLOOKUP(B70,'Padrão Conserva'!$B$21:$G$75,4,FALSE)</f>
        <v>300</v>
      </c>
      <c r="F70" s="214">
        <v>0</v>
      </c>
      <c r="G70" s="216">
        <f>$E70*'Ext Equiv'!F353</f>
        <v>44383.535714285703</v>
      </c>
      <c r="H70" s="216">
        <f>$E70*'Ext Equiv'!G353</f>
        <v>47365.07142857142</v>
      </c>
      <c r="I70" s="216">
        <f>$E70*'Ext Equiv'!H353</f>
        <v>50346.60714285713</v>
      </c>
      <c r="J70" s="216">
        <f>$E70*'Ext Equiv'!I353</f>
        <v>53328.142857142848</v>
      </c>
      <c r="K70" s="216">
        <f>$E70*'Ext Equiv'!J353</f>
        <v>57690.028571428556</v>
      </c>
      <c r="L70" s="216">
        <f>$E70*'Ext Equiv'!K353</f>
        <v>59433.439285714281</v>
      </c>
      <c r="M70" s="216">
        <f>$E70*'Ext Equiv'!L353</f>
        <v>62471.850000000006</v>
      </c>
      <c r="N70" s="216">
        <f>$E70*'Ext Equiv'!M353</f>
        <v>63641.450000000004</v>
      </c>
      <c r="O70" s="216">
        <f>$E70*'Ext Equiv'!N353</f>
        <v>63755.200000000004</v>
      </c>
      <c r="P70" s="216">
        <f>$E70*'Ext Equiv'!O353</f>
        <v>63812.075000000004</v>
      </c>
      <c r="Q70" s="216">
        <f>$E70*'Ext Equiv'!P353</f>
        <v>64542.499999999993</v>
      </c>
      <c r="R70" s="216">
        <f>$E70*'Ext Equiv'!Q353</f>
        <v>64656.25</v>
      </c>
      <c r="S70" s="216">
        <f>$E70*'Ext Equiv'!R353</f>
        <v>65499.625</v>
      </c>
      <c r="T70" s="216">
        <f>$E70*'Ext Equiv'!S353</f>
        <v>65499.625</v>
      </c>
      <c r="U70" s="216">
        <f>$E70*'Ext Equiv'!T353</f>
        <v>65556.5</v>
      </c>
      <c r="V70" s="216">
        <f>$E70*'Ext Equiv'!U353</f>
        <v>65556.5</v>
      </c>
      <c r="W70" s="216">
        <f>$E70*'Ext Equiv'!V353</f>
        <v>65556.5</v>
      </c>
      <c r="X70" s="216">
        <f>$E70*'Ext Equiv'!W353</f>
        <v>65556.5</v>
      </c>
      <c r="Y70" s="216">
        <f>$E70*'Ext Equiv'!X353</f>
        <v>69925.7</v>
      </c>
      <c r="Z70" s="216">
        <f>$E70*'Ext Equiv'!Y353</f>
        <v>69925.7</v>
      </c>
      <c r="AA70" s="216">
        <f>$E70*'Ext Equiv'!Z353</f>
        <v>69925.7</v>
      </c>
      <c r="AB70" s="216">
        <f>$E70*'Ext Equiv'!AA353</f>
        <v>69925.7</v>
      </c>
      <c r="AC70" s="216">
        <f>$E70*'Ext Equiv'!AB353</f>
        <v>73971.5</v>
      </c>
      <c r="AD70" s="216">
        <f>$E70*'Ext Equiv'!AC353</f>
        <v>73971.5</v>
      </c>
      <c r="AE70" s="216">
        <f>$E70*'Ext Equiv'!AD353</f>
        <v>73971.5</v>
      </c>
      <c r="AF70" s="216">
        <f>$E70*'Ext Equiv'!AE353</f>
        <v>73971.5</v>
      </c>
      <c r="AG70" s="216">
        <f>$E70*'Ext Equiv'!AF353</f>
        <v>73971.5</v>
      </c>
      <c r="AH70" s="216">
        <f>$E70*'Ext Equiv'!AG353</f>
        <v>73971.5</v>
      </c>
      <c r="AI70" s="216">
        <f>$E70*'Ext Equiv'!AH353</f>
        <v>73971.5</v>
      </c>
      <c r="AJ70" s="317">
        <f t="shared" si="8"/>
        <v>1886154.6999999997</v>
      </c>
    </row>
    <row r="71" spans="2:36" ht="14.4">
      <c r="B71" s="318" t="s">
        <v>174</v>
      </c>
      <c r="C71" s="319" t="s">
        <v>175</v>
      </c>
      <c r="D71" s="240" t="str">
        <f>'Padrão Conserva'!$D$68</f>
        <v>m³/km</v>
      </c>
      <c r="E71" s="241">
        <f>'Padrão Conserva'!E68</f>
        <v>15</v>
      </c>
      <c r="F71" s="214">
        <v>0</v>
      </c>
      <c r="G71" s="216">
        <f>$E71*'Ext Equiv'!F353</f>
        <v>2219.1767857142854</v>
      </c>
      <c r="H71" s="216">
        <f>$E71*'Ext Equiv'!G353</f>
        <v>2368.2535714285709</v>
      </c>
      <c r="I71" s="216">
        <f>$E71*'Ext Equiv'!H353</f>
        <v>2517.3303571428564</v>
      </c>
      <c r="J71" s="216">
        <f>$E71*'Ext Equiv'!I353</f>
        <v>2666.4071428571424</v>
      </c>
      <c r="K71" s="216">
        <f>$E71*'Ext Equiv'!J353</f>
        <v>2884.5014285714278</v>
      </c>
      <c r="L71" s="216">
        <f>$E71*'Ext Equiv'!K353</f>
        <v>2971.6719642857142</v>
      </c>
      <c r="M71" s="216">
        <f>$E71*'Ext Equiv'!L353</f>
        <v>3123.5925000000002</v>
      </c>
      <c r="N71" s="216">
        <f>$E71*'Ext Equiv'!M353</f>
        <v>3182.0725000000002</v>
      </c>
      <c r="O71" s="216">
        <f>$E71*'Ext Equiv'!N353</f>
        <v>3187.76</v>
      </c>
      <c r="P71" s="216">
        <f>$E71*'Ext Equiv'!O353</f>
        <v>3190.6037500000002</v>
      </c>
      <c r="Q71" s="216">
        <f>$E71*'Ext Equiv'!P353</f>
        <v>3227.125</v>
      </c>
      <c r="R71" s="216">
        <f>$E71*'Ext Equiv'!Q353</f>
        <v>3232.8125</v>
      </c>
      <c r="S71" s="216">
        <f>$E71*'Ext Equiv'!R353</f>
        <v>3274.9812500000003</v>
      </c>
      <c r="T71" s="216">
        <f>$E71*'Ext Equiv'!S353</f>
        <v>3274.9812500000003</v>
      </c>
      <c r="U71" s="216">
        <f>$E71*'Ext Equiv'!T353</f>
        <v>3277.8250000000003</v>
      </c>
      <c r="V71" s="216">
        <f>$E71*'Ext Equiv'!U353</f>
        <v>3277.8250000000003</v>
      </c>
      <c r="W71" s="216">
        <f>$E71*'Ext Equiv'!V353</f>
        <v>3277.8250000000003</v>
      </c>
      <c r="X71" s="216">
        <f>$E71*'Ext Equiv'!W353</f>
        <v>3277.8250000000003</v>
      </c>
      <c r="Y71" s="216">
        <f>$E71*'Ext Equiv'!X353</f>
        <v>3496.2849999999999</v>
      </c>
      <c r="Z71" s="216">
        <f>$E71*'Ext Equiv'!Y353</f>
        <v>3496.2849999999999</v>
      </c>
      <c r="AA71" s="216">
        <f>$E71*'Ext Equiv'!Z353</f>
        <v>3496.2849999999999</v>
      </c>
      <c r="AB71" s="216">
        <f>$E71*'Ext Equiv'!AA353</f>
        <v>3496.2849999999999</v>
      </c>
      <c r="AC71" s="216">
        <f>$E71*'Ext Equiv'!AB353</f>
        <v>3698.5749999999998</v>
      </c>
      <c r="AD71" s="216">
        <f>$E71*'Ext Equiv'!AC353</f>
        <v>3698.5749999999998</v>
      </c>
      <c r="AE71" s="216">
        <f>$E71*'Ext Equiv'!AD353</f>
        <v>3698.5749999999998</v>
      </c>
      <c r="AF71" s="216">
        <f>$E71*'Ext Equiv'!AE353</f>
        <v>3698.5749999999998</v>
      </c>
      <c r="AG71" s="216">
        <f>$E71*'Ext Equiv'!AF353</f>
        <v>3698.5749999999998</v>
      </c>
      <c r="AH71" s="216">
        <f>$E71*'Ext Equiv'!AG353</f>
        <v>3698.5749999999998</v>
      </c>
      <c r="AI71" s="216">
        <f>$E71*'Ext Equiv'!AH353</f>
        <v>3698.5749999999998</v>
      </c>
      <c r="AJ71" s="317">
        <f t="shared" si="8"/>
        <v>94307.734999999971</v>
      </c>
    </row>
    <row r="72" spans="2:36" ht="14.4">
      <c r="B72" s="318" t="s">
        <v>176</v>
      </c>
      <c r="C72" s="319" t="s">
        <v>177</v>
      </c>
      <c r="D72" s="240" t="str">
        <f>VLOOKUP(B72,'Padrão Conserva'!$B$21:$G$75,3,FALSE)</f>
        <v>m/km</v>
      </c>
      <c r="E72" s="241">
        <f>VLOOKUP(B72,'Padrão Conserva'!$B$21:$G$75,4,FALSE)</f>
        <v>45</v>
      </c>
      <c r="F72" s="214">
        <v>0</v>
      </c>
      <c r="G72" s="216">
        <f t="shared" ref="G72:AI72" si="11">$E$72*$G$13</f>
        <v>10201.5</v>
      </c>
      <c r="H72" s="216">
        <f t="shared" si="11"/>
        <v>10201.5</v>
      </c>
      <c r="I72" s="216">
        <f t="shared" si="11"/>
        <v>10201.5</v>
      </c>
      <c r="J72" s="216">
        <f t="shared" si="11"/>
        <v>10201.5</v>
      </c>
      <c r="K72" s="216">
        <f t="shared" si="11"/>
        <v>10201.5</v>
      </c>
      <c r="L72" s="216">
        <f t="shared" si="11"/>
        <v>10201.5</v>
      </c>
      <c r="M72" s="216">
        <f t="shared" si="11"/>
        <v>10201.5</v>
      </c>
      <c r="N72" s="216">
        <f t="shared" si="11"/>
        <v>10201.5</v>
      </c>
      <c r="O72" s="216">
        <f t="shared" si="11"/>
        <v>10201.5</v>
      </c>
      <c r="P72" s="216">
        <f t="shared" si="11"/>
        <v>10201.5</v>
      </c>
      <c r="Q72" s="216">
        <f t="shared" si="11"/>
        <v>10201.5</v>
      </c>
      <c r="R72" s="216">
        <f t="shared" si="11"/>
        <v>10201.5</v>
      </c>
      <c r="S72" s="216">
        <f t="shared" si="11"/>
        <v>10201.5</v>
      </c>
      <c r="T72" s="216">
        <f t="shared" si="11"/>
        <v>10201.5</v>
      </c>
      <c r="U72" s="216">
        <f t="shared" si="11"/>
        <v>10201.5</v>
      </c>
      <c r="V72" s="216">
        <f t="shared" si="11"/>
        <v>10201.5</v>
      </c>
      <c r="W72" s="216">
        <f t="shared" si="11"/>
        <v>10201.5</v>
      </c>
      <c r="X72" s="216">
        <f t="shared" si="11"/>
        <v>10201.5</v>
      </c>
      <c r="Y72" s="216">
        <f t="shared" si="11"/>
        <v>10201.5</v>
      </c>
      <c r="Z72" s="216">
        <f t="shared" si="11"/>
        <v>10201.5</v>
      </c>
      <c r="AA72" s="216">
        <f t="shared" si="11"/>
        <v>10201.5</v>
      </c>
      <c r="AB72" s="216">
        <f t="shared" si="11"/>
        <v>10201.5</v>
      </c>
      <c r="AC72" s="216">
        <f t="shared" si="11"/>
        <v>10201.5</v>
      </c>
      <c r="AD72" s="216">
        <f t="shared" si="11"/>
        <v>10201.5</v>
      </c>
      <c r="AE72" s="216">
        <f t="shared" si="11"/>
        <v>10201.5</v>
      </c>
      <c r="AF72" s="216">
        <f t="shared" si="11"/>
        <v>10201.5</v>
      </c>
      <c r="AG72" s="216">
        <f t="shared" si="11"/>
        <v>10201.5</v>
      </c>
      <c r="AH72" s="216">
        <f t="shared" si="11"/>
        <v>10201.5</v>
      </c>
      <c r="AI72" s="216">
        <f t="shared" si="11"/>
        <v>10201.5</v>
      </c>
      <c r="AJ72" s="317">
        <f t="shared" si="8"/>
        <v>295843.5</v>
      </c>
    </row>
    <row r="73" spans="2:36">
      <c r="B73" s="205"/>
      <c r="C73" s="206" t="s">
        <v>178</v>
      </c>
      <c r="D73" s="205"/>
      <c r="E73" s="239"/>
      <c r="F73" s="243"/>
      <c r="G73" s="244"/>
      <c r="H73" s="244"/>
      <c r="I73" s="244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4"/>
      <c r="AG73" s="244"/>
      <c r="AH73" s="244"/>
      <c r="AI73" s="244"/>
      <c r="AJ73" s="245"/>
    </row>
    <row r="74" spans="2:36">
      <c r="B74" s="43"/>
      <c r="C74" s="38" t="s">
        <v>179</v>
      </c>
      <c r="D74" s="43"/>
      <c r="E74" s="53"/>
      <c r="F74" s="46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59"/>
    </row>
    <row r="75" spans="2:36" ht="14.4">
      <c r="B75" s="318" t="s">
        <v>180</v>
      </c>
      <c r="C75" s="319" t="s">
        <v>181</v>
      </c>
      <c r="D75" s="240" t="str">
        <f>VLOOKUP(B75,'Padrão Conserva'!$B$21:$G$75,3,FALSE)</f>
        <v>equipe.mês</v>
      </c>
      <c r="E75" s="241">
        <f>ROUND($G$13/(200.9+194.9+18.1),6)</f>
        <v>0.54771700000000001</v>
      </c>
      <c r="F75" s="214">
        <v>0</v>
      </c>
      <c r="G75" s="216">
        <f>+$E75*12</f>
        <v>6.5726040000000001</v>
      </c>
      <c r="H75" s="216">
        <f t="shared" ref="H75:AI75" si="12">+$E75*12</f>
        <v>6.5726040000000001</v>
      </c>
      <c r="I75" s="216">
        <f t="shared" si="12"/>
        <v>6.5726040000000001</v>
      </c>
      <c r="J75" s="216">
        <f t="shared" si="12"/>
        <v>6.5726040000000001</v>
      </c>
      <c r="K75" s="216">
        <f t="shared" si="12"/>
        <v>6.5726040000000001</v>
      </c>
      <c r="L75" s="216">
        <f t="shared" si="12"/>
        <v>6.5726040000000001</v>
      </c>
      <c r="M75" s="216">
        <f t="shared" si="12"/>
        <v>6.5726040000000001</v>
      </c>
      <c r="N75" s="216">
        <f t="shared" si="12"/>
        <v>6.5726040000000001</v>
      </c>
      <c r="O75" s="216">
        <f t="shared" si="12"/>
        <v>6.5726040000000001</v>
      </c>
      <c r="P75" s="216">
        <f t="shared" si="12"/>
        <v>6.5726040000000001</v>
      </c>
      <c r="Q75" s="216">
        <f t="shared" si="12"/>
        <v>6.5726040000000001</v>
      </c>
      <c r="R75" s="216">
        <f t="shared" si="12"/>
        <v>6.5726040000000001</v>
      </c>
      <c r="S75" s="216">
        <f t="shared" si="12"/>
        <v>6.5726040000000001</v>
      </c>
      <c r="T75" s="216">
        <f t="shared" si="12"/>
        <v>6.5726040000000001</v>
      </c>
      <c r="U75" s="216">
        <f t="shared" si="12"/>
        <v>6.5726040000000001</v>
      </c>
      <c r="V75" s="216">
        <f t="shared" si="12"/>
        <v>6.5726040000000001</v>
      </c>
      <c r="W75" s="216">
        <f t="shared" si="12"/>
        <v>6.5726040000000001</v>
      </c>
      <c r="X75" s="216">
        <f t="shared" si="12"/>
        <v>6.5726040000000001</v>
      </c>
      <c r="Y75" s="216">
        <f t="shared" si="12"/>
        <v>6.5726040000000001</v>
      </c>
      <c r="Z75" s="216">
        <f t="shared" si="12"/>
        <v>6.5726040000000001</v>
      </c>
      <c r="AA75" s="216">
        <f t="shared" si="12"/>
        <v>6.5726040000000001</v>
      </c>
      <c r="AB75" s="216">
        <f t="shared" si="12"/>
        <v>6.5726040000000001</v>
      </c>
      <c r="AC75" s="216">
        <f t="shared" si="12"/>
        <v>6.5726040000000001</v>
      </c>
      <c r="AD75" s="216">
        <f t="shared" si="12"/>
        <v>6.5726040000000001</v>
      </c>
      <c r="AE75" s="216">
        <f t="shared" si="12"/>
        <v>6.5726040000000001</v>
      </c>
      <c r="AF75" s="216">
        <f t="shared" si="12"/>
        <v>6.5726040000000001</v>
      </c>
      <c r="AG75" s="216">
        <f t="shared" si="12"/>
        <v>6.5726040000000001</v>
      </c>
      <c r="AH75" s="216">
        <f t="shared" si="12"/>
        <v>6.5726040000000001</v>
      </c>
      <c r="AI75" s="216">
        <f t="shared" si="12"/>
        <v>6.5726040000000001</v>
      </c>
      <c r="AJ75" s="317">
        <f>SUM(F75:AI75)</f>
        <v>190.60551600000011</v>
      </c>
    </row>
    <row r="76" spans="2:36">
      <c r="B76" s="205"/>
      <c r="C76" s="206" t="s">
        <v>183</v>
      </c>
      <c r="D76" s="205"/>
      <c r="E76" s="239"/>
      <c r="F76" s="243"/>
      <c r="G76" s="244"/>
      <c r="H76" s="244"/>
      <c r="I76" s="244"/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/>
      <c r="AF76" s="244"/>
      <c r="AG76" s="244"/>
      <c r="AH76" s="244"/>
      <c r="AI76" s="244"/>
      <c r="AJ76" s="245"/>
    </row>
    <row r="77" spans="2:36">
      <c r="B77" s="43"/>
      <c r="C77" s="38" t="s">
        <v>184</v>
      </c>
      <c r="D77" s="43"/>
      <c r="E77" s="53"/>
      <c r="F77" s="46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59"/>
    </row>
    <row r="78" spans="2:36" ht="14.4">
      <c r="B78" s="318" t="s">
        <v>185</v>
      </c>
      <c r="C78" s="319" t="s">
        <v>186</v>
      </c>
      <c r="D78" s="240" t="str">
        <f>VLOOKUP(B78,'Padrão Conserva'!$B$21:$G$75,3,FALSE)</f>
        <v>equipe.mês</v>
      </c>
      <c r="E78" s="241">
        <f>ROUND($G$13/(200.9+194.9+18.1),6)</f>
        <v>0.54771700000000001</v>
      </c>
      <c r="F78" s="214">
        <v>0</v>
      </c>
      <c r="G78" s="216">
        <f>+$E78*12</f>
        <v>6.5726040000000001</v>
      </c>
      <c r="H78" s="216">
        <f t="shared" ref="H78:AI78" si="13">+$E78*12</f>
        <v>6.5726040000000001</v>
      </c>
      <c r="I78" s="216">
        <f t="shared" si="13"/>
        <v>6.5726040000000001</v>
      </c>
      <c r="J78" s="216">
        <f t="shared" si="13"/>
        <v>6.5726040000000001</v>
      </c>
      <c r="K78" s="216">
        <f t="shared" si="13"/>
        <v>6.5726040000000001</v>
      </c>
      <c r="L78" s="216">
        <f t="shared" si="13"/>
        <v>6.5726040000000001</v>
      </c>
      <c r="M78" s="216">
        <f t="shared" si="13"/>
        <v>6.5726040000000001</v>
      </c>
      <c r="N78" s="216">
        <f t="shared" si="13"/>
        <v>6.5726040000000001</v>
      </c>
      <c r="O78" s="216">
        <f t="shared" si="13"/>
        <v>6.5726040000000001</v>
      </c>
      <c r="P78" s="216">
        <f t="shared" si="13"/>
        <v>6.5726040000000001</v>
      </c>
      <c r="Q78" s="216">
        <f t="shared" si="13"/>
        <v>6.5726040000000001</v>
      </c>
      <c r="R78" s="216">
        <f t="shared" si="13"/>
        <v>6.5726040000000001</v>
      </c>
      <c r="S78" s="216">
        <f t="shared" si="13"/>
        <v>6.5726040000000001</v>
      </c>
      <c r="T78" s="216">
        <f t="shared" si="13"/>
        <v>6.5726040000000001</v>
      </c>
      <c r="U78" s="216">
        <f t="shared" si="13"/>
        <v>6.5726040000000001</v>
      </c>
      <c r="V78" s="216">
        <f t="shared" si="13"/>
        <v>6.5726040000000001</v>
      </c>
      <c r="W78" s="216">
        <f t="shared" si="13"/>
        <v>6.5726040000000001</v>
      </c>
      <c r="X78" s="216">
        <f t="shared" si="13"/>
        <v>6.5726040000000001</v>
      </c>
      <c r="Y78" s="216">
        <f t="shared" si="13"/>
        <v>6.5726040000000001</v>
      </c>
      <c r="Z78" s="216">
        <f t="shared" si="13"/>
        <v>6.5726040000000001</v>
      </c>
      <c r="AA78" s="216">
        <f t="shared" si="13"/>
        <v>6.5726040000000001</v>
      </c>
      <c r="AB78" s="216">
        <f t="shared" si="13"/>
        <v>6.5726040000000001</v>
      </c>
      <c r="AC78" s="216">
        <f t="shared" si="13"/>
        <v>6.5726040000000001</v>
      </c>
      <c r="AD78" s="216">
        <f t="shared" si="13"/>
        <v>6.5726040000000001</v>
      </c>
      <c r="AE78" s="216">
        <f t="shared" si="13"/>
        <v>6.5726040000000001</v>
      </c>
      <c r="AF78" s="216">
        <f t="shared" si="13"/>
        <v>6.5726040000000001</v>
      </c>
      <c r="AG78" s="216">
        <f t="shared" si="13"/>
        <v>6.5726040000000001</v>
      </c>
      <c r="AH78" s="216">
        <f t="shared" si="13"/>
        <v>6.5726040000000001</v>
      </c>
      <c r="AI78" s="216">
        <f t="shared" si="13"/>
        <v>6.5726040000000001</v>
      </c>
      <c r="AJ78" s="317">
        <f>SUM(F78:AI78)</f>
        <v>190.60551600000011</v>
      </c>
    </row>
    <row r="79" spans="2:36">
      <c r="B79" s="49"/>
      <c r="C79" s="49"/>
      <c r="D79" s="60"/>
      <c r="E79" s="49"/>
      <c r="F79" s="49"/>
    </row>
  </sheetData>
  <mergeCells count="37">
    <mergeCell ref="B7:D7"/>
    <mergeCell ref="B15:E15"/>
    <mergeCell ref="B16:B17"/>
    <mergeCell ref="C16:C17"/>
    <mergeCell ref="D16:D17"/>
    <mergeCell ref="AD16:AD17"/>
    <mergeCell ref="AF16:AF17"/>
    <mergeCell ref="AG16:AG17"/>
    <mergeCell ref="AH16:AH17"/>
    <mergeCell ref="AI16:AI17"/>
    <mergeCell ref="F16:F17"/>
    <mergeCell ref="G16:G17"/>
    <mergeCell ref="H16:H17"/>
    <mergeCell ref="I16:I17"/>
    <mergeCell ref="J16:J17"/>
    <mergeCell ref="F15:AJ15"/>
    <mergeCell ref="L16:L17"/>
    <mergeCell ref="M16:M17"/>
    <mergeCell ref="N16:N17"/>
    <mergeCell ref="O16:O17"/>
    <mergeCell ref="P16:P17"/>
    <mergeCell ref="Q16:Q17"/>
    <mergeCell ref="R16:R17"/>
    <mergeCell ref="AE16:AE17"/>
    <mergeCell ref="T16:T17"/>
    <mergeCell ref="U16:U17"/>
    <mergeCell ref="AB16:AB17"/>
    <mergeCell ref="W16:W17"/>
    <mergeCell ref="AJ16:AJ17"/>
    <mergeCell ref="K16:K17"/>
    <mergeCell ref="V16:V17"/>
    <mergeCell ref="AA16:AA17"/>
    <mergeCell ref="X16:X17"/>
    <mergeCell ref="AC16:AC17"/>
    <mergeCell ref="S16:S17"/>
    <mergeCell ref="Y16:Y17"/>
    <mergeCell ref="Z16:Z17"/>
  </mergeCells>
  <pageMargins left="0.511811024" right="0.511811024" top="0.78740157499999996" bottom="0.78740157499999996" header="0.31496062000000002" footer="0.31496062000000002"/>
  <ignoredErrors>
    <ignoredError sqref="D71:E71" 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5A23D-88AB-4D55-B81D-F791BC4206B5}">
  <sheetPr>
    <tabColor rgb="FF00B050"/>
  </sheetPr>
  <dimension ref="B1:J76"/>
  <sheetViews>
    <sheetView showGridLines="0" zoomScale="80" zoomScaleNormal="80" workbookViewId="0"/>
  </sheetViews>
  <sheetFormatPr defaultColWidth="10" defaultRowHeight="13.8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5.25" style="1" bestFit="1" customWidth="1"/>
    <col min="6" max="6" width="10" style="1"/>
    <col min="7" max="10" width="13.125" style="1" customWidth="1"/>
    <col min="11" max="16384" width="10" style="1"/>
  </cols>
  <sheetData>
    <row r="1" spans="2:10" ht="18">
      <c r="B1" s="103"/>
      <c r="C1" s="104"/>
    </row>
    <row r="2" spans="2:10">
      <c r="C2" s="34"/>
    </row>
    <row r="3" spans="2:10">
      <c r="C3" s="34"/>
    </row>
    <row r="4" spans="2:10">
      <c r="C4" s="34"/>
    </row>
    <row r="5" spans="2:10">
      <c r="B5" s="105"/>
      <c r="C5" s="106"/>
      <c r="D5" s="105"/>
    </row>
    <row r="6" spans="2:10">
      <c r="C6" s="34"/>
    </row>
    <row r="7" spans="2:10" ht="49.95" customHeight="1">
      <c r="B7" s="359" t="s">
        <v>0</v>
      </c>
      <c r="C7" s="360"/>
      <c r="D7" s="361"/>
    </row>
    <row r="8" spans="2:10" ht="15.6">
      <c r="B8" s="107" t="s">
        <v>1</v>
      </c>
      <c r="C8" s="108"/>
      <c r="D8" s="109"/>
    </row>
    <row r="9" spans="2:10" ht="15.6">
      <c r="B9" s="110" t="s">
        <v>2</v>
      </c>
      <c r="C9" s="111"/>
      <c r="D9" s="112"/>
    </row>
    <row r="10" spans="2:10" ht="15.6">
      <c r="B10" s="113"/>
      <c r="C10" s="114"/>
      <c r="D10" s="113"/>
    </row>
    <row r="11" spans="2:10" ht="18">
      <c r="B11" s="115" t="s">
        <v>225</v>
      </c>
      <c r="C11" s="116"/>
      <c r="D11" s="117"/>
    </row>
    <row r="12" spans="2:10" ht="18">
      <c r="B12" s="118" t="s">
        <v>1016</v>
      </c>
      <c r="C12" s="119"/>
      <c r="D12" s="120"/>
    </row>
    <row r="13" spans="2:10" ht="18">
      <c r="B13" s="121" t="s">
        <v>4</v>
      </c>
      <c r="C13" s="122"/>
      <c r="D13" s="123"/>
    </row>
    <row r="14" spans="2:10" customFormat="1">
      <c r="B14" s="1"/>
      <c r="E14" s="1"/>
    </row>
    <row r="15" spans="2:10" ht="26.4" customHeight="1">
      <c r="B15" s="385" t="s">
        <v>88</v>
      </c>
      <c r="C15" s="385"/>
      <c r="D15" s="385"/>
      <c r="E15" s="385"/>
      <c r="G15" s="386" t="s">
        <v>1017</v>
      </c>
      <c r="H15" s="387"/>
      <c r="I15" s="387"/>
      <c r="J15" s="388"/>
    </row>
    <row r="16" spans="2:10" ht="39.6">
      <c r="B16" s="266" t="s">
        <v>91</v>
      </c>
      <c r="C16" s="266" t="s">
        <v>92</v>
      </c>
      <c r="D16" s="266" t="s">
        <v>89</v>
      </c>
      <c r="E16" s="268" t="s">
        <v>226</v>
      </c>
      <c r="G16" s="389" t="s">
        <v>1018</v>
      </c>
      <c r="H16" s="344" t="s">
        <v>1019</v>
      </c>
      <c r="I16" s="344" t="s">
        <v>1020</v>
      </c>
      <c r="J16" s="391" t="s">
        <v>1021</v>
      </c>
    </row>
    <row r="17" spans="2:10" ht="13.95" customHeight="1">
      <c r="B17" s="205"/>
      <c r="C17" s="278" t="s">
        <v>93</v>
      </c>
      <c r="D17" s="206"/>
      <c r="E17" s="207"/>
      <c r="G17" s="390"/>
      <c r="H17" s="345" t="s">
        <v>1022</v>
      </c>
      <c r="I17" s="345" t="s">
        <v>1023</v>
      </c>
      <c r="J17" s="392"/>
    </row>
    <row r="18" spans="2:10" ht="14.4">
      <c r="B18" s="43"/>
      <c r="C18" s="279" t="s">
        <v>94</v>
      </c>
      <c r="D18" s="38"/>
      <c r="E18" s="39"/>
      <c r="G18" s="346"/>
      <c r="H18" s="347"/>
      <c r="I18" s="348"/>
      <c r="J18" s="349"/>
    </row>
    <row r="19" spans="2:10" ht="14.4">
      <c r="B19" s="285" t="s">
        <v>95</v>
      </c>
      <c r="C19" s="321" t="s">
        <v>96</v>
      </c>
      <c r="D19" s="285" t="s">
        <v>97</v>
      </c>
      <c r="E19" s="213">
        <f>VLOOKUP(B19,[2]Planilha1!$A$1:$F$65536,5,FALSE)*J19</f>
        <v>639.97223791717954</v>
      </c>
      <c r="G19" s="350">
        <f>[3]Planilha1!$B$14</f>
        <v>10</v>
      </c>
      <c r="H19" s="351">
        <f>VLOOKUP(G19,[3]Planilha1!$B:$G,3,FALSE)</f>
        <v>423.34899999999999</v>
      </c>
      <c r="I19" s="351">
        <f>VLOOKUP(G19,[3]Planilha1!$B:$G,4,FALSE)</f>
        <v>444.55099999999999</v>
      </c>
      <c r="J19" s="352">
        <f>I19/H19</f>
        <v>1.0500816111529732</v>
      </c>
    </row>
    <row r="20" spans="2:10" ht="14.4">
      <c r="B20" s="285" t="s">
        <v>98</v>
      </c>
      <c r="C20" s="321" t="s">
        <v>99</v>
      </c>
      <c r="D20" s="285" t="s">
        <v>97</v>
      </c>
      <c r="E20" s="213">
        <f>VLOOKUP(B20,[2]Planilha1!$A$1:$F$65536,5,FALSE)*J20</f>
        <v>183.86929011288561</v>
      </c>
      <c r="G20" s="350">
        <f>[3]Planilha1!$B$14</f>
        <v>10</v>
      </c>
      <c r="H20" s="351">
        <f>VLOOKUP(G20,[3]Planilha1!$B:$G,3,FALSE)</f>
        <v>423.34899999999999</v>
      </c>
      <c r="I20" s="351">
        <f>VLOOKUP(G20,[3]Planilha1!$B:$G,4,FALSE)</f>
        <v>444.55099999999999</v>
      </c>
      <c r="J20" s="352">
        <f t="shared" ref="J20:J76" si="0">I20/H20</f>
        <v>1.0500816111529732</v>
      </c>
    </row>
    <row r="21" spans="2:10" ht="14.4">
      <c r="B21" s="285">
        <v>4011353</v>
      </c>
      <c r="C21" s="321" t="s">
        <v>100</v>
      </c>
      <c r="D21" s="285" t="s">
        <v>101</v>
      </c>
      <c r="E21" s="213">
        <f>VLOOKUP(B21,[2]Planilha1!$A$1:$F$65536,5,FALSE)*J21</f>
        <v>0.2940228511228325</v>
      </c>
      <c r="G21" s="350">
        <f>[3]Planilha1!$B$14</f>
        <v>10</v>
      </c>
      <c r="H21" s="351">
        <f>VLOOKUP(G21,[3]Planilha1!$B:$G,3,FALSE)</f>
        <v>423.34899999999999</v>
      </c>
      <c r="I21" s="351">
        <f>VLOOKUP(G21,[3]Planilha1!$B:$G,4,FALSE)</f>
        <v>444.55099999999999</v>
      </c>
      <c r="J21" s="352">
        <f t="shared" si="0"/>
        <v>1.0500816111529732</v>
      </c>
    </row>
    <row r="22" spans="2:10" ht="28.8">
      <c r="B22" s="285" t="s">
        <v>102</v>
      </c>
      <c r="C22" s="321" t="s">
        <v>103</v>
      </c>
      <c r="D22" s="68" t="s">
        <v>104</v>
      </c>
      <c r="E22" s="213">
        <f>VLOOKUP(B22,[2]Planilha1!$A$1:$F$65536,5,FALSE)*J22</f>
        <v>331.993802182124</v>
      </c>
      <c r="G22" s="350">
        <f>[3]Planilha1!$B$14</f>
        <v>10</v>
      </c>
      <c r="H22" s="351">
        <f>VLOOKUP(G22,[3]Planilha1!$B:$G,3,FALSE)</f>
        <v>423.34899999999999</v>
      </c>
      <c r="I22" s="351">
        <f>VLOOKUP(G22,[3]Planilha1!$B:$G,4,FALSE)</f>
        <v>444.55099999999999</v>
      </c>
      <c r="J22" s="352">
        <f t="shared" si="0"/>
        <v>1.0500816111529732</v>
      </c>
    </row>
    <row r="23" spans="2:10" ht="43.2">
      <c r="B23" s="285" t="s">
        <v>105</v>
      </c>
      <c r="C23" s="321" t="s">
        <v>106</v>
      </c>
      <c r="D23" s="68" t="s">
        <v>135</v>
      </c>
      <c r="E23" s="213">
        <f>VLOOKUP(B23,[2]Planilha1!$A$1:$F$65536,5,FALSE)*J23</f>
        <v>31.176923035131775</v>
      </c>
      <c r="G23" s="350">
        <f>[3]Planilha1!$B$14</f>
        <v>10</v>
      </c>
      <c r="H23" s="351">
        <f>VLOOKUP(G23,[3]Planilha1!$B:$G,3,FALSE)</f>
        <v>423.34899999999999</v>
      </c>
      <c r="I23" s="351">
        <f>VLOOKUP(G23,[3]Planilha1!$B:$G,4,FALSE)</f>
        <v>444.55099999999999</v>
      </c>
      <c r="J23" s="352">
        <f t="shared" si="0"/>
        <v>1.0500816111529732</v>
      </c>
    </row>
    <row r="24" spans="2:10" ht="14.4">
      <c r="B24" s="285">
        <v>3806402</v>
      </c>
      <c r="C24" s="321" t="s">
        <v>108</v>
      </c>
      <c r="D24" s="285" t="s">
        <v>101</v>
      </c>
      <c r="E24" s="213">
        <f>VLOOKUP(B24,[2]Planilha1!$A$1:$F$65536,5,FALSE)*J24</f>
        <v>2.4886934184325464</v>
      </c>
      <c r="G24" s="350">
        <f>[3]Planilha1!$B$14</f>
        <v>10</v>
      </c>
      <c r="H24" s="351">
        <f>VLOOKUP(G24,[3]Planilha1!$B:$G,3,FALSE)</f>
        <v>423.34899999999999</v>
      </c>
      <c r="I24" s="351">
        <f>VLOOKUP(G24,[3]Planilha1!$B:$G,4,FALSE)</f>
        <v>444.55099999999999</v>
      </c>
      <c r="J24" s="352">
        <f t="shared" si="0"/>
        <v>1.0500816111529732</v>
      </c>
    </row>
    <row r="25" spans="2:10" ht="14.4">
      <c r="B25" s="43"/>
      <c r="C25" s="279" t="s">
        <v>109</v>
      </c>
      <c r="D25" s="55"/>
      <c r="E25" s="53"/>
      <c r="G25" s="346"/>
      <c r="H25" s="347"/>
      <c r="I25" s="348"/>
      <c r="J25" s="349"/>
    </row>
    <row r="26" spans="2:10" ht="13.95" customHeight="1">
      <c r="B26" s="285" t="s">
        <v>110</v>
      </c>
      <c r="C26" s="321" t="s">
        <v>111</v>
      </c>
      <c r="D26" s="285" t="s">
        <v>104</v>
      </c>
      <c r="E26" s="213">
        <f>3900*J26</f>
        <v>4291.0612003540946</v>
      </c>
      <c r="G26" s="350">
        <f>[3]Planilha1!$B$9</f>
        <v>5</v>
      </c>
      <c r="H26" s="351">
        <f>VLOOKUP(G26,[3]Planilha1!$B:$G,3,FALSE)</f>
        <v>857.39700000000005</v>
      </c>
      <c r="I26" s="351">
        <f>VLOOKUP(G26,[3]Planilha1!$B:$G,4,FALSE)</f>
        <v>943.37</v>
      </c>
      <c r="J26" s="352">
        <f t="shared" si="0"/>
        <v>1.1002721026548961</v>
      </c>
    </row>
    <row r="27" spans="2:10" ht="13.95" customHeight="1">
      <c r="B27" s="285" t="s">
        <v>112</v>
      </c>
      <c r="C27" s="321" t="s">
        <v>111</v>
      </c>
      <c r="D27" s="285" t="s">
        <v>104</v>
      </c>
      <c r="E27" s="213">
        <f>3900*J27</f>
        <v>4291.0612003540946</v>
      </c>
      <c r="G27" s="350">
        <f>[3]Planilha1!$B$9</f>
        <v>5</v>
      </c>
      <c r="H27" s="351">
        <f>VLOOKUP(G27,[3]Planilha1!$B:$G,3,FALSE)</f>
        <v>857.39700000000005</v>
      </c>
      <c r="I27" s="351">
        <f>VLOOKUP(G27,[3]Planilha1!$B:$G,4,FALSE)</f>
        <v>943.37</v>
      </c>
      <c r="J27" s="352">
        <f t="shared" si="0"/>
        <v>1.1002721026548961</v>
      </c>
    </row>
    <row r="28" spans="2:10" ht="14.4">
      <c r="B28" s="285" t="s">
        <v>113</v>
      </c>
      <c r="C28" s="321" t="s">
        <v>114</v>
      </c>
      <c r="D28" s="285" t="s">
        <v>104</v>
      </c>
      <c r="E28" s="213">
        <f>5555*J28</f>
        <v>6173.4221167621217</v>
      </c>
      <c r="G28" s="350">
        <f>[3]Planilha1!$B$5</f>
        <v>1</v>
      </c>
      <c r="H28" s="351">
        <f>VLOOKUP(G28,[3]Planilha1!$B:$G,3,FALSE)</f>
        <v>944.43299999999999</v>
      </c>
      <c r="I28" s="351">
        <f>VLOOKUP(G28,[3]Planilha1!$B:$G,4,FALSE)</f>
        <v>1049.5740000000001</v>
      </c>
      <c r="J28" s="352">
        <f t="shared" si="0"/>
        <v>1.1113271137285547</v>
      </c>
    </row>
    <row r="29" spans="2:10" ht="14.4">
      <c r="B29" s="285" t="s">
        <v>115</v>
      </c>
      <c r="C29" s="321" t="s">
        <v>116</v>
      </c>
      <c r="D29" s="285" t="s">
        <v>104</v>
      </c>
      <c r="E29" s="213">
        <f>6420*J29</f>
        <v>7124.3884256566034</v>
      </c>
      <c r="G29" s="350">
        <f>[3]Planilha1!$B$6</f>
        <v>2</v>
      </c>
      <c r="H29" s="351">
        <f>VLOOKUP(G29,[3]Planilha1!$B:$G,3,FALSE)</f>
        <v>139.239</v>
      </c>
      <c r="I29" s="351">
        <f>VLOOKUP(G29,[3]Planilha1!$B:$G,4,FALSE)</f>
        <v>154.51599999999999</v>
      </c>
      <c r="J29" s="352">
        <f t="shared" si="0"/>
        <v>1.1097178233109974</v>
      </c>
    </row>
    <row r="30" spans="2:10">
      <c r="B30" s="205"/>
      <c r="C30" s="278" t="s">
        <v>117</v>
      </c>
      <c r="D30" s="205"/>
      <c r="E30" s="207"/>
      <c r="G30" s="353"/>
      <c r="H30" s="354"/>
      <c r="I30" s="354"/>
      <c r="J30" s="355"/>
    </row>
    <row r="31" spans="2:10" ht="14.4">
      <c r="B31" s="43"/>
      <c r="C31" s="279" t="s">
        <v>118</v>
      </c>
      <c r="D31" s="55"/>
      <c r="E31" s="53"/>
      <c r="G31" s="346"/>
      <c r="H31" s="347"/>
      <c r="I31" s="348"/>
      <c r="J31" s="349"/>
    </row>
    <row r="32" spans="2:10" ht="28.8">
      <c r="B32" s="285" t="s">
        <v>119</v>
      </c>
      <c r="C32" s="321" t="s">
        <v>120</v>
      </c>
      <c r="D32" s="285" t="s">
        <v>101</v>
      </c>
      <c r="E32" s="213">
        <f>VLOOKUP(B32,[2]Planilha1!$A$1:$F$65536,5,FALSE)*J32</f>
        <v>14.113096853895959</v>
      </c>
      <c r="G32" s="350">
        <f>[3]Planilha1!$B$14</f>
        <v>10</v>
      </c>
      <c r="H32" s="351">
        <f>VLOOKUP(G32,[3]Planilha1!$B:$G,3,FALSE)</f>
        <v>423.34899999999999</v>
      </c>
      <c r="I32" s="351">
        <f>VLOOKUP(G32,[3]Planilha1!$B:$G,4,FALSE)</f>
        <v>444.55099999999999</v>
      </c>
      <c r="J32" s="352">
        <f t="shared" si="0"/>
        <v>1.0500816111529732</v>
      </c>
    </row>
    <row r="33" spans="2:10" ht="28.8">
      <c r="B33" s="285" t="s">
        <v>121</v>
      </c>
      <c r="C33" s="321" t="s">
        <v>122</v>
      </c>
      <c r="D33" s="285" t="s">
        <v>123</v>
      </c>
      <c r="E33" s="213">
        <f>VLOOKUP(B33,[2]Planilha1!$A$1:$F$65536,5,FALSE)*J33</f>
        <v>35.366748663632137</v>
      </c>
      <c r="G33" s="350">
        <f>[3]Planilha1!$B$14</f>
        <v>10</v>
      </c>
      <c r="H33" s="351">
        <f>VLOOKUP(G33,[3]Planilha1!$B:$G,3,FALSE)</f>
        <v>423.34899999999999</v>
      </c>
      <c r="I33" s="351">
        <f>VLOOKUP(G33,[3]Planilha1!$B:$G,4,FALSE)</f>
        <v>444.55099999999999</v>
      </c>
      <c r="J33" s="352">
        <f t="shared" si="0"/>
        <v>1.0500816111529732</v>
      </c>
    </row>
    <row r="34" spans="2:10" ht="28.8">
      <c r="B34" s="285" t="s">
        <v>124</v>
      </c>
      <c r="C34" s="321" t="s">
        <v>125</v>
      </c>
      <c r="D34" s="285" t="s">
        <v>123</v>
      </c>
      <c r="E34" s="213">
        <f>VLOOKUP(B34,[2]Planilha1!$A$1:$F$65536,5,FALSE)*J34</f>
        <v>173.25296502412905</v>
      </c>
      <c r="G34" s="350">
        <f>[3]Planilha1!$B$14</f>
        <v>10</v>
      </c>
      <c r="H34" s="351">
        <f>VLOOKUP(G34,[3]Planilha1!$B:$G,3,FALSE)</f>
        <v>423.34899999999999</v>
      </c>
      <c r="I34" s="351">
        <f>VLOOKUP(G34,[3]Planilha1!$B:$G,4,FALSE)</f>
        <v>444.55099999999999</v>
      </c>
      <c r="J34" s="352">
        <f t="shared" si="0"/>
        <v>1.0500816111529732</v>
      </c>
    </row>
    <row r="35" spans="2:10" ht="14.4">
      <c r="B35" s="285" t="s">
        <v>126</v>
      </c>
      <c r="C35" s="321" t="s">
        <v>127</v>
      </c>
      <c r="D35" s="285" t="s">
        <v>123</v>
      </c>
      <c r="E35" s="213">
        <f>VLOOKUP(B35,[2]Planilha1!$A$1:$F$65536,5,FALSE)*J35</f>
        <v>9.5032385809344078</v>
      </c>
      <c r="G35" s="350">
        <f>[3]Planilha1!$B$14</f>
        <v>10</v>
      </c>
      <c r="H35" s="351">
        <f>VLOOKUP(G35,[3]Planilha1!$B:$G,3,FALSE)</f>
        <v>423.34899999999999</v>
      </c>
      <c r="I35" s="351">
        <f>VLOOKUP(G35,[3]Planilha1!$B:$G,4,FALSE)</f>
        <v>444.55099999999999</v>
      </c>
      <c r="J35" s="352">
        <f t="shared" si="0"/>
        <v>1.0500816111529732</v>
      </c>
    </row>
    <row r="36" spans="2:10" ht="14.4">
      <c r="B36" s="43"/>
      <c r="C36" s="279" t="s">
        <v>128</v>
      </c>
      <c r="D36" s="55"/>
      <c r="E36" s="53"/>
      <c r="G36" s="346"/>
      <c r="H36" s="347"/>
      <c r="I36" s="348"/>
      <c r="J36" s="349"/>
    </row>
    <row r="37" spans="2:10" ht="14.4">
      <c r="B37" s="285" t="s">
        <v>129</v>
      </c>
      <c r="C37" s="321" t="s">
        <v>130</v>
      </c>
      <c r="D37" s="285" t="s">
        <v>101</v>
      </c>
      <c r="E37" s="213">
        <f>VLOOKUP(B37,[2]Planilha1!$A$1:$F$65536,5,FALSE)*J37</f>
        <v>635.41488372477556</v>
      </c>
      <c r="G37" s="350">
        <f>[3]Planilha1!$B$14</f>
        <v>10</v>
      </c>
      <c r="H37" s="351">
        <f>VLOOKUP(G37,[3]Planilha1!$B:$G,3,FALSE)</f>
        <v>423.34899999999999</v>
      </c>
      <c r="I37" s="351">
        <f>VLOOKUP(G37,[3]Planilha1!$B:$G,4,FALSE)</f>
        <v>444.55099999999999</v>
      </c>
      <c r="J37" s="352">
        <f t="shared" si="0"/>
        <v>1.0500816111529732</v>
      </c>
    </row>
    <row r="38" spans="2:10" ht="14.4">
      <c r="B38" s="285" t="s">
        <v>126</v>
      </c>
      <c r="C38" s="321" t="s">
        <v>131</v>
      </c>
      <c r="D38" s="285" t="s">
        <v>101</v>
      </c>
      <c r="E38" s="213">
        <f>VLOOKUP(B38,[2]Planilha1!$A$1:$F$65536,5,FALSE)*J38</f>
        <v>9.5032385809344078</v>
      </c>
      <c r="G38" s="350">
        <f>[3]Planilha1!$B$14</f>
        <v>10</v>
      </c>
      <c r="H38" s="351">
        <f>VLOOKUP(G38,[3]Planilha1!$B:$G,3,FALSE)</f>
        <v>423.34899999999999</v>
      </c>
      <c r="I38" s="351">
        <f>VLOOKUP(G38,[3]Planilha1!$B:$G,4,FALSE)</f>
        <v>444.55099999999999</v>
      </c>
      <c r="J38" s="352">
        <f t="shared" si="0"/>
        <v>1.0500816111529732</v>
      </c>
    </row>
    <row r="39" spans="2:10" ht="14.4">
      <c r="B39" s="43"/>
      <c r="C39" s="279" t="s">
        <v>132</v>
      </c>
      <c r="D39" s="55"/>
      <c r="E39" s="53"/>
      <c r="G39" s="346"/>
      <c r="H39" s="347"/>
      <c r="I39" s="348"/>
      <c r="J39" s="349"/>
    </row>
    <row r="40" spans="2:10" ht="14.4">
      <c r="B40" s="285" t="s">
        <v>133</v>
      </c>
      <c r="C40" s="321" t="s">
        <v>134</v>
      </c>
      <c r="D40" s="285" t="s">
        <v>135</v>
      </c>
      <c r="E40" s="213">
        <f>VLOOKUP(B40,[2]Planilha1!$A$1:$F$65536,5,FALSE)*J40</f>
        <v>1121.7496811141636</v>
      </c>
      <c r="G40" s="350">
        <f>[3]Planilha1!$B$14</f>
        <v>10</v>
      </c>
      <c r="H40" s="351">
        <f>VLOOKUP(G40,[3]Planilha1!$B:$G,3,FALSE)</f>
        <v>423.34899999999999</v>
      </c>
      <c r="I40" s="351">
        <f>VLOOKUP(G40,[3]Planilha1!$B:$G,4,FALSE)</f>
        <v>444.55099999999999</v>
      </c>
      <c r="J40" s="352">
        <f t="shared" si="0"/>
        <v>1.0500816111529732</v>
      </c>
    </row>
    <row r="41" spans="2:10" ht="14.4">
      <c r="B41" s="285" t="s">
        <v>136</v>
      </c>
      <c r="C41" s="321" t="s">
        <v>137</v>
      </c>
      <c r="D41" s="285" t="s">
        <v>97</v>
      </c>
      <c r="E41" s="213">
        <f>VLOOKUP(B41,[2]Planilha1!$A$1:$F$65536,5,FALSE)*J41</f>
        <v>761.82370807537052</v>
      </c>
      <c r="G41" s="350">
        <f>[3]Planilha1!$B$14</f>
        <v>10</v>
      </c>
      <c r="H41" s="351">
        <f>VLOOKUP(G41,[3]Planilha1!$B:$G,3,FALSE)</f>
        <v>423.34899999999999</v>
      </c>
      <c r="I41" s="351">
        <f>VLOOKUP(G41,[3]Planilha1!$B:$G,4,FALSE)</f>
        <v>444.55099999999999</v>
      </c>
      <c r="J41" s="352">
        <f t="shared" si="0"/>
        <v>1.0500816111529732</v>
      </c>
    </row>
    <row r="42" spans="2:10" ht="14.4">
      <c r="B42" s="285" t="s">
        <v>138</v>
      </c>
      <c r="C42" s="321" t="s">
        <v>139</v>
      </c>
      <c r="D42" s="285" t="s">
        <v>135</v>
      </c>
      <c r="E42" s="213">
        <f>VLOOKUP(B42,[2]Planilha1!$A$1:$F$65536,5,FALSE)*J42</f>
        <v>328.32901735920012</v>
      </c>
      <c r="G42" s="350">
        <f>[3]Planilha1!$B$14</f>
        <v>10</v>
      </c>
      <c r="H42" s="351">
        <f>VLOOKUP(G42,[3]Planilha1!$B:$G,3,FALSE)</f>
        <v>423.34899999999999</v>
      </c>
      <c r="I42" s="351">
        <f>VLOOKUP(G42,[3]Planilha1!$B:$G,4,FALSE)</f>
        <v>444.55099999999999</v>
      </c>
      <c r="J42" s="352">
        <f t="shared" si="0"/>
        <v>1.0500816111529732</v>
      </c>
    </row>
    <row r="43" spans="2:10">
      <c r="B43" s="205"/>
      <c r="C43" s="278" t="s">
        <v>140</v>
      </c>
      <c r="D43" s="205"/>
      <c r="E43" s="207"/>
      <c r="G43" s="353"/>
      <c r="H43" s="354"/>
      <c r="I43" s="354"/>
      <c r="J43" s="355"/>
    </row>
    <row r="44" spans="2:10" ht="14.4">
      <c r="B44" s="43"/>
      <c r="C44" s="279" t="s">
        <v>141</v>
      </c>
      <c r="D44" s="55"/>
      <c r="E44" s="53"/>
      <c r="G44" s="346"/>
      <c r="H44" s="347"/>
      <c r="I44" s="348"/>
      <c r="J44" s="349"/>
    </row>
    <row r="45" spans="2:10" ht="14.4">
      <c r="B45" s="285" t="s">
        <v>142</v>
      </c>
      <c r="C45" s="321" t="s">
        <v>143</v>
      </c>
      <c r="D45" s="285" t="s">
        <v>135</v>
      </c>
      <c r="E45" s="213">
        <f>VLOOKUP(B45,[2]Planilha1!$A$1:$F$65536,5,FALSE)*J45</f>
        <v>112.33773076114507</v>
      </c>
      <c r="G45" s="350">
        <f>[3]Planilha1!$B$14</f>
        <v>10</v>
      </c>
      <c r="H45" s="351">
        <f>VLOOKUP(G45,[3]Planilha1!$B:$G,3,FALSE)</f>
        <v>423.34899999999999</v>
      </c>
      <c r="I45" s="351">
        <f>VLOOKUP(G45,[3]Planilha1!$B:$G,4,FALSE)</f>
        <v>444.55099999999999</v>
      </c>
      <c r="J45" s="352">
        <f t="shared" si="0"/>
        <v>1.0500816111529732</v>
      </c>
    </row>
    <row r="46" spans="2:10" ht="14.4">
      <c r="B46" s="285" t="s">
        <v>144</v>
      </c>
      <c r="C46" s="321" t="s">
        <v>145</v>
      </c>
      <c r="D46" s="285" t="s">
        <v>101</v>
      </c>
      <c r="E46" s="213">
        <f>VLOOKUP(B46,[2]Planilha1!$A$1:$F$65536,5,FALSE)*J46</f>
        <v>3.2762546267972765</v>
      </c>
      <c r="G46" s="350">
        <f>[3]Planilha1!$B$14</f>
        <v>10</v>
      </c>
      <c r="H46" s="351">
        <f>VLOOKUP(G46,[3]Planilha1!$B:$G,3,FALSE)</f>
        <v>423.34899999999999</v>
      </c>
      <c r="I46" s="351">
        <f>VLOOKUP(G46,[3]Planilha1!$B:$G,4,FALSE)</f>
        <v>444.55099999999999</v>
      </c>
      <c r="J46" s="352">
        <f t="shared" si="0"/>
        <v>1.0500816111529732</v>
      </c>
    </row>
    <row r="47" spans="2:10" ht="14.4">
      <c r="B47" s="285" t="s">
        <v>146</v>
      </c>
      <c r="C47" s="321" t="s">
        <v>147</v>
      </c>
      <c r="D47" s="285" t="s">
        <v>135</v>
      </c>
      <c r="E47" s="213">
        <f>VLOOKUP(B47,[2]Planilha1!$A$1:$F$65536,5,FALSE)*J47</f>
        <v>483.86710560317852</v>
      </c>
      <c r="G47" s="350">
        <f>[3]Planilha1!$B$14</f>
        <v>10</v>
      </c>
      <c r="H47" s="351">
        <f>VLOOKUP(G47,[3]Planilha1!$B:$G,3,FALSE)</f>
        <v>423.34899999999999</v>
      </c>
      <c r="I47" s="351">
        <f>VLOOKUP(G47,[3]Planilha1!$B:$G,4,FALSE)</f>
        <v>444.55099999999999</v>
      </c>
      <c r="J47" s="352">
        <f t="shared" si="0"/>
        <v>1.0500816111529732</v>
      </c>
    </row>
    <row r="48" spans="2:10" ht="14.4">
      <c r="B48" s="285">
        <v>3806406</v>
      </c>
      <c r="C48" s="321" t="s">
        <v>148</v>
      </c>
      <c r="D48" s="285" t="s">
        <v>135</v>
      </c>
      <c r="E48" s="213">
        <f>VLOOKUP(B48,[2]Planilha1!$A$1:$F$65536,5,FALSE)*J48</f>
        <v>6.2164831380256009</v>
      </c>
      <c r="G48" s="350">
        <f>[3]Planilha1!$B$14</f>
        <v>10</v>
      </c>
      <c r="H48" s="351">
        <f>VLOOKUP(G48,[3]Planilha1!$B:$G,3,FALSE)</f>
        <v>423.34899999999999</v>
      </c>
      <c r="I48" s="351">
        <f>VLOOKUP(G48,[3]Planilha1!$B:$G,4,FALSE)</f>
        <v>444.55099999999999</v>
      </c>
      <c r="J48" s="352">
        <f t="shared" si="0"/>
        <v>1.0500816111529732</v>
      </c>
    </row>
    <row r="49" spans="2:10" ht="14.4">
      <c r="B49" s="285">
        <v>4915686</v>
      </c>
      <c r="C49" s="321" t="s">
        <v>149</v>
      </c>
      <c r="D49" s="285" t="s">
        <v>150</v>
      </c>
      <c r="E49" s="213">
        <f>VLOOKUP(B49,[2]Planilha1!$A$1:$F$65536,5,FALSE)*J49</f>
        <v>4.4208435829540171</v>
      </c>
      <c r="G49" s="350">
        <f>[3]Planilha1!$B$14</f>
        <v>10</v>
      </c>
      <c r="H49" s="351">
        <f>VLOOKUP(G49,[3]Planilha1!$B:$G,3,FALSE)</f>
        <v>423.34899999999999</v>
      </c>
      <c r="I49" s="351">
        <f>VLOOKUP(G49,[3]Planilha1!$B:$G,4,FALSE)</f>
        <v>444.55099999999999</v>
      </c>
      <c r="J49" s="352">
        <f t="shared" si="0"/>
        <v>1.0500816111529732</v>
      </c>
    </row>
    <row r="50" spans="2:10" ht="14.4">
      <c r="B50" s="285">
        <v>4915672</v>
      </c>
      <c r="C50" s="321" t="s">
        <v>151</v>
      </c>
      <c r="D50" s="285" t="s">
        <v>135</v>
      </c>
      <c r="E50" s="213">
        <f>VLOOKUP(B50,[2]Planilha1!$A$1:$F$65536,5,FALSE)*J50</f>
        <v>4.4208435829540171</v>
      </c>
      <c r="G50" s="350">
        <f>[3]Planilha1!$B$14</f>
        <v>10</v>
      </c>
      <c r="H50" s="351">
        <f>VLOOKUP(G50,[3]Planilha1!$B:$G,3,FALSE)</f>
        <v>423.34899999999999</v>
      </c>
      <c r="I50" s="351">
        <f>VLOOKUP(G50,[3]Planilha1!$B:$G,4,FALSE)</f>
        <v>444.55099999999999</v>
      </c>
      <c r="J50" s="352">
        <f t="shared" si="0"/>
        <v>1.0500816111529732</v>
      </c>
    </row>
    <row r="51" spans="2:10">
      <c r="B51" s="205"/>
      <c r="C51" s="278" t="s">
        <v>152</v>
      </c>
      <c r="D51" s="205"/>
      <c r="E51" s="207"/>
      <c r="G51" s="353"/>
      <c r="H51" s="354"/>
      <c r="I51" s="354"/>
      <c r="J51" s="355"/>
    </row>
    <row r="52" spans="2:10" ht="14.4">
      <c r="B52" s="43"/>
      <c r="C52" s="279" t="s">
        <v>153</v>
      </c>
      <c r="D52" s="55"/>
      <c r="E52" s="53"/>
      <c r="G52" s="346"/>
      <c r="H52" s="347"/>
      <c r="I52" s="348"/>
      <c r="J52" s="349"/>
    </row>
    <row r="53" spans="2:10" ht="14.4">
      <c r="B53" s="285">
        <v>4915708</v>
      </c>
      <c r="C53" s="321" t="s">
        <v>154</v>
      </c>
      <c r="D53" s="285" t="s">
        <v>135</v>
      </c>
      <c r="E53" s="213">
        <f>VLOOKUP(B53,[2]Planilha1!$A$1:$F$65536,5,FALSE)*J53</f>
        <v>0.73505712780708121</v>
      </c>
      <c r="G53" s="350">
        <f>[3]Planilha1!$B$14</f>
        <v>10</v>
      </c>
      <c r="H53" s="351">
        <f>VLOOKUP(G53,[3]Planilha1!$B:$G,3,FALSE)</f>
        <v>423.34899999999999</v>
      </c>
      <c r="I53" s="351">
        <f>VLOOKUP(G53,[3]Planilha1!$B:$G,4,FALSE)</f>
        <v>444.55099999999999</v>
      </c>
      <c r="J53" s="352">
        <f t="shared" si="0"/>
        <v>1.0500816111529732</v>
      </c>
    </row>
    <row r="54" spans="2:10" ht="14.4">
      <c r="B54" s="285" t="s">
        <v>144</v>
      </c>
      <c r="C54" s="321" t="s">
        <v>145</v>
      </c>
      <c r="D54" s="285" t="s">
        <v>101</v>
      </c>
      <c r="E54" s="213">
        <f>VLOOKUP(B54,[2]Planilha1!$A$1:$F$65536,5,FALSE)*J54</f>
        <v>3.2762546267972765</v>
      </c>
      <c r="G54" s="350">
        <f>[3]Planilha1!$B$14</f>
        <v>10</v>
      </c>
      <c r="H54" s="351">
        <f>VLOOKUP(G54,[3]Planilha1!$B:$G,3,FALSE)</f>
        <v>423.34899999999999</v>
      </c>
      <c r="I54" s="351">
        <f>VLOOKUP(G54,[3]Planilha1!$B:$G,4,FALSE)</f>
        <v>444.55099999999999</v>
      </c>
      <c r="J54" s="352">
        <f t="shared" si="0"/>
        <v>1.0500816111529732</v>
      </c>
    </row>
    <row r="55" spans="2:10" ht="14.4">
      <c r="B55" s="285">
        <v>4915710</v>
      </c>
      <c r="C55" s="321" t="s">
        <v>155</v>
      </c>
      <c r="D55" s="285" t="s">
        <v>135</v>
      </c>
      <c r="E55" s="213">
        <f>VLOOKUP(B55,[2]Planilha1!$A$1:$F$65536,5,FALSE)*J55</f>
        <v>4.4208435829540171</v>
      </c>
      <c r="G55" s="350">
        <f>[3]Planilha1!$B$14</f>
        <v>10</v>
      </c>
      <c r="H55" s="351">
        <f>VLOOKUP(G55,[3]Planilha1!$B:$G,3,FALSE)</f>
        <v>423.34899999999999</v>
      </c>
      <c r="I55" s="351">
        <f>VLOOKUP(G55,[3]Planilha1!$B:$G,4,FALSE)</f>
        <v>444.55099999999999</v>
      </c>
      <c r="J55" s="352">
        <f t="shared" si="0"/>
        <v>1.0500816111529732</v>
      </c>
    </row>
    <row r="56" spans="2:10" ht="14.4">
      <c r="B56" s="285">
        <v>4915712</v>
      </c>
      <c r="C56" s="321" t="s">
        <v>156</v>
      </c>
      <c r="D56" s="285" t="s">
        <v>97</v>
      </c>
      <c r="E56" s="213">
        <f>VLOOKUP(B56,[2]Planilha1!$A$1:$F$65536,5,FALSE)*J56</f>
        <v>22.093717098658555</v>
      </c>
      <c r="G56" s="350">
        <f>[3]Planilha1!$B$14</f>
        <v>10</v>
      </c>
      <c r="H56" s="351">
        <f>VLOOKUP(G56,[3]Planilha1!$B:$G,3,FALSE)</f>
        <v>423.34899999999999</v>
      </c>
      <c r="I56" s="351">
        <f>VLOOKUP(G56,[3]Planilha1!$B:$G,4,FALSE)</f>
        <v>444.55099999999999</v>
      </c>
      <c r="J56" s="352">
        <f t="shared" si="0"/>
        <v>1.0500816111529732</v>
      </c>
    </row>
    <row r="57" spans="2:10" ht="14.4">
      <c r="B57" s="285" t="s">
        <v>136</v>
      </c>
      <c r="C57" s="321" t="s">
        <v>157</v>
      </c>
      <c r="D57" s="285" t="s">
        <v>97</v>
      </c>
      <c r="E57" s="213">
        <f>VLOOKUP(B57,[2]Planilha1!$A$1:$F$65536,5,FALSE)*J57</f>
        <v>761.82370807537052</v>
      </c>
      <c r="G57" s="350">
        <f>[3]Planilha1!$B$14</f>
        <v>10</v>
      </c>
      <c r="H57" s="351">
        <f>VLOOKUP(G57,[3]Planilha1!$B:$G,3,FALSE)</f>
        <v>423.34899999999999</v>
      </c>
      <c r="I57" s="351">
        <f>VLOOKUP(G57,[3]Planilha1!$B:$G,4,FALSE)</f>
        <v>444.55099999999999</v>
      </c>
      <c r="J57" s="352">
        <f t="shared" si="0"/>
        <v>1.0500816111529732</v>
      </c>
    </row>
    <row r="58" spans="2:10">
      <c r="B58" s="205"/>
      <c r="C58" s="278" t="s">
        <v>158</v>
      </c>
      <c r="D58" s="205"/>
      <c r="E58" s="207"/>
      <c r="G58" s="353"/>
      <c r="H58" s="354"/>
      <c r="I58" s="354"/>
      <c r="J58" s="355"/>
    </row>
    <row r="59" spans="2:10" ht="14.4">
      <c r="B59" s="43"/>
      <c r="C59" s="279" t="s">
        <v>159</v>
      </c>
      <c r="D59" s="55"/>
      <c r="E59" s="53"/>
      <c r="G59" s="346"/>
      <c r="H59" s="347"/>
      <c r="I59" s="348"/>
      <c r="J59" s="349"/>
    </row>
    <row r="60" spans="2:10" ht="14.4">
      <c r="B60" s="285" t="s">
        <v>160</v>
      </c>
      <c r="C60" s="321" t="s">
        <v>161</v>
      </c>
      <c r="D60" s="285" t="s">
        <v>97</v>
      </c>
      <c r="E60" s="213">
        <f>VLOOKUP(B60,[2]Planilha1!$A$1:$F$65536,5,FALSE)*J60</f>
        <v>92.144661378673391</v>
      </c>
      <c r="G60" s="350">
        <f>[3]Planilha1!$B$14</f>
        <v>10</v>
      </c>
      <c r="H60" s="351">
        <f>VLOOKUP(G60,[3]Planilha1!$B:$G,3,FALSE)</f>
        <v>423.34899999999999</v>
      </c>
      <c r="I60" s="351">
        <f>VLOOKUP(G60,[3]Planilha1!$B:$G,4,FALSE)</f>
        <v>444.55099999999999</v>
      </c>
      <c r="J60" s="352">
        <f t="shared" si="0"/>
        <v>1.0500816111529732</v>
      </c>
    </row>
    <row r="61" spans="2:10" ht="14.4">
      <c r="B61" s="285" t="s">
        <v>162</v>
      </c>
      <c r="C61" s="321" t="s">
        <v>163</v>
      </c>
      <c r="D61" s="285" t="s">
        <v>97</v>
      </c>
      <c r="E61" s="213">
        <f>VLOOKUP(B61,[2]Planilha1!$A$1:$F$65536,5,FALSE)*J61</f>
        <v>63.760955429208529</v>
      </c>
      <c r="G61" s="350">
        <f>[3]Planilha1!$B$14</f>
        <v>10</v>
      </c>
      <c r="H61" s="351">
        <f>VLOOKUP(G61,[3]Planilha1!$B:$G,3,FALSE)</f>
        <v>423.34899999999999</v>
      </c>
      <c r="I61" s="351">
        <f>VLOOKUP(G61,[3]Planilha1!$B:$G,4,FALSE)</f>
        <v>444.55099999999999</v>
      </c>
      <c r="J61" s="352">
        <f t="shared" si="0"/>
        <v>1.0500816111529732</v>
      </c>
    </row>
    <row r="62" spans="2:10" ht="14.4">
      <c r="B62" s="285" t="s">
        <v>164</v>
      </c>
      <c r="C62" s="321" t="s">
        <v>165</v>
      </c>
      <c r="D62" s="285" t="s">
        <v>97</v>
      </c>
      <c r="E62" s="213">
        <f>VLOOKUP(B62,[2]Planilha1!$A$1:$F$65536,5,FALSE)*J62</f>
        <v>75.99440619914067</v>
      </c>
      <c r="G62" s="350">
        <f>[3]Planilha1!$B$14</f>
        <v>10</v>
      </c>
      <c r="H62" s="351">
        <f>VLOOKUP(G62,[3]Planilha1!$B:$G,3,FALSE)</f>
        <v>423.34899999999999</v>
      </c>
      <c r="I62" s="351">
        <f>VLOOKUP(G62,[3]Planilha1!$B:$G,4,FALSE)</f>
        <v>444.55099999999999</v>
      </c>
      <c r="J62" s="352">
        <f t="shared" si="0"/>
        <v>1.0500816111529732</v>
      </c>
    </row>
    <row r="63" spans="2:10">
      <c r="B63" s="205"/>
      <c r="C63" s="278" t="s">
        <v>166</v>
      </c>
      <c r="D63" s="205"/>
      <c r="E63" s="207"/>
      <c r="G63" s="353"/>
      <c r="H63" s="354"/>
      <c r="I63" s="354"/>
      <c r="J63" s="355"/>
    </row>
    <row r="64" spans="2:10" ht="14.4">
      <c r="B64" s="43"/>
      <c r="C64" s="279" t="s">
        <v>167</v>
      </c>
      <c r="D64" s="69"/>
      <c r="E64" s="53"/>
      <c r="G64" s="346"/>
      <c r="H64" s="347"/>
      <c r="I64" s="348"/>
      <c r="J64" s="349"/>
    </row>
    <row r="65" spans="2:10" ht="14.4">
      <c r="B65" s="285">
        <v>4915740</v>
      </c>
      <c r="C65" s="321" t="s">
        <v>168</v>
      </c>
      <c r="D65" s="285" t="s">
        <v>169</v>
      </c>
      <c r="E65" s="213">
        <f>VLOOKUP(B65,[2]Planilha1!$A$1:$F$65536,5,FALSE)*J65</f>
        <v>1891.9110371820886</v>
      </c>
      <c r="G65" s="350">
        <f>[3]Planilha1!$B$14</f>
        <v>10</v>
      </c>
      <c r="H65" s="351">
        <f>VLOOKUP(G65,[3]Planilha1!$B:$G,3,FALSE)</f>
        <v>423.34899999999999</v>
      </c>
      <c r="I65" s="351">
        <f>VLOOKUP(G65,[3]Planilha1!$B:$G,4,FALSE)</f>
        <v>444.55099999999999</v>
      </c>
      <c r="J65" s="352">
        <f t="shared" si="0"/>
        <v>1.0500816111529732</v>
      </c>
    </row>
    <row r="66" spans="2:10" ht="14.4">
      <c r="B66" s="285">
        <v>4915742</v>
      </c>
      <c r="C66" s="321" t="s">
        <v>170</v>
      </c>
      <c r="D66" s="285" t="s">
        <v>169</v>
      </c>
      <c r="E66" s="213">
        <f>VLOOKUP(B66,[2]Planilha1!$A$1:$F$65536,5,FALSE)*J66</f>
        <v>460.52379138724791</v>
      </c>
      <c r="G66" s="350">
        <f>[3]Planilha1!$B$14</f>
        <v>10</v>
      </c>
      <c r="H66" s="351">
        <f>VLOOKUP(G66,[3]Planilha1!$B:$G,3,FALSE)</f>
        <v>423.34899999999999</v>
      </c>
      <c r="I66" s="351">
        <f>VLOOKUP(G66,[3]Planilha1!$B:$G,4,FALSE)</f>
        <v>444.55099999999999</v>
      </c>
      <c r="J66" s="352">
        <f t="shared" si="0"/>
        <v>1.0500816111529732</v>
      </c>
    </row>
    <row r="67" spans="2:10" ht="14.4">
      <c r="B67" s="285">
        <v>4915744</v>
      </c>
      <c r="C67" s="321" t="s">
        <v>171</v>
      </c>
      <c r="D67" s="285" t="s">
        <v>101</v>
      </c>
      <c r="E67" s="213">
        <f>VLOOKUP(B67,[2]Planilha1!$A$1:$F$65536,5,FALSE)*J67</f>
        <v>0.75605876003014061</v>
      </c>
      <c r="G67" s="350">
        <f>[3]Planilha1!$B$14</f>
        <v>10</v>
      </c>
      <c r="H67" s="351">
        <f>VLOOKUP(G67,[3]Planilha1!$B:$G,3,FALSE)</f>
        <v>423.34899999999999</v>
      </c>
      <c r="I67" s="351">
        <f>VLOOKUP(G67,[3]Planilha1!$B:$G,4,FALSE)</f>
        <v>444.55099999999999</v>
      </c>
      <c r="J67" s="352">
        <f t="shared" si="0"/>
        <v>1.0500816111529732</v>
      </c>
    </row>
    <row r="68" spans="2:10" ht="14.4">
      <c r="B68" s="285" t="s">
        <v>172</v>
      </c>
      <c r="C68" s="321" t="s">
        <v>173</v>
      </c>
      <c r="D68" s="285" t="s">
        <v>101</v>
      </c>
      <c r="E68" s="213">
        <f>VLOOKUP(B68,[2]Planilha1!$A$1:$F$65536,5,FALSE)*J68</f>
        <v>6.7940280241597364</v>
      </c>
      <c r="G68" s="350">
        <f>[3]Planilha1!$B$14</f>
        <v>10</v>
      </c>
      <c r="H68" s="351">
        <f>VLOOKUP(G68,[3]Planilha1!$B:$G,3,FALSE)</f>
        <v>423.34899999999999</v>
      </c>
      <c r="I68" s="351">
        <f>VLOOKUP(G68,[3]Planilha1!$B:$G,4,FALSE)</f>
        <v>444.55099999999999</v>
      </c>
      <c r="J68" s="352">
        <f t="shared" si="0"/>
        <v>1.0500816111529732</v>
      </c>
    </row>
    <row r="69" spans="2:10" ht="14.4">
      <c r="B69" s="285" t="s">
        <v>174</v>
      </c>
      <c r="C69" s="321" t="s">
        <v>175</v>
      </c>
      <c r="D69" s="285" t="s">
        <v>97</v>
      </c>
      <c r="E69" s="213">
        <f>VLOOKUP(B69,[2]Planilha1!$A$1:$F$65536,5,FALSE)*J69</f>
        <v>46.686628431861187</v>
      </c>
      <c r="G69" s="350">
        <f>[3]Planilha1!$B$14</f>
        <v>10</v>
      </c>
      <c r="H69" s="351">
        <f>VLOOKUP(G69,[3]Planilha1!$B:$G,3,FALSE)</f>
        <v>423.34899999999999</v>
      </c>
      <c r="I69" s="351">
        <f>VLOOKUP(G69,[3]Planilha1!$B:$G,4,FALSE)</f>
        <v>444.55099999999999</v>
      </c>
      <c r="J69" s="352">
        <f t="shared" si="0"/>
        <v>1.0500816111529732</v>
      </c>
    </row>
    <row r="70" spans="2:10" ht="28.8">
      <c r="B70" s="285" t="s">
        <v>176</v>
      </c>
      <c r="C70" s="321" t="s">
        <v>177</v>
      </c>
      <c r="D70" s="285" t="s">
        <v>135</v>
      </c>
      <c r="E70" s="213">
        <f>VLOOKUP(B70,[2]Planilha1!$A$1:$F$65536,5,FALSE)*J70</f>
        <v>34.484680110263639</v>
      </c>
      <c r="G70" s="350">
        <f>[3]Planilha1!$B$14</f>
        <v>10</v>
      </c>
      <c r="H70" s="351">
        <f>VLOOKUP(G70,[3]Planilha1!$B:$G,3,FALSE)</f>
        <v>423.34899999999999</v>
      </c>
      <c r="I70" s="351">
        <f>VLOOKUP(G70,[3]Planilha1!$B:$G,4,FALSE)</f>
        <v>444.55099999999999</v>
      </c>
      <c r="J70" s="352">
        <f t="shared" si="0"/>
        <v>1.0500816111529732</v>
      </c>
    </row>
    <row r="71" spans="2:10">
      <c r="B71" s="205"/>
      <c r="C71" s="278" t="s">
        <v>178</v>
      </c>
      <c r="D71" s="205"/>
      <c r="E71" s="207"/>
      <c r="G71" s="353"/>
      <c r="H71" s="354"/>
      <c r="I71" s="354"/>
      <c r="J71" s="355"/>
    </row>
    <row r="72" spans="2:10" ht="14.4">
      <c r="B72" s="43"/>
      <c r="C72" s="279" t="s">
        <v>179</v>
      </c>
      <c r="D72" s="69"/>
      <c r="E72" s="53"/>
      <c r="G72" s="346"/>
      <c r="H72" s="347"/>
      <c r="I72" s="348"/>
      <c r="J72" s="349"/>
    </row>
    <row r="73" spans="2:10" ht="14.4">
      <c r="B73" s="285" t="s">
        <v>180</v>
      </c>
      <c r="C73" s="321" t="s">
        <v>181</v>
      </c>
      <c r="D73" s="285" t="s">
        <v>182</v>
      </c>
      <c r="E73" s="213">
        <f>VLOOKUP(B73,[2]Planilha1!$A$1:$F$65536,5,FALSE)*J73</f>
        <v>10376.129421021427</v>
      </c>
      <c r="G73" s="350">
        <f>[3]Planilha1!$B$14</f>
        <v>10</v>
      </c>
      <c r="H73" s="351">
        <f>VLOOKUP(G73,[3]Planilha1!$B:$G,3,FALSE)</f>
        <v>423.34899999999999</v>
      </c>
      <c r="I73" s="351">
        <f>VLOOKUP(G73,[3]Planilha1!$B:$G,4,FALSE)</f>
        <v>444.55099999999999</v>
      </c>
      <c r="J73" s="352">
        <f t="shared" si="0"/>
        <v>1.0500816111529732</v>
      </c>
    </row>
    <row r="74" spans="2:10">
      <c r="B74" s="205"/>
      <c r="C74" s="278" t="s">
        <v>183</v>
      </c>
      <c r="D74" s="205"/>
      <c r="E74" s="207"/>
      <c r="G74" s="353"/>
      <c r="H74" s="354"/>
      <c r="I74" s="354"/>
      <c r="J74" s="355"/>
    </row>
    <row r="75" spans="2:10" ht="14.4">
      <c r="B75" s="43"/>
      <c r="C75" s="279" t="s">
        <v>184</v>
      </c>
      <c r="D75" s="69"/>
      <c r="E75" s="53"/>
      <c r="G75" s="346"/>
      <c r="H75" s="347"/>
      <c r="I75" s="348"/>
      <c r="J75" s="349"/>
    </row>
    <row r="76" spans="2:10" ht="14.4">
      <c r="B76" s="285" t="s">
        <v>185</v>
      </c>
      <c r="C76" s="321" t="s">
        <v>186</v>
      </c>
      <c r="D76" s="285" t="s">
        <v>182</v>
      </c>
      <c r="E76" s="213">
        <f>VLOOKUP(B76,[2]Planilha1!$A$1:$F$65536,5,FALSE)*J76</f>
        <v>15804.505308244499</v>
      </c>
      <c r="G76" s="356">
        <f>[3]Planilha1!$B$14</f>
        <v>10</v>
      </c>
      <c r="H76" s="357">
        <f>VLOOKUP(G76,[3]Planilha1!$B:$G,3,FALSE)</f>
        <v>423.34899999999999</v>
      </c>
      <c r="I76" s="357">
        <f>VLOOKUP(G76,[3]Planilha1!$B:$G,4,FALSE)</f>
        <v>444.55099999999999</v>
      </c>
      <c r="J76" s="358">
        <f t="shared" si="0"/>
        <v>1.0500816111529732</v>
      </c>
    </row>
  </sheetData>
  <mergeCells count="5">
    <mergeCell ref="B7:D7"/>
    <mergeCell ref="B15:E15"/>
    <mergeCell ref="G15:J15"/>
    <mergeCell ref="G16:G17"/>
    <mergeCell ref="J16:J17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9B697-569F-4949-8D47-46CFCEEC5128}">
  <sheetPr>
    <tabColor rgb="FF00B050"/>
  </sheetPr>
  <dimension ref="A1:J3326"/>
  <sheetViews>
    <sheetView showGridLines="0" zoomScale="80" zoomScaleNormal="80" workbookViewId="0"/>
  </sheetViews>
  <sheetFormatPr defaultRowHeight="13.8"/>
  <cols>
    <col min="1" max="1" width="2" customWidth="1"/>
    <col min="2" max="2" width="9.875" customWidth="1"/>
    <col min="3" max="3" width="40.25" customWidth="1"/>
    <col min="4" max="4" width="8.75" style="102" customWidth="1"/>
    <col min="5" max="9" width="9.875" style="102" customWidth="1"/>
    <col min="10" max="10" width="12.125" style="102" customWidth="1"/>
    <col min="257" max="257" width="2" customWidth="1"/>
    <col min="258" max="258" width="9.875" customWidth="1"/>
    <col min="259" max="259" width="40.25" customWidth="1"/>
    <col min="260" max="260" width="8.75" customWidth="1"/>
    <col min="261" max="265" width="9.875" customWidth="1"/>
    <col min="266" max="266" width="12.125" customWidth="1"/>
    <col min="513" max="513" width="2" customWidth="1"/>
    <col min="514" max="514" width="9.875" customWidth="1"/>
    <col min="515" max="515" width="40.25" customWidth="1"/>
    <col min="516" max="516" width="8.75" customWidth="1"/>
    <col min="517" max="521" width="9.875" customWidth="1"/>
    <col min="522" max="522" width="12.125" customWidth="1"/>
    <col min="769" max="769" width="2" customWidth="1"/>
    <col min="770" max="770" width="9.875" customWidth="1"/>
    <col min="771" max="771" width="40.25" customWidth="1"/>
    <col min="772" max="772" width="8.75" customWidth="1"/>
    <col min="773" max="777" width="9.875" customWidth="1"/>
    <col min="778" max="778" width="12.125" customWidth="1"/>
    <col min="1025" max="1025" width="2" customWidth="1"/>
    <col min="1026" max="1026" width="9.875" customWidth="1"/>
    <col min="1027" max="1027" width="40.25" customWidth="1"/>
    <col min="1028" max="1028" width="8.75" customWidth="1"/>
    <col min="1029" max="1033" width="9.875" customWidth="1"/>
    <col min="1034" max="1034" width="12.125" customWidth="1"/>
    <col min="1281" max="1281" width="2" customWidth="1"/>
    <col min="1282" max="1282" width="9.875" customWidth="1"/>
    <col min="1283" max="1283" width="40.25" customWidth="1"/>
    <col min="1284" max="1284" width="8.75" customWidth="1"/>
    <col min="1285" max="1289" width="9.875" customWidth="1"/>
    <col min="1290" max="1290" width="12.125" customWidth="1"/>
    <col min="1537" max="1537" width="2" customWidth="1"/>
    <col min="1538" max="1538" width="9.875" customWidth="1"/>
    <col min="1539" max="1539" width="40.25" customWidth="1"/>
    <col min="1540" max="1540" width="8.75" customWidth="1"/>
    <col min="1541" max="1545" width="9.875" customWidth="1"/>
    <col min="1546" max="1546" width="12.125" customWidth="1"/>
    <col min="1793" max="1793" width="2" customWidth="1"/>
    <col min="1794" max="1794" width="9.875" customWidth="1"/>
    <col min="1795" max="1795" width="40.25" customWidth="1"/>
    <col min="1796" max="1796" width="8.75" customWidth="1"/>
    <col min="1797" max="1801" width="9.875" customWidth="1"/>
    <col min="1802" max="1802" width="12.125" customWidth="1"/>
    <col min="2049" max="2049" width="2" customWidth="1"/>
    <col min="2050" max="2050" width="9.875" customWidth="1"/>
    <col min="2051" max="2051" width="40.25" customWidth="1"/>
    <col min="2052" max="2052" width="8.75" customWidth="1"/>
    <col min="2053" max="2057" width="9.875" customWidth="1"/>
    <col min="2058" max="2058" width="12.125" customWidth="1"/>
    <col min="2305" max="2305" width="2" customWidth="1"/>
    <col min="2306" max="2306" width="9.875" customWidth="1"/>
    <col min="2307" max="2307" width="40.25" customWidth="1"/>
    <col min="2308" max="2308" width="8.75" customWidth="1"/>
    <col min="2309" max="2313" width="9.875" customWidth="1"/>
    <col min="2314" max="2314" width="12.125" customWidth="1"/>
    <col min="2561" max="2561" width="2" customWidth="1"/>
    <col min="2562" max="2562" width="9.875" customWidth="1"/>
    <col min="2563" max="2563" width="40.25" customWidth="1"/>
    <col min="2564" max="2564" width="8.75" customWidth="1"/>
    <col min="2565" max="2569" width="9.875" customWidth="1"/>
    <col min="2570" max="2570" width="12.125" customWidth="1"/>
    <col min="2817" max="2817" width="2" customWidth="1"/>
    <col min="2818" max="2818" width="9.875" customWidth="1"/>
    <col min="2819" max="2819" width="40.25" customWidth="1"/>
    <col min="2820" max="2820" width="8.75" customWidth="1"/>
    <col min="2821" max="2825" width="9.875" customWidth="1"/>
    <col min="2826" max="2826" width="12.125" customWidth="1"/>
    <col min="3073" max="3073" width="2" customWidth="1"/>
    <col min="3074" max="3074" width="9.875" customWidth="1"/>
    <col min="3075" max="3075" width="40.25" customWidth="1"/>
    <col min="3076" max="3076" width="8.75" customWidth="1"/>
    <col min="3077" max="3081" width="9.875" customWidth="1"/>
    <col min="3082" max="3082" width="12.125" customWidth="1"/>
    <col min="3329" max="3329" width="2" customWidth="1"/>
    <col min="3330" max="3330" width="9.875" customWidth="1"/>
    <col min="3331" max="3331" width="40.25" customWidth="1"/>
    <col min="3332" max="3332" width="8.75" customWidth="1"/>
    <col min="3333" max="3337" width="9.875" customWidth="1"/>
    <col min="3338" max="3338" width="12.125" customWidth="1"/>
    <col min="3585" max="3585" width="2" customWidth="1"/>
    <col min="3586" max="3586" width="9.875" customWidth="1"/>
    <col min="3587" max="3587" width="40.25" customWidth="1"/>
    <col min="3588" max="3588" width="8.75" customWidth="1"/>
    <col min="3589" max="3593" width="9.875" customWidth="1"/>
    <col min="3594" max="3594" width="12.125" customWidth="1"/>
    <col min="3841" max="3841" width="2" customWidth="1"/>
    <col min="3842" max="3842" width="9.875" customWidth="1"/>
    <col min="3843" max="3843" width="40.25" customWidth="1"/>
    <col min="3844" max="3844" width="8.75" customWidth="1"/>
    <col min="3845" max="3849" width="9.875" customWidth="1"/>
    <col min="3850" max="3850" width="12.125" customWidth="1"/>
    <col min="4097" max="4097" width="2" customWidth="1"/>
    <col min="4098" max="4098" width="9.875" customWidth="1"/>
    <col min="4099" max="4099" width="40.25" customWidth="1"/>
    <col min="4100" max="4100" width="8.75" customWidth="1"/>
    <col min="4101" max="4105" width="9.875" customWidth="1"/>
    <col min="4106" max="4106" width="12.125" customWidth="1"/>
    <col min="4353" max="4353" width="2" customWidth="1"/>
    <col min="4354" max="4354" width="9.875" customWidth="1"/>
    <col min="4355" max="4355" width="40.25" customWidth="1"/>
    <col min="4356" max="4356" width="8.75" customWidth="1"/>
    <col min="4357" max="4361" width="9.875" customWidth="1"/>
    <col min="4362" max="4362" width="12.125" customWidth="1"/>
    <col min="4609" max="4609" width="2" customWidth="1"/>
    <col min="4610" max="4610" width="9.875" customWidth="1"/>
    <col min="4611" max="4611" width="40.25" customWidth="1"/>
    <col min="4612" max="4612" width="8.75" customWidth="1"/>
    <col min="4613" max="4617" width="9.875" customWidth="1"/>
    <col min="4618" max="4618" width="12.125" customWidth="1"/>
    <col min="4865" max="4865" width="2" customWidth="1"/>
    <col min="4866" max="4866" width="9.875" customWidth="1"/>
    <col min="4867" max="4867" width="40.25" customWidth="1"/>
    <col min="4868" max="4868" width="8.75" customWidth="1"/>
    <col min="4869" max="4873" width="9.875" customWidth="1"/>
    <col min="4874" max="4874" width="12.125" customWidth="1"/>
    <col min="5121" max="5121" width="2" customWidth="1"/>
    <col min="5122" max="5122" width="9.875" customWidth="1"/>
    <col min="5123" max="5123" width="40.25" customWidth="1"/>
    <col min="5124" max="5124" width="8.75" customWidth="1"/>
    <col min="5125" max="5129" width="9.875" customWidth="1"/>
    <col min="5130" max="5130" width="12.125" customWidth="1"/>
    <col min="5377" max="5377" width="2" customWidth="1"/>
    <col min="5378" max="5378" width="9.875" customWidth="1"/>
    <col min="5379" max="5379" width="40.25" customWidth="1"/>
    <col min="5380" max="5380" width="8.75" customWidth="1"/>
    <col min="5381" max="5385" width="9.875" customWidth="1"/>
    <col min="5386" max="5386" width="12.125" customWidth="1"/>
    <col min="5633" max="5633" width="2" customWidth="1"/>
    <col min="5634" max="5634" width="9.875" customWidth="1"/>
    <col min="5635" max="5635" width="40.25" customWidth="1"/>
    <col min="5636" max="5636" width="8.75" customWidth="1"/>
    <col min="5637" max="5641" width="9.875" customWidth="1"/>
    <col min="5642" max="5642" width="12.125" customWidth="1"/>
    <col min="5889" max="5889" width="2" customWidth="1"/>
    <col min="5890" max="5890" width="9.875" customWidth="1"/>
    <col min="5891" max="5891" width="40.25" customWidth="1"/>
    <col min="5892" max="5892" width="8.75" customWidth="1"/>
    <col min="5893" max="5897" width="9.875" customWidth="1"/>
    <col min="5898" max="5898" width="12.125" customWidth="1"/>
    <col min="6145" max="6145" width="2" customWidth="1"/>
    <col min="6146" max="6146" width="9.875" customWidth="1"/>
    <col min="6147" max="6147" width="40.25" customWidth="1"/>
    <col min="6148" max="6148" width="8.75" customWidth="1"/>
    <col min="6149" max="6153" width="9.875" customWidth="1"/>
    <col min="6154" max="6154" width="12.125" customWidth="1"/>
    <col min="6401" max="6401" width="2" customWidth="1"/>
    <col min="6402" max="6402" width="9.875" customWidth="1"/>
    <col min="6403" max="6403" width="40.25" customWidth="1"/>
    <col min="6404" max="6404" width="8.75" customWidth="1"/>
    <col min="6405" max="6409" width="9.875" customWidth="1"/>
    <col min="6410" max="6410" width="12.125" customWidth="1"/>
    <col min="6657" max="6657" width="2" customWidth="1"/>
    <col min="6658" max="6658" width="9.875" customWidth="1"/>
    <col min="6659" max="6659" width="40.25" customWidth="1"/>
    <col min="6660" max="6660" width="8.75" customWidth="1"/>
    <col min="6661" max="6665" width="9.875" customWidth="1"/>
    <col min="6666" max="6666" width="12.125" customWidth="1"/>
    <col min="6913" max="6913" width="2" customWidth="1"/>
    <col min="6914" max="6914" width="9.875" customWidth="1"/>
    <col min="6915" max="6915" width="40.25" customWidth="1"/>
    <col min="6916" max="6916" width="8.75" customWidth="1"/>
    <col min="6917" max="6921" width="9.875" customWidth="1"/>
    <col min="6922" max="6922" width="12.125" customWidth="1"/>
    <col min="7169" max="7169" width="2" customWidth="1"/>
    <col min="7170" max="7170" width="9.875" customWidth="1"/>
    <col min="7171" max="7171" width="40.25" customWidth="1"/>
    <col min="7172" max="7172" width="8.75" customWidth="1"/>
    <col min="7173" max="7177" width="9.875" customWidth="1"/>
    <col min="7178" max="7178" width="12.125" customWidth="1"/>
    <col min="7425" max="7425" width="2" customWidth="1"/>
    <col min="7426" max="7426" width="9.875" customWidth="1"/>
    <col min="7427" max="7427" width="40.25" customWidth="1"/>
    <col min="7428" max="7428" width="8.75" customWidth="1"/>
    <col min="7429" max="7433" width="9.875" customWidth="1"/>
    <col min="7434" max="7434" width="12.125" customWidth="1"/>
    <col min="7681" max="7681" width="2" customWidth="1"/>
    <col min="7682" max="7682" width="9.875" customWidth="1"/>
    <col min="7683" max="7683" width="40.25" customWidth="1"/>
    <col min="7684" max="7684" width="8.75" customWidth="1"/>
    <col min="7685" max="7689" width="9.875" customWidth="1"/>
    <col min="7690" max="7690" width="12.125" customWidth="1"/>
    <col min="7937" max="7937" width="2" customWidth="1"/>
    <col min="7938" max="7938" width="9.875" customWidth="1"/>
    <col min="7939" max="7939" width="40.25" customWidth="1"/>
    <col min="7940" max="7940" width="8.75" customWidth="1"/>
    <col min="7941" max="7945" width="9.875" customWidth="1"/>
    <col min="7946" max="7946" width="12.125" customWidth="1"/>
    <col min="8193" max="8193" width="2" customWidth="1"/>
    <col min="8194" max="8194" width="9.875" customWidth="1"/>
    <col min="8195" max="8195" width="40.25" customWidth="1"/>
    <col min="8196" max="8196" width="8.75" customWidth="1"/>
    <col min="8197" max="8201" width="9.875" customWidth="1"/>
    <col min="8202" max="8202" width="12.125" customWidth="1"/>
    <col min="8449" max="8449" width="2" customWidth="1"/>
    <col min="8450" max="8450" width="9.875" customWidth="1"/>
    <col min="8451" max="8451" width="40.25" customWidth="1"/>
    <col min="8452" max="8452" width="8.75" customWidth="1"/>
    <col min="8453" max="8457" width="9.875" customWidth="1"/>
    <col min="8458" max="8458" width="12.125" customWidth="1"/>
    <col min="8705" max="8705" width="2" customWidth="1"/>
    <col min="8706" max="8706" width="9.875" customWidth="1"/>
    <col min="8707" max="8707" width="40.25" customWidth="1"/>
    <col min="8708" max="8708" width="8.75" customWidth="1"/>
    <col min="8709" max="8713" width="9.875" customWidth="1"/>
    <col min="8714" max="8714" width="12.125" customWidth="1"/>
    <col min="8961" max="8961" width="2" customWidth="1"/>
    <col min="8962" max="8962" width="9.875" customWidth="1"/>
    <col min="8963" max="8963" width="40.25" customWidth="1"/>
    <col min="8964" max="8964" width="8.75" customWidth="1"/>
    <col min="8965" max="8969" width="9.875" customWidth="1"/>
    <col min="8970" max="8970" width="12.125" customWidth="1"/>
    <col min="9217" max="9217" width="2" customWidth="1"/>
    <col min="9218" max="9218" width="9.875" customWidth="1"/>
    <col min="9219" max="9219" width="40.25" customWidth="1"/>
    <col min="9220" max="9220" width="8.75" customWidth="1"/>
    <col min="9221" max="9225" width="9.875" customWidth="1"/>
    <col min="9226" max="9226" width="12.125" customWidth="1"/>
    <col min="9473" max="9473" width="2" customWidth="1"/>
    <col min="9474" max="9474" width="9.875" customWidth="1"/>
    <col min="9475" max="9475" width="40.25" customWidth="1"/>
    <col min="9476" max="9476" width="8.75" customWidth="1"/>
    <col min="9477" max="9481" width="9.875" customWidth="1"/>
    <col min="9482" max="9482" width="12.125" customWidth="1"/>
    <col min="9729" max="9729" width="2" customWidth="1"/>
    <col min="9730" max="9730" width="9.875" customWidth="1"/>
    <col min="9731" max="9731" width="40.25" customWidth="1"/>
    <col min="9732" max="9732" width="8.75" customWidth="1"/>
    <col min="9733" max="9737" width="9.875" customWidth="1"/>
    <col min="9738" max="9738" width="12.125" customWidth="1"/>
    <col min="9985" max="9985" width="2" customWidth="1"/>
    <col min="9986" max="9986" width="9.875" customWidth="1"/>
    <col min="9987" max="9987" width="40.25" customWidth="1"/>
    <col min="9988" max="9988" width="8.75" customWidth="1"/>
    <col min="9989" max="9993" width="9.875" customWidth="1"/>
    <col min="9994" max="9994" width="12.125" customWidth="1"/>
    <col min="10241" max="10241" width="2" customWidth="1"/>
    <col min="10242" max="10242" width="9.875" customWidth="1"/>
    <col min="10243" max="10243" width="40.25" customWidth="1"/>
    <col min="10244" max="10244" width="8.75" customWidth="1"/>
    <col min="10245" max="10249" width="9.875" customWidth="1"/>
    <col min="10250" max="10250" width="12.125" customWidth="1"/>
    <col min="10497" max="10497" width="2" customWidth="1"/>
    <col min="10498" max="10498" width="9.875" customWidth="1"/>
    <col min="10499" max="10499" width="40.25" customWidth="1"/>
    <col min="10500" max="10500" width="8.75" customWidth="1"/>
    <col min="10501" max="10505" width="9.875" customWidth="1"/>
    <col min="10506" max="10506" width="12.125" customWidth="1"/>
    <col min="10753" max="10753" width="2" customWidth="1"/>
    <col min="10754" max="10754" width="9.875" customWidth="1"/>
    <col min="10755" max="10755" width="40.25" customWidth="1"/>
    <col min="10756" max="10756" width="8.75" customWidth="1"/>
    <col min="10757" max="10761" width="9.875" customWidth="1"/>
    <col min="10762" max="10762" width="12.125" customWidth="1"/>
    <col min="11009" max="11009" width="2" customWidth="1"/>
    <col min="11010" max="11010" width="9.875" customWidth="1"/>
    <col min="11011" max="11011" width="40.25" customWidth="1"/>
    <col min="11012" max="11012" width="8.75" customWidth="1"/>
    <col min="11013" max="11017" width="9.875" customWidth="1"/>
    <col min="11018" max="11018" width="12.125" customWidth="1"/>
    <col min="11265" max="11265" width="2" customWidth="1"/>
    <col min="11266" max="11266" width="9.875" customWidth="1"/>
    <col min="11267" max="11267" width="40.25" customWidth="1"/>
    <col min="11268" max="11268" width="8.75" customWidth="1"/>
    <col min="11269" max="11273" width="9.875" customWidth="1"/>
    <col min="11274" max="11274" width="12.125" customWidth="1"/>
    <col min="11521" max="11521" width="2" customWidth="1"/>
    <col min="11522" max="11522" width="9.875" customWidth="1"/>
    <col min="11523" max="11523" width="40.25" customWidth="1"/>
    <col min="11524" max="11524" width="8.75" customWidth="1"/>
    <col min="11525" max="11529" width="9.875" customWidth="1"/>
    <col min="11530" max="11530" width="12.125" customWidth="1"/>
    <col min="11777" max="11777" width="2" customWidth="1"/>
    <col min="11778" max="11778" width="9.875" customWidth="1"/>
    <col min="11779" max="11779" width="40.25" customWidth="1"/>
    <col min="11780" max="11780" width="8.75" customWidth="1"/>
    <col min="11781" max="11785" width="9.875" customWidth="1"/>
    <col min="11786" max="11786" width="12.125" customWidth="1"/>
    <col min="12033" max="12033" width="2" customWidth="1"/>
    <col min="12034" max="12034" width="9.875" customWidth="1"/>
    <col min="12035" max="12035" width="40.25" customWidth="1"/>
    <col min="12036" max="12036" width="8.75" customWidth="1"/>
    <col min="12037" max="12041" width="9.875" customWidth="1"/>
    <col min="12042" max="12042" width="12.125" customWidth="1"/>
    <col min="12289" max="12289" width="2" customWidth="1"/>
    <col min="12290" max="12290" width="9.875" customWidth="1"/>
    <col min="12291" max="12291" width="40.25" customWidth="1"/>
    <col min="12292" max="12292" width="8.75" customWidth="1"/>
    <col min="12293" max="12297" width="9.875" customWidth="1"/>
    <col min="12298" max="12298" width="12.125" customWidth="1"/>
    <col min="12545" max="12545" width="2" customWidth="1"/>
    <col min="12546" max="12546" width="9.875" customWidth="1"/>
    <col min="12547" max="12547" width="40.25" customWidth="1"/>
    <col min="12548" max="12548" width="8.75" customWidth="1"/>
    <col min="12549" max="12553" width="9.875" customWidth="1"/>
    <col min="12554" max="12554" width="12.125" customWidth="1"/>
    <col min="12801" max="12801" width="2" customWidth="1"/>
    <col min="12802" max="12802" width="9.875" customWidth="1"/>
    <col min="12803" max="12803" width="40.25" customWidth="1"/>
    <col min="12804" max="12804" width="8.75" customWidth="1"/>
    <col min="12805" max="12809" width="9.875" customWidth="1"/>
    <col min="12810" max="12810" width="12.125" customWidth="1"/>
    <col min="13057" max="13057" width="2" customWidth="1"/>
    <col min="13058" max="13058" width="9.875" customWidth="1"/>
    <col min="13059" max="13059" width="40.25" customWidth="1"/>
    <col min="13060" max="13060" width="8.75" customWidth="1"/>
    <col min="13061" max="13065" width="9.875" customWidth="1"/>
    <col min="13066" max="13066" width="12.125" customWidth="1"/>
    <col min="13313" max="13313" width="2" customWidth="1"/>
    <col min="13314" max="13314" width="9.875" customWidth="1"/>
    <col min="13315" max="13315" width="40.25" customWidth="1"/>
    <col min="13316" max="13316" width="8.75" customWidth="1"/>
    <col min="13317" max="13321" width="9.875" customWidth="1"/>
    <col min="13322" max="13322" width="12.125" customWidth="1"/>
    <col min="13569" max="13569" width="2" customWidth="1"/>
    <col min="13570" max="13570" width="9.875" customWidth="1"/>
    <col min="13571" max="13571" width="40.25" customWidth="1"/>
    <col min="13572" max="13572" width="8.75" customWidth="1"/>
    <col min="13573" max="13577" width="9.875" customWidth="1"/>
    <col min="13578" max="13578" width="12.125" customWidth="1"/>
    <col min="13825" max="13825" width="2" customWidth="1"/>
    <col min="13826" max="13826" width="9.875" customWidth="1"/>
    <col min="13827" max="13827" width="40.25" customWidth="1"/>
    <col min="13828" max="13828" width="8.75" customWidth="1"/>
    <col min="13829" max="13833" width="9.875" customWidth="1"/>
    <col min="13834" max="13834" width="12.125" customWidth="1"/>
    <col min="14081" max="14081" width="2" customWidth="1"/>
    <col min="14082" max="14082" width="9.875" customWidth="1"/>
    <col min="14083" max="14083" width="40.25" customWidth="1"/>
    <col min="14084" max="14084" width="8.75" customWidth="1"/>
    <col min="14085" max="14089" width="9.875" customWidth="1"/>
    <col min="14090" max="14090" width="12.125" customWidth="1"/>
    <col min="14337" max="14337" width="2" customWidth="1"/>
    <col min="14338" max="14338" width="9.875" customWidth="1"/>
    <col min="14339" max="14339" width="40.25" customWidth="1"/>
    <col min="14340" max="14340" width="8.75" customWidth="1"/>
    <col min="14341" max="14345" width="9.875" customWidth="1"/>
    <col min="14346" max="14346" width="12.125" customWidth="1"/>
    <col min="14593" max="14593" width="2" customWidth="1"/>
    <col min="14594" max="14594" width="9.875" customWidth="1"/>
    <col min="14595" max="14595" width="40.25" customWidth="1"/>
    <col min="14596" max="14596" width="8.75" customWidth="1"/>
    <col min="14597" max="14601" width="9.875" customWidth="1"/>
    <col min="14602" max="14602" width="12.125" customWidth="1"/>
    <col min="14849" max="14849" width="2" customWidth="1"/>
    <col min="14850" max="14850" width="9.875" customWidth="1"/>
    <col min="14851" max="14851" width="40.25" customWidth="1"/>
    <col min="14852" max="14852" width="8.75" customWidth="1"/>
    <col min="14853" max="14857" width="9.875" customWidth="1"/>
    <col min="14858" max="14858" width="12.125" customWidth="1"/>
    <col min="15105" max="15105" width="2" customWidth="1"/>
    <col min="15106" max="15106" width="9.875" customWidth="1"/>
    <col min="15107" max="15107" width="40.25" customWidth="1"/>
    <col min="15108" max="15108" width="8.75" customWidth="1"/>
    <col min="15109" max="15113" width="9.875" customWidth="1"/>
    <col min="15114" max="15114" width="12.125" customWidth="1"/>
    <col min="15361" max="15361" width="2" customWidth="1"/>
    <col min="15362" max="15362" width="9.875" customWidth="1"/>
    <col min="15363" max="15363" width="40.25" customWidth="1"/>
    <col min="15364" max="15364" width="8.75" customWidth="1"/>
    <col min="15365" max="15369" width="9.875" customWidth="1"/>
    <col min="15370" max="15370" width="12.125" customWidth="1"/>
    <col min="15617" max="15617" width="2" customWidth="1"/>
    <col min="15618" max="15618" width="9.875" customWidth="1"/>
    <col min="15619" max="15619" width="40.25" customWidth="1"/>
    <col min="15620" max="15620" width="8.75" customWidth="1"/>
    <col min="15621" max="15625" width="9.875" customWidth="1"/>
    <col min="15626" max="15626" width="12.125" customWidth="1"/>
    <col min="15873" max="15873" width="2" customWidth="1"/>
    <col min="15874" max="15874" width="9.875" customWidth="1"/>
    <col min="15875" max="15875" width="40.25" customWidth="1"/>
    <col min="15876" max="15876" width="8.75" customWidth="1"/>
    <col min="15877" max="15881" width="9.875" customWidth="1"/>
    <col min="15882" max="15882" width="12.125" customWidth="1"/>
    <col min="16129" max="16129" width="2" customWidth="1"/>
    <col min="16130" max="16130" width="9.875" customWidth="1"/>
    <col min="16131" max="16131" width="40.25" customWidth="1"/>
    <col min="16132" max="16132" width="8.75" customWidth="1"/>
    <col min="16133" max="16137" width="9.875" customWidth="1"/>
    <col min="16138" max="16138" width="12.125" customWidth="1"/>
  </cols>
  <sheetData>
    <row r="1" spans="1:10" ht="15" thickBot="1">
      <c r="D1" s="269"/>
      <c r="E1" s="269"/>
      <c r="F1" s="269"/>
    </row>
    <row r="2" spans="1:10">
      <c r="A2" s="84"/>
      <c r="B2" s="85"/>
      <c r="C2" s="86"/>
      <c r="D2" s="87" t="s">
        <v>227</v>
      </c>
      <c r="E2" s="87"/>
      <c r="F2" s="87"/>
      <c r="G2" s="88"/>
      <c r="H2" s="88"/>
      <c r="I2" s="88"/>
      <c r="J2" s="270"/>
    </row>
    <row r="3" spans="1:10">
      <c r="A3" s="84"/>
      <c r="B3" s="89" t="s">
        <v>228</v>
      </c>
      <c r="C3" s="90" t="s">
        <v>92</v>
      </c>
      <c r="D3" s="91"/>
      <c r="E3" s="91"/>
      <c r="F3" s="91"/>
      <c r="G3" s="91"/>
      <c r="H3" s="92" t="s">
        <v>229</v>
      </c>
      <c r="I3" s="91"/>
      <c r="J3" s="99" t="s">
        <v>230</v>
      </c>
    </row>
    <row r="4" spans="1:10">
      <c r="A4" s="84"/>
      <c r="B4" s="93" t="s">
        <v>231</v>
      </c>
      <c r="C4" s="94" t="s">
        <v>232</v>
      </c>
      <c r="D4" s="95"/>
      <c r="E4" s="95"/>
      <c r="F4" s="95"/>
      <c r="G4" s="95"/>
      <c r="H4" s="96" t="s">
        <v>233</v>
      </c>
      <c r="I4" s="95"/>
      <c r="J4" s="271" t="s">
        <v>234</v>
      </c>
    </row>
    <row r="5" spans="1:10">
      <c r="A5" s="84"/>
      <c r="B5" s="89"/>
      <c r="C5" s="90"/>
      <c r="D5" s="91"/>
      <c r="E5" s="92"/>
      <c r="F5" s="92" t="s">
        <v>235</v>
      </c>
      <c r="G5" s="92"/>
      <c r="H5" s="92" t="s">
        <v>236</v>
      </c>
      <c r="I5" s="92"/>
      <c r="J5" s="99" t="s">
        <v>237</v>
      </c>
    </row>
    <row r="6" spans="1:10">
      <c r="A6" s="84"/>
      <c r="B6" s="93" t="s">
        <v>228</v>
      </c>
      <c r="C6" s="94" t="s">
        <v>238</v>
      </c>
      <c r="D6" s="95"/>
      <c r="E6" s="96" t="s">
        <v>239</v>
      </c>
      <c r="F6" s="92" t="s">
        <v>240</v>
      </c>
      <c r="G6" s="92" t="s">
        <v>241</v>
      </c>
      <c r="H6" s="92" t="s">
        <v>240</v>
      </c>
      <c r="I6" s="272" t="s">
        <v>241</v>
      </c>
      <c r="J6" s="271" t="s">
        <v>242</v>
      </c>
    </row>
    <row r="7" spans="1:10">
      <c r="A7" s="84"/>
      <c r="B7" s="273" t="s">
        <v>243</v>
      </c>
      <c r="C7" s="90" t="s">
        <v>244</v>
      </c>
      <c r="D7" s="91"/>
      <c r="E7" s="92">
        <v>1</v>
      </c>
      <c r="F7" s="92">
        <v>0.02</v>
      </c>
      <c r="G7" s="92">
        <v>0.98</v>
      </c>
      <c r="H7" s="92">
        <v>17.61</v>
      </c>
      <c r="I7" s="92">
        <v>10.72</v>
      </c>
      <c r="J7" s="99">
        <f>+ROUND(E7* ((F7*H7) + (G7*I7)),2)</f>
        <v>10.86</v>
      </c>
    </row>
    <row r="8" spans="1:10">
      <c r="A8" s="84"/>
      <c r="B8" s="274" t="s">
        <v>245</v>
      </c>
      <c r="C8" s="94" t="s">
        <v>246</v>
      </c>
      <c r="D8" s="95"/>
      <c r="E8" s="96">
        <v>1</v>
      </c>
      <c r="F8" s="96">
        <v>0.26</v>
      </c>
      <c r="G8" s="96">
        <v>0.74</v>
      </c>
      <c r="H8" s="96">
        <v>6.84</v>
      </c>
      <c r="I8" s="96">
        <v>0.87</v>
      </c>
      <c r="J8" s="271">
        <f>+ROUND(E8* ((F8*H8) + (G8*I8)),2)</f>
        <v>2.42</v>
      </c>
    </row>
    <row r="9" spans="1:10">
      <c r="A9" s="84"/>
      <c r="B9" s="274" t="s">
        <v>247</v>
      </c>
      <c r="C9" s="94" t="s">
        <v>248</v>
      </c>
      <c r="D9" s="95"/>
      <c r="E9" s="96">
        <v>1</v>
      </c>
      <c r="F9" s="96">
        <v>0.33</v>
      </c>
      <c r="G9" s="96">
        <v>0.67</v>
      </c>
      <c r="H9" s="96">
        <v>20.67</v>
      </c>
      <c r="I9" s="96">
        <v>1.77</v>
      </c>
      <c r="J9" s="271">
        <f>+ROUND(E9* ((F9*H9) + (G9*I9)),2)</f>
        <v>8.01</v>
      </c>
    </row>
    <row r="10" spans="1:10">
      <c r="A10" s="84"/>
      <c r="B10" s="93" t="s">
        <v>231</v>
      </c>
      <c r="C10" s="94"/>
      <c r="D10" s="95"/>
      <c r="E10" s="96"/>
      <c r="F10" s="96"/>
      <c r="G10" s="96"/>
      <c r="H10" s="96"/>
      <c r="I10" s="96"/>
      <c r="J10" s="271"/>
    </row>
    <row r="11" spans="1:10">
      <c r="A11" s="84"/>
      <c r="B11" s="93" t="s">
        <v>231</v>
      </c>
      <c r="C11" s="94"/>
      <c r="D11" s="95"/>
      <c r="E11" s="96"/>
      <c r="F11" s="96"/>
      <c r="G11" s="96"/>
      <c r="H11" s="96"/>
      <c r="I11" s="96"/>
      <c r="J11" s="271"/>
    </row>
    <row r="12" spans="1:10">
      <c r="A12" s="84"/>
      <c r="B12" s="93" t="s">
        <v>231</v>
      </c>
      <c r="C12" s="94"/>
      <c r="D12" s="95"/>
      <c r="E12" s="96"/>
      <c r="F12" s="96"/>
      <c r="G12" s="96"/>
      <c r="H12" s="96"/>
      <c r="I12" s="96"/>
      <c r="J12" s="271"/>
    </row>
    <row r="13" spans="1:10">
      <c r="A13" s="84"/>
      <c r="B13" s="93" t="s">
        <v>231</v>
      </c>
      <c r="C13" s="94"/>
      <c r="D13" s="95"/>
      <c r="E13" s="96"/>
      <c r="F13" s="96"/>
      <c r="G13" s="96"/>
      <c r="H13" s="96"/>
      <c r="I13" s="96"/>
      <c r="J13" s="271"/>
    </row>
    <row r="14" spans="1:10">
      <c r="A14" s="84"/>
      <c r="B14" s="89"/>
      <c r="C14" s="97"/>
      <c r="D14" s="91"/>
      <c r="E14" s="91"/>
      <c r="F14" s="91"/>
      <c r="G14" s="91" t="s">
        <v>249</v>
      </c>
      <c r="H14" s="91"/>
      <c r="I14" s="91"/>
      <c r="J14" s="99">
        <f>+SUBTOTAL(9,J7:J13)</f>
        <v>21.29</v>
      </c>
    </row>
    <row r="15" spans="1:10">
      <c r="A15" s="84"/>
      <c r="B15" s="89" t="s">
        <v>228</v>
      </c>
      <c r="C15" s="90" t="s">
        <v>250</v>
      </c>
      <c r="D15" s="91"/>
      <c r="E15" s="91"/>
      <c r="F15" s="91"/>
      <c r="G15" s="91"/>
      <c r="H15" s="92" t="s">
        <v>239</v>
      </c>
      <c r="I15" s="92" t="s">
        <v>251</v>
      </c>
      <c r="J15" s="99" t="s">
        <v>252</v>
      </c>
    </row>
    <row r="16" spans="1:10">
      <c r="A16" s="84"/>
      <c r="B16" s="89" t="s">
        <v>253</v>
      </c>
      <c r="C16" s="90" t="s">
        <v>254</v>
      </c>
      <c r="D16" s="91"/>
      <c r="E16" s="91"/>
      <c r="F16" s="91"/>
      <c r="G16" s="91"/>
      <c r="H16" s="92">
        <v>6</v>
      </c>
      <c r="I16" s="92">
        <v>21.04</v>
      </c>
      <c r="J16" s="99">
        <f>+ROUND(H16*I16,2)</f>
        <v>126.24</v>
      </c>
    </row>
    <row r="17" spans="1:10">
      <c r="A17" s="84"/>
      <c r="B17" s="93" t="s">
        <v>231</v>
      </c>
      <c r="C17" s="94"/>
      <c r="D17" s="95"/>
      <c r="E17" s="95"/>
      <c r="F17" s="95"/>
      <c r="G17" s="95"/>
      <c r="H17" s="96"/>
      <c r="I17" s="96"/>
      <c r="J17" s="271"/>
    </row>
    <row r="18" spans="1:10">
      <c r="A18" s="84"/>
      <c r="B18" s="93" t="s">
        <v>231</v>
      </c>
      <c r="C18" s="94"/>
      <c r="D18" s="95"/>
      <c r="E18" s="95"/>
      <c r="F18" s="95"/>
      <c r="G18" s="95"/>
      <c r="H18" s="96"/>
      <c r="I18" s="96"/>
      <c r="J18" s="271"/>
    </row>
    <row r="19" spans="1:10">
      <c r="A19" s="84"/>
      <c r="B19" s="93" t="s">
        <v>231</v>
      </c>
      <c r="C19" s="94"/>
      <c r="D19" s="95"/>
      <c r="E19" s="95"/>
      <c r="F19" s="95"/>
      <c r="G19" s="95"/>
      <c r="H19" s="96"/>
      <c r="I19" s="96"/>
      <c r="J19" s="271"/>
    </row>
    <row r="20" spans="1:10">
      <c r="A20" s="84"/>
      <c r="B20" s="93" t="s">
        <v>231</v>
      </c>
      <c r="C20" s="94"/>
      <c r="D20" s="95"/>
      <c r="E20" s="95"/>
      <c r="F20" s="95"/>
      <c r="G20" s="95"/>
      <c r="H20" s="96"/>
      <c r="I20" s="96"/>
      <c r="J20" s="271"/>
    </row>
    <row r="21" spans="1:10">
      <c r="A21" s="84"/>
      <c r="B21" s="93" t="s">
        <v>231</v>
      </c>
      <c r="C21" s="94"/>
      <c r="D21" s="95"/>
      <c r="E21" s="95"/>
      <c r="F21" s="95"/>
      <c r="G21" s="95"/>
      <c r="H21" s="96"/>
      <c r="I21" s="96"/>
      <c r="J21" s="271"/>
    </row>
    <row r="22" spans="1:10">
      <c r="A22" s="84"/>
      <c r="B22" s="93" t="s">
        <v>231</v>
      </c>
      <c r="C22" s="94"/>
      <c r="D22" s="95"/>
      <c r="E22" s="95"/>
      <c r="F22" s="95"/>
      <c r="G22" s="95"/>
      <c r="H22" s="96"/>
      <c r="I22" s="96"/>
      <c r="J22" s="271"/>
    </row>
    <row r="23" spans="1:10">
      <c r="A23" s="84"/>
      <c r="B23" s="89"/>
      <c r="C23" s="97"/>
      <c r="D23" s="91"/>
      <c r="E23" s="91"/>
      <c r="F23" s="91"/>
      <c r="G23" s="91" t="s">
        <v>255</v>
      </c>
      <c r="H23" s="91"/>
      <c r="I23" s="91"/>
      <c r="J23" s="99">
        <f>+SUBTOTAL(9,J16:J22)</f>
        <v>126.24</v>
      </c>
    </row>
    <row r="24" spans="1:10">
      <c r="A24" s="84"/>
      <c r="B24" s="89"/>
      <c r="C24" s="97"/>
      <c r="D24" s="91"/>
      <c r="E24" s="91"/>
      <c r="F24" s="91" t="s">
        <v>256</v>
      </c>
      <c r="G24" s="91"/>
      <c r="H24" s="91"/>
      <c r="I24" s="91">
        <v>0</v>
      </c>
      <c r="J24" s="99">
        <f>+ROUND(I24*J23,2)</f>
        <v>0</v>
      </c>
    </row>
    <row r="25" spans="1:10">
      <c r="A25" s="84"/>
      <c r="B25" s="89"/>
      <c r="C25" s="97"/>
      <c r="D25" s="91"/>
      <c r="E25" s="91"/>
      <c r="F25" s="91" t="s">
        <v>257</v>
      </c>
      <c r="G25" s="91"/>
      <c r="H25" s="91"/>
      <c r="I25" s="91"/>
      <c r="J25" s="99">
        <f>+SUBTOTAL(9,J16:J24)</f>
        <v>126.24</v>
      </c>
    </row>
    <row r="26" spans="1:10">
      <c r="A26" s="84"/>
      <c r="B26" s="98"/>
      <c r="C26" s="97"/>
      <c r="D26" s="91"/>
      <c r="E26" s="91"/>
      <c r="F26" s="91"/>
      <c r="G26" s="91" t="s">
        <v>258</v>
      </c>
      <c r="H26" s="91"/>
      <c r="I26" s="91"/>
      <c r="J26" s="275">
        <f>+SUBTOTAL(9,J7:J25)</f>
        <v>147.53</v>
      </c>
    </row>
    <row r="27" spans="1:10">
      <c r="A27" s="84"/>
      <c r="B27" s="98"/>
      <c r="C27" s="97" t="s">
        <v>259</v>
      </c>
      <c r="D27" s="91">
        <v>0.56000000000000005</v>
      </c>
      <c r="E27" s="91"/>
      <c r="F27" s="91"/>
      <c r="G27" s="91" t="s">
        <v>260</v>
      </c>
      <c r="H27" s="91"/>
      <c r="I27" s="91"/>
      <c r="J27" s="275">
        <f>+ROUND(J26/D27,2)</f>
        <v>263.45</v>
      </c>
    </row>
    <row r="28" spans="1:10">
      <c r="A28" s="84"/>
      <c r="B28" s="89" t="s">
        <v>228</v>
      </c>
      <c r="C28" s="90" t="s">
        <v>261</v>
      </c>
      <c r="D28" s="91"/>
      <c r="E28" s="91"/>
      <c r="F28" s="91"/>
      <c r="G28" s="92" t="s">
        <v>230</v>
      </c>
      <c r="H28" s="92" t="s">
        <v>262</v>
      </c>
      <c r="I28" s="92" t="s">
        <v>263</v>
      </c>
      <c r="J28" s="99" t="s">
        <v>264</v>
      </c>
    </row>
    <row r="29" spans="1:10">
      <c r="A29" s="84"/>
      <c r="B29" s="89" t="s">
        <v>265</v>
      </c>
      <c r="C29" s="90" t="s">
        <v>266</v>
      </c>
      <c r="D29" s="91"/>
      <c r="E29" s="91"/>
      <c r="F29" s="91"/>
      <c r="G29" s="92" t="s">
        <v>267</v>
      </c>
      <c r="H29" s="92">
        <v>448.91</v>
      </c>
      <c r="I29" s="92">
        <v>0.14832999999999999</v>
      </c>
      <c r="J29" s="99">
        <f>+ROUND(H29*I29,2)</f>
        <v>66.59</v>
      </c>
    </row>
    <row r="30" spans="1:10">
      <c r="A30" s="84"/>
      <c r="B30" s="93" t="s">
        <v>268</v>
      </c>
      <c r="C30" s="94" t="s">
        <v>269</v>
      </c>
      <c r="D30" s="95"/>
      <c r="E30" s="95"/>
      <c r="F30" s="95"/>
      <c r="G30" s="96" t="s">
        <v>270</v>
      </c>
      <c r="H30" s="96">
        <v>0</v>
      </c>
      <c r="I30" s="96">
        <v>8.9999999999999993E-3</v>
      </c>
      <c r="J30" s="271">
        <f>+ROUND(H30*I30,2)</f>
        <v>0</v>
      </c>
    </row>
    <row r="31" spans="1:10">
      <c r="A31" s="84"/>
      <c r="B31" s="93" t="s">
        <v>271</v>
      </c>
      <c r="C31" s="94" t="s">
        <v>272</v>
      </c>
      <c r="D31" s="95"/>
      <c r="E31" s="95"/>
      <c r="F31" s="95"/>
      <c r="G31" s="96" t="s">
        <v>270</v>
      </c>
      <c r="H31" s="96">
        <v>34.93</v>
      </c>
      <c r="I31" s="96">
        <v>2.4</v>
      </c>
      <c r="J31" s="271">
        <f>+ROUND(H31*I31,2)</f>
        <v>83.83</v>
      </c>
    </row>
    <row r="32" spans="1:10">
      <c r="A32" s="84"/>
      <c r="B32" s="93">
        <v>9199997</v>
      </c>
      <c r="C32" s="94" t="s">
        <v>273</v>
      </c>
      <c r="D32" s="95"/>
      <c r="E32" s="95"/>
      <c r="F32" s="95"/>
      <c r="G32" s="96" t="s">
        <v>274</v>
      </c>
      <c r="H32" s="96">
        <v>263.38</v>
      </c>
      <c r="I32" s="96">
        <v>1.8530000000000001E-2</v>
      </c>
      <c r="J32" s="271">
        <f>+ROUND(H32*I32,2)</f>
        <v>4.88</v>
      </c>
    </row>
    <row r="33" spans="1:10">
      <c r="A33" s="84"/>
      <c r="B33" s="93" t="s">
        <v>231</v>
      </c>
      <c r="C33" s="94"/>
      <c r="D33" s="95"/>
      <c r="E33" s="95"/>
      <c r="F33" s="95"/>
      <c r="G33" s="96"/>
      <c r="H33" s="96"/>
      <c r="I33" s="96"/>
      <c r="J33" s="271"/>
    </row>
    <row r="34" spans="1:10">
      <c r="A34" s="84"/>
      <c r="B34" s="93" t="s">
        <v>231</v>
      </c>
      <c r="C34" s="94"/>
      <c r="D34" s="95"/>
      <c r="E34" s="95"/>
      <c r="F34" s="95"/>
      <c r="G34" s="96"/>
      <c r="H34" s="96"/>
      <c r="I34" s="96"/>
      <c r="J34" s="271"/>
    </row>
    <row r="35" spans="1:10">
      <c r="A35" s="84"/>
      <c r="B35" s="93" t="s">
        <v>231</v>
      </c>
      <c r="C35" s="94"/>
      <c r="D35" s="95"/>
      <c r="E35" s="95"/>
      <c r="F35" s="95"/>
      <c r="G35" s="96"/>
      <c r="H35" s="96"/>
      <c r="I35" s="96"/>
      <c r="J35" s="271"/>
    </row>
    <row r="36" spans="1:10">
      <c r="A36" s="84"/>
      <c r="B36" s="89"/>
      <c r="C36" s="97"/>
      <c r="D36" s="91"/>
      <c r="E36" s="91"/>
      <c r="F36" s="91"/>
      <c r="G36" s="91" t="s">
        <v>275</v>
      </c>
      <c r="H36" s="91"/>
      <c r="I36" s="91"/>
      <c r="J36" s="99">
        <f>+SUBTOTAL(9,J29:J35)</f>
        <v>155.30000000000001</v>
      </c>
    </row>
    <row r="37" spans="1:10">
      <c r="A37" s="84"/>
      <c r="B37" s="89" t="s">
        <v>228</v>
      </c>
      <c r="C37" s="90" t="s">
        <v>276</v>
      </c>
      <c r="D37" s="91"/>
      <c r="E37" s="91"/>
      <c r="F37" s="91"/>
      <c r="G37" s="92" t="s">
        <v>230</v>
      </c>
      <c r="H37" s="92" t="s">
        <v>262</v>
      </c>
      <c r="I37" s="92" t="s">
        <v>263</v>
      </c>
      <c r="J37" s="99" t="s">
        <v>264</v>
      </c>
    </row>
    <row r="38" spans="1:10">
      <c r="A38" s="84"/>
      <c r="B38" s="89" t="s">
        <v>277</v>
      </c>
      <c r="C38" s="90" t="s">
        <v>278</v>
      </c>
      <c r="D38" s="91"/>
      <c r="E38" s="91"/>
      <c r="F38" s="91"/>
      <c r="G38" s="92" t="s">
        <v>270</v>
      </c>
      <c r="H38" s="92">
        <v>288.86</v>
      </c>
      <c r="I38" s="92">
        <v>0.41666700000000001</v>
      </c>
      <c r="J38" s="99">
        <f>+ROUND(H38*I38,2)</f>
        <v>120.36</v>
      </c>
    </row>
    <row r="39" spans="1:10">
      <c r="A39" s="84"/>
      <c r="B39" s="93" t="s">
        <v>231</v>
      </c>
      <c r="C39" s="94"/>
      <c r="D39" s="95"/>
      <c r="E39" s="95"/>
      <c r="F39" s="95"/>
      <c r="G39" s="96"/>
      <c r="H39" s="96"/>
      <c r="I39" s="96"/>
      <c r="J39" s="271"/>
    </row>
    <row r="40" spans="1:10">
      <c r="A40" s="84"/>
      <c r="B40" s="93" t="s">
        <v>231</v>
      </c>
      <c r="C40" s="94"/>
      <c r="D40" s="95"/>
      <c r="E40" s="95"/>
      <c r="F40" s="95"/>
      <c r="G40" s="96"/>
      <c r="H40" s="96"/>
      <c r="I40" s="96"/>
      <c r="J40" s="271"/>
    </row>
    <row r="41" spans="1:10">
      <c r="A41" s="84"/>
      <c r="B41" s="93" t="s">
        <v>231</v>
      </c>
      <c r="C41" s="94"/>
      <c r="D41" s="95"/>
      <c r="E41" s="95"/>
      <c r="F41" s="95"/>
      <c r="G41" s="96"/>
      <c r="H41" s="96"/>
      <c r="I41" s="96"/>
      <c r="J41" s="271"/>
    </row>
    <row r="42" spans="1:10">
      <c r="A42" s="84"/>
      <c r="B42" s="93" t="s">
        <v>231</v>
      </c>
      <c r="C42" s="94"/>
      <c r="D42" s="95"/>
      <c r="E42" s="95"/>
      <c r="F42" s="95"/>
      <c r="G42" s="96"/>
      <c r="H42" s="96"/>
      <c r="I42" s="96"/>
      <c r="J42" s="271"/>
    </row>
    <row r="43" spans="1:10">
      <c r="A43" s="84"/>
      <c r="B43" s="89"/>
      <c r="C43" s="97"/>
      <c r="D43" s="91"/>
      <c r="E43" s="91"/>
      <c r="F43" s="91"/>
      <c r="G43" s="91" t="s">
        <v>279</v>
      </c>
      <c r="H43" s="91"/>
      <c r="I43" s="91"/>
      <c r="J43" s="99">
        <f>+SUBTOTAL(9,J38:J42)</f>
        <v>120.36</v>
      </c>
    </row>
    <row r="44" spans="1:10">
      <c r="A44" s="84"/>
      <c r="B44" s="89" t="s">
        <v>228</v>
      </c>
      <c r="C44" s="90" t="s">
        <v>280</v>
      </c>
      <c r="D44" s="92" t="s">
        <v>281</v>
      </c>
      <c r="E44" s="92" t="s">
        <v>282</v>
      </c>
      <c r="F44" s="92" t="s">
        <v>283</v>
      </c>
      <c r="G44" s="92" t="s">
        <v>284</v>
      </c>
      <c r="H44" s="92" t="s">
        <v>285</v>
      </c>
      <c r="I44" s="92" t="s">
        <v>263</v>
      </c>
      <c r="J44" s="99" t="s">
        <v>286</v>
      </c>
    </row>
    <row r="45" spans="1:10">
      <c r="A45" s="84"/>
      <c r="B45" s="89" t="s">
        <v>287</v>
      </c>
      <c r="C45" s="90" t="s">
        <v>288</v>
      </c>
      <c r="D45" s="92" t="s">
        <v>289</v>
      </c>
      <c r="E45" s="92">
        <v>0</v>
      </c>
      <c r="F45" s="92">
        <v>25</v>
      </c>
      <c r="G45" s="92">
        <v>25</v>
      </c>
      <c r="H45" s="92">
        <v>0.85</v>
      </c>
      <c r="I45" s="92">
        <v>2.4</v>
      </c>
      <c r="J45" s="99">
        <f>+ROUND(G45*H45*I45,2)</f>
        <v>51</v>
      </c>
    </row>
    <row r="46" spans="1:10">
      <c r="A46" s="84"/>
      <c r="B46" s="93" t="s">
        <v>231</v>
      </c>
      <c r="C46" s="94"/>
      <c r="D46" s="96"/>
      <c r="E46" s="96"/>
      <c r="F46" s="96"/>
      <c r="G46" s="96"/>
      <c r="H46" s="96"/>
      <c r="I46" s="96"/>
      <c r="J46" s="271"/>
    </row>
    <row r="47" spans="1:10">
      <c r="A47" s="84"/>
      <c r="B47" s="93" t="s">
        <v>231</v>
      </c>
      <c r="C47" s="94"/>
      <c r="D47" s="96"/>
      <c r="E47" s="96"/>
      <c r="F47" s="96"/>
      <c r="G47" s="96"/>
      <c r="H47" s="96"/>
      <c r="I47" s="96"/>
      <c r="J47" s="271"/>
    </row>
    <row r="48" spans="1:10">
      <c r="A48" s="84"/>
      <c r="B48" s="93" t="s">
        <v>231</v>
      </c>
      <c r="C48" s="94"/>
      <c r="D48" s="96"/>
      <c r="E48" s="96"/>
      <c r="F48" s="96"/>
      <c r="G48" s="96"/>
      <c r="H48" s="96"/>
      <c r="I48" s="96"/>
      <c r="J48" s="271"/>
    </row>
    <row r="49" spans="1:10">
      <c r="A49" s="84"/>
      <c r="B49" s="93" t="s">
        <v>231</v>
      </c>
      <c r="C49" s="94"/>
      <c r="D49" s="96"/>
      <c r="E49" s="96"/>
      <c r="F49" s="96"/>
      <c r="G49" s="96"/>
      <c r="H49" s="96"/>
      <c r="I49" s="96"/>
      <c r="J49" s="271"/>
    </row>
    <row r="50" spans="1:10">
      <c r="A50" s="84"/>
      <c r="B50" s="93" t="s">
        <v>231</v>
      </c>
      <c r="C50" s="94"/>
      <c r="D50" s="96"/>
      <c r="E50" s="96"/>
      <c r="F50" s="96"/>
      <c r="G50" s="96"/>
      <c r="H50" s="96"/>
      <c r="I50" s="96"/>
      <c r="J50" s="271"/>
    </row>
    <row r="51" spans="1:10">
      <c r="A51" s="84"/>
      <c r="B51" s="93" t="s">
        <v>231</v>
      </c>
      <c r="C51" s="94"/>
      <c r="D51" s="96"/>
      <c r="E51" s="96"/>
      <c r="F51" s="96"/>
      <c r="G51" s="96"/>
      <c r="H51" s="96"/>
      <c r="I51" s="96"/>
      <c r="J51" s="271"/>
    </row>
    <row r="52" spans="1:10">
      <c r="A52" s="84"/>
      <c r="B52" s="89"/>
      <c r="C52" s="97"/>
      <c r="D52" s="91"/>
      <c r="E52" s="91"/>
      <c r="F52" s="91"/>
      <c r="G52" s="91" t="s">
        <v>290</v>
      </c>
      <c r="H52" s="91"/>
      <c r="I52" s="91"/>
      <c r="J52" s="99">
        <f>+SUBTOTAL(9,J45:J51)</f>
        <v>51</v>
      </c>
    </row>
    <row r="53" spans="1:10">
      <c r="A53" s="84"/>
      <c r="B53" s="89" t="s">
        <v>291</v>
      </c>
      <c r="C53" s="97"/>
      <c r="D53" s="91"/>
      <c r="E53" s="91"/>
      <c r="F53" s="91"/>
      <c r="G53" s="91"/>
      <c r="H53" s="91"/>
      <c r="I53" s="91"/>
      <c r="J53" s="99">
        <f>+SUBTOTAL(9,J27:J51)</f>
        <v>590.1099999999999</v>
      </c>
    </row>
    <row r="54" spans="1:10">
      <c r="A54" s="84"/>
      <c r="B54" s="89" t="s">
        <v>292</v>
      </c>
      <c r="C54" s="97"/>
      <c r="D54" s="91">
        <v>0</v>
      </c>
      <c r="E54" s="91"/>
      <c r="F54" s="91"/>
      <c r="G54" s="91"/>
      <c r="H54" s="91"/>
      <c r="I54" s="91"/>
      <c r="J54" s="99">
        <f>+ROUND(J53*D54/100,2)</f>
        <v>0</v>
      </c>
    </row>
    <row r="55" spans="1:10" ht="14.4" thickBot="1">
      <c r="A55" s="84"/>
      <c r="B55" s="89" t="s">
        <v>293</v>
      </c>
      <c r="C55" s="97"/>
      <c r="D55" s="91"/>
      <c r="E55" s="91"/>
      <c r="F55" s="91"/>
      <c r="G55" s="91"/>
      <c r="H55" s="91"/>
      <c r="I55" s="91"/>
      <c r="J55" s="99">
        <f>+J53+ J54</f>
        <v>590.1099999999999</v>
      </c>
    </row>
    <row r="56" spans="1:10">
      <c r="A56" s="84"/>
      <c r="B56" s="85" t="s">
        <v>294</v>
      </c>
      <c r="C56" s="86"/>
      <c r="D56" s="88"/>
      <c r="E56" s="88"/>
      <c r="F56" s="88" t="s">
        <v>295</v>
      </c>
      <c r="G56" s="88"/>
      <c r="H56" s="88"/>
      <c r="I56" s="88" t="s">
        <v>296</v>
      </c>
      <c r="J56" s="270"/>
    </row>
    <row r="57" spans="1:10">
      <c r="A57" s="84"/>
      <c r="B57" s="93" t="s">
        <v>297</v>
      </c>
      <c r="C57" s="84"/>
      <c r="D57" s="95"/>
      <c r="E57" s="95"/>
      <c r="F57" s="95" t="s">
        <v>298</v>
      </c>
      <c r="G57" s="95"/>
      <c r="H57" s="95"/>
      <c r="I57" s="95"/>
      <c r="J57" s="276"/>
    </row>
    <row r="58" spans="1:10">
      <c r="A58" s="84"/>
      <c r="B58" s="93" t="s">
        <v>299</v>
      </c>
      <c r="C58" s="84"/>
      <c r="D58" s="95"/>
      <c r="E58" s="95"/>
      <c r="F58" s="95" t="s">
        <v>300</v>
      </c>
      <c r="G58" s="95"/>
      <c r="H58" s="95"/>
      <c r="I58" s="95"/>
      <c r="J58" s="276"/>
    </row>
    <row r="59" spans="1:10" ht="14.4" thickBot="1">
      <c r="A59" s="84"/>
      <c r="B59" s="100" t="s">
        <v>301</v>
      </c>
      <c r="C59" s="84"/>
      <c r="D59" s="95"/>
      <c r="E59" s="95"/>
      <c r="F59" s="95"/>
      <c r="G59" s="95"/>
      <c r="H59" s="95"/>
      <c r="I59" s="95"/>
      <c r="J59" s="277"/>
    </row>
    <row r="60" spans="1:10">
      <c r="A60" s="84"/>
      <c r="B60" s="86"/>
      <c r="C60" s="86"/>
      <c r="D60" s="88"/>
      <c r="E60" s="88"/>
      <c r="F60" s="88"/>
      <c r="G60" s="88"/>
      <c r="H60" s="88"/>
      <c r="I60" s="88"/>
      <c r="J60" s="88"/>
    </row>
    <row r="61" spans="1:10" ht="14.4" thickBot="1">
      <c r="A61" s="84"/>
      <c r="B61" s="84"/>
      <c r="C61" s="84"/>
      <c r="D61" s="95"/>
      <c r="E61" s="95"/>
      <c r="F61" s="95"/>
      <c r="G61" s="95"/>
      <c r="H61" s="95"/>
      <c r="I61" s="95"/>
      <c r="J61" s="95"/>
    </row>
    <row r="62" spans="1:10">
      <c r="A62" s="84"/>
      <c r="B62" s="85"/>
      <c r="C62" s="86"/>
      <c r="D62" s="87" t="s">
        <v>227</v>
      </c>
      <c r="E62" s="87"/>
      <c r="F62" s="87"/>
      <c r="G62" s="88"/>
      <c r="H62" s="88"/>
      <c r="I62" s="88"/>
      <c r="J62" s="270"/>
    </row>
    <row r="63" spans="1:10">
      <c r="A63" s="84"/>
      <c r="B63" s="89" t="s">
        <v>228</v>
      </c>
      <c r="C63" s="90" t="s">
        <v>92</v>
      </c>
      <c r="D63" s="91"/>
      <c r="E63" s="91"/>
      <c r="F63" s="91"/>
      <c r="G63" s="91"/>
      <c r="H63" s="92" t="s">
        <v>229</v>
      </c>
      <c r="I63" s="91"/>
      <c r="J63" s="99" t="s">
        <v>230</v>
      </c>
    </row>
    <row r="64" spans="1:10">
      <c r="A64" s="84"/>
      <c r="B64" s="93" t="s">
        <v>277</v>
      </c>
      <c r="C64" s="94" t="s">
        <v>302</v>
      </c>
      <c r="D64" s="95"/>
      <c r="E64" s="95"/>
      <c r="F64" s="95"/>
      <c r="G64" s="95"/>
      <c r="H64" s="96" t="s">
        <v>233</v>
      </c>
      <c r="I64" s="95"/>
      <c r="J64" s="271" t="s">
        <v>270</v>
      </c>
    </row>
    <row r="65" spans="1:10">
      <c r="A65" s="84"/>
      <c r="B65" s="89"/>
      <c r="C65" s="90"/>
      <c r="D65" s="91"/>
      <c r="E65" s="92"/>
      <c r="F65" s="92" t="s">
        <v>235</v>
      </c>
      <c r="G65" s="92"/>
      <c r="H65" s="92" t="s">
        <v>236</v>
      </c>
      <c r="I65" s="92"/>
      <c r="J65" s="99" t="s">
        <v>237</v>
      </c>
    </row>
    <row r="66" spans="1:10">
      <c r="A66" s="84"/>
      <c r="B66" s="93" t="s">
        <v>228</v>
      </c>
      <c r="C66" s="94" t="s">
        <v>238</v>
      </c>
      <c r="D66" s="95"/>
      <c r="E66" s="96" t="s">
        <v>239</v>
      </c>
      <c r="F66" s="92" t="s">
        <v>240</v>
      </c>
      <c r="G66" s="92" t="s">
        <v>241</v>
      </c>
      <c r="H66" s="92" t="s">
        <v>240</v>
      </c>
      <c r="I66" s="272" t="s">
        <v>241</v>
      </c>
      <c r="J66" s="271" t="s">
        <v>242</v>
      </c>
    </row>
    <row r="67" spans="1:10">
      <c r="A67" s="84"/>
      <c r="B67" s="273" t="s">
        <v>303</v>
      </c>
      <c r="C67" s="90" t="s">
        <v>304</v>
      </c>
      <c r="D67" s="91"/>
      <c r="E67" s="92">
        <v>1</v>
      </c>
      <c r="F67" s="92">
        <v>1</v>
      </c>
      <c r="G67" s="92">
        <v>0</v>
      </c>
      <c r="H67" s="92">
        <v>517.78</v>
      </c>
      <c r="I67" s="92">
        <v>240.34</v>
      </c>
      <c r="J67" s="99">
        <f>+ROUND(E67* ((F67*H67) + (G67*I67)),2)</f>
        <v>517.78</v>
      </c>
    </row>
    <row r="68" spans="1:10">
      <c r="A68" s="84"/>
      <c r="B68" s="274" t="s">
        <v>305</v>
      </c>
      <c r="C68" s="94" t="s">
        <v>306</v>
      </c>
      <c r="D68" s="95"/>
      <c r="E68" s="96">
        <v>1</v>
      </c>
      <c r="F68" s="96">
        <v>0.82</v>
      </c>
      <c r="G68" s="96">
        <v>0.18</v>
      </c>
      <c r="H68" s="96">
        <v>276.16000000000003</v>
      </c>
      <c r="I68" s="96">
        <v>98.17</v>
      </c>
      <c r="J68" s="271">
        <f>+ROUND(E68* ((F68*H68) + (G68*I68)),2)</f>
        <v>244.12</v>
      </c>
    </row>
    <row r="69" spans="1:10">
      <c r="A69" s="84"/>
      <c r="B69" s="274" t="s">
        <v>307</v>
      </c>
      <c r="C69" s="94" t="s">
        <v>308</v>
      </c>
      <c r="D69" s="95"/>
      <c r="E69" s="96">
        <v>1</v>
      </c>
      <c r="F69" s="96">
        <v>0.71</v>
      </c>
      <c r="G69" s="96">
        <v>0.28999999999999998</v>
      </c>
      <c r="H69" s="96">
        <v>244.69</v>
      </c>
      <c r="I69" s="96">
        <v>115.37</v>
      </c>
      <c r="J69" s="271">
        <f>+ROUND(E69* ((F69*H69) + (G69*I69)),2)</f>
        <v>207.19</v>
      </c>
    </row>
    <row r="70" spans="1:10">
      <c r="A70" s="84"/>
      <c r="B70" s="93" t="s">
        <v>231</v>
      </c>
      <c r="C70" s="94"/>
      <c r="D70" s="95"/>
      <c r="E70" s="96"/>
      <c r="F70" s="96"/>
      <c r="G70" s="96"/>
      <c r="H70" s="96"/>
      <c r="I70" s="96"/>
      <c r="J70" s="271"/>
    </row>
    <row r="71" spans="1:10">
      <c r="A71" s="84"/>
      <c r="B71" s="93" t="s">
        <v>231</v>
      </c>
      <c r="C71" s="94"/>
      <c r="D71" s="95"/>
      <c r="E71" s="96"/>
      <c r="F71" s="96"/>
      <c r="G71" s="96"/>
      <c r="H71" s="96"/>
      <c r="I71" s="96"/>
      <c r="J71" s="271"/>
    </row>
    <row r="72" spans="1:10">
      <c r="A72" s="84"/>
      <c r="B72" s="93" t="s">
        <v>231</v>
      </c>
      <c r="C72" s="94"/>
      <c r="D72" s="95"/>
      <c r="E72" s="96"/>
      <c r="F72" s="96"/>
      <c r="G72" s="96"/>
      <c r="H72" s="96"/>
      <c r="I72" s="96"/>
      <c r="J72" s="271"/>
    </row>
    <row r="73" spans="1:10">
      <c r="A73" s="84"/>
      <c r="B73" s="93" t="s">
        <v>231</v>
      </c>
      <c r="C73" s="94"/>
      <c r="D73" s="95"/>
      <c r="E73" s="96"/>
      <c r="F73" s="96"/>
      <c r="G73" s="96"/>
      <c r="H73" s="96"/>
      <c r="I73" s="96"/>
      <c r="J73" s="271"/>
    </row>
    <row r="74" spans="1:10">
      <c r="A74" s="84"/>
      <c r="B74" s="89"/>
      <c r="C74" s="97"/>
      <c r="D74" s="91"/>
      <c r="E74" s="91"/>
      <c r="F74" s="91"/>
      <c r="G74" s="91" t="s">
        <v>249</v>
      </c>
      <c r="H74" s="91"/>
      <c r="I74" s="91"/>
      <c r="J74" s="99">
        <f>+SUBTOTAL(9,J67:J73)</f>
        <v>969.08999999999992</v>
      </c>
    </row>
    <row r="75" spans="1:10">
      <c r="A75" s="84"/>
      <c r="B75" s="89" t="s">
        <v>228</v>
      </c>
      <c r="C75" s="90" t="s">
        <v>250</v>
      </c>
      <c r="D75" s="91"/>
      <c r="E75" s="91"/>
      <c r="F75" s="91"/>
      <c r="G75" s="91"/>
      <c r="H75" s="92" t="s">
        <v>239</v>
      </c>
      <c r="I75" s="92" t="s">
        <v>251</v>
      </c>
      <c r="J75" s="99" t="s">
        <v>252</v>
      </c>
    </row>
    <row r="76" spans="1:10">
      <c r="A76" s="84"/>
      <c r="B76" s="89" t="s">
        <v>253</v>
      </c>
      <c r="C76" s="90" t="s">
        <v>254</v>
      </c>
      <c r="D76" s="91"/>
      <c r="E76" s="91"/>
      <c r="F76" s="91"/>
      <c r="G76" s="91"/>
      <c r="H76" s="92">
        <v>8</v>
      </c>
      <c r="I76" s="92">
        <v>21.04</v>
      </c>
      <c r="J76" s="99">
        <f>+ROUND(H76*I76,2)</f>
        <v>168.32</v>
      </c>
    </row>
    <row r="77" spans="1:10">
      <c r="A77" s="84"/>
      <c r="B77" s="93" t="s">
        <v>231</v>
      </c>
      <c r="C77" s="94"/>
      <c r="D77" s="95"/>
      <c r="E77" s="95"/>
      <c r="F77" s="95"/>
      <c r="G77" s="95"/>
      <c r="H77" s="96"/>
      <c r="I77" s="96"/>
      <c r="J77" s="271"/>
    </row>
    <row r="78" spans="1:10">
      <c r="A78" s="84"/>
      <c r="B78" s="93" t="s">
        <v>231</v>
      </c>
      <c r="C78" s="94"/>
      <c r="D78" s="95"/>
      <c r="E78" s="95"/>
      <c r="F78" s="95"/>
      <c r="G78" s="95"/>
      <c r="H78" s="96"/>
      <c r="I78" s="96"/>
      <c r="J78" s="271"/>
    </row>
    <row r="79" spans="1:10">
      <c r="A79" s="84"/>
      <c r="B79" s="93" t="s">
        <v>231</v>
      </c>
      <c r="C79" s="94"/>
      <c r="D79" s="95"/>
      <c r="E79" s="95"/>
      <c r="F79" s="95"/>
      <c r="G79" s="95"/>
      <c r="H79" s="96"/>
      <c r="I79" s="96"/>
      <c r="J79" s="271"/>
    </row>
    <row r="80" spans="1:10">
      <c r="A80" s="84"/>
      <c r="B80" s="93" t="s">
        <v>231</v>
      </c>
      <c r="C80" s="94"/>
      <c r="D80" s="95"/>
      <c r="E80" s="95"/>
      <c r="F80" s="95"/>
      <c r="G80" s="95"/>
      <c r="H80" s="96"/>
      <c r="I80" s="96"/>
      <c r="J80" s="271"/>
    </row>
    <row r="81" spans="1:10">
      <c r="A81" s="84"/>
      <c r="B81" s="93" t="s">
        <v>231</v>
      </c>
      <c r="C81" s="94"/>
      <c r="D81" s="95"/>
      <c r="E81" s="95"/>
      <c r="F81" s="95"/>
      <c r="G81" s="95"/>
      <c r="H81" s="96"/>
      <c r="I81" s="96"/>
      <c r="J81" s="271"/>
    </row>
    <row r="82" spans="1:10">
      <c r="A82" s="84"/>
      <c r="B82" s="93" t="s">
        <v>231</v>
      </c>
      <c r="C82" s="94"/>
      <c r="D82" s="95"/>
      <c r="E82" s="95"/>
      <c r="F82" s="95"/>
      <c r="G82" s="95"/>
      <c r="H82" s="96"/>
      <c r="I82" s="96"/>
      <c r="J82" s="271"/>
    </row>
    <row r="83" spans="1:10">
      <c r="A83" s="84"/>
      <c r="B83" s="89"/>
      <c r="C83" s="97"/>
      <c r="D83" s="91"/>
      <c r="E83" s="91"/>
      <c r="F83" s="91"/>
      <c r="G83" s="91" t="s">
        <v>255</v>
      </c>
      <c r="H83" s="91"/>
      <c r="I83" s="91"/>
      <c r="J83" s="99">
        <f>+SUBTOTAL(9,J76:J82)</f>
        <v>168.32</v>
      </c>
    </row>
    <row r="84" spans="1:10">
      <c r="A84" s="84"/>
      <c r="B84" s="89"/>
      <c r="C84" s="97"/>
      <c r="D84" s="91"/>
      <c r="E84" s="91"/>
      <c r="F84" s="91" t="s">
        <v>256</v>
      </c>
      <c r="G84" s="91"/>
      <c r="H84" s="91"/>
      <c r="I84" s="91">
        <v>0</v>
      </c>
      <c r="J84" s="99">
        <f>+ROUND(I84*J83,2)</f>
        <v>0</v>
      </c>
    </row>
    <row r="85" spans="1:10">
      <c r="A85" s="84"/>
      <c r="B85" s="89"/>
      <c r="C85" s="97"/>
      <c r="D85" s="91"/>
      <c r="E85" s="91"/>
      <c r="F85" s="91" t="s">
        <v>257</v>
      </c>
      <c r="G85" s="91"/>
      <c r="H85" s="91"/>
      <c r="I85" s="91"/>
      <c r="J85" s="99">
        <f>+SUBTOTAL(9,J76:J84)</f>
        <v>168.32</v>
      </c>
    </row>
    <row r="86" spans="1:10">
      <c r="A86" s="84"/>
      <c r="B86" s="98"/>
      <c r="C86" s="97"/>
      <c r="D86" s="91"/>
      <c r="E86" s="91"/>
      <c r="F86" s="91"/>
      <c r="G86" s="91" t="s">
        <v>258</v>
      </c>
      <c r="H86" s="91"/>
      <c r="I86" s="91"/>
      <c r="J86" s="275">
        <f>+SUBTOTAL(9,J67:J85)</f>
        <v>1137.4099999999999</v>
      </c>
    </row>
    <row r="87" spans="1:10">
      <c r="A87" s="84"/>
      <c r="B87" s="98"/>
      <c r="C87" s="97" t="s">
        <v>259</v>
      </c>
      <c r="D87" s="91">
        <v>99.6</v>
      </c>
      <c r="E87" s="91"/>
      <c r="F87" s="91"/>
      <c r="G87" s="91" t="s">
        <v>260</v>
      </c>
      <c r="H87" s="91"/>
      <c r="I87" s="91"/>
      <c r="J87" s="275">
        <f>+ROUND(J86/D87,2)</f>
        <v>11.42</v>
      </c>
    </row>
    <row r="88" spans="1:10">
      <c r="A88" s="84"/>
      <c r="B88" s="89" t="s">
        <v>228</v>
      </c>
      <c r="C88" s="90" t="s">
        <v>261</v>
      </c>
      <c r="D88" s="91"/>
      <c r="E88" s="91"/>
      <c r="F88" s="91"/>
      <c r="G88" s="92" t="s">
        <v>230</v>
      </c>
      <c r="H88" s="92" t="s">
        <v>262</v>
      </c>
      <c r="I88" s="92" t="s">
        <v>263</v>
      </c>
      <c r="J88" s="99" t="s">
        <v>264</v>
      </c>
    </row>
    <row r="89" spans="1:10">
      <c r="A89" s="84"/>
      <c r="B89" s="89">
        <v>560784649</v>
      </c>
      <c r="C89" s="90" t="s">
        <v>309</v>
      </c>
      <c r="D89" s="91"/>
      <c r="E89" s="91"/>
      <c r="F89" s="91"/>
      <c r="G89" s="92" t="s">
        <v>270</v>
      </c>
      <c r="H89" s="92">
        <v>7.71</v>
      </c>
      <c r="I89" s="92">
        <v>1.02</v>
      </c>
      <c r="J89" s="99">
        <f>+ROUND(H89*I89,2)</f>
        <v>7.86</v>
      </c>
    </row>
    <row r="90" spans="1:10">
      <c r="A90" s="84"/>
      <c r="B90" s="93">
        <v>9199997</v>
      </c>
      <c r="C90" s="94" t="s">
        <v>273</v>
      </c>
      <c r="D90" s="95"/>
      <c r="E90" s="95"/>
      <c r="F90" s="95"/>
      <c r="G90" s="96" t="s">
        <v>274</v>
      </c>
      <c r="H90" s="96">
        <v>11.42</v>
      </c>
      <c r="I90" s="96">
        <v>4.6299999999999996E-3</v>
      </c>
      <c r="J90" s="271">
        <f>+ROUND(H90*I90,2)</f>
        <v>0.05</v>
      </c>
    </row>
    <row r="91" spans="1:10">
      <c r="A91" s="84"/>
      <c r="B91" s="93" t="s">
        <v>231</v>
      </c>
      <c r="C91" s="94"/>
      <c r="D91" s="95"/>
      <c r="E91" s="95"/>
      <c r="F91" s="95"/>
      <c r="G91" s="96"/>
      <c r="H91" s="96"/>
      <c r="I91" s="96"/>
      <c r="J91" s="271"/>
    </row>
    <row r="92" spans="1:10">
      <c r="A92" s="84"/>
      <c r="B92" s="93" t="s">
        <v>231</v>
      </c>
      <c r="C92" s="94"/>
      <c r="D92" s="95"/>
      <c r="E92" s="95"/>
      <c r="F92" s="95"/>
      <c r="G92" s="96"/>
      <c r="H92" s="96"/>
      <c r="I92" s="96"/>
      <c r="J92" s="271"/>
    </row>
    <row r="93" spans="1:10">
      <c r="A93" s="84"/>
      <c r="B93" s="93" t="s">
        <v>231</v>
      </c>
      <c r="C93" s="94"/>
      <c r="D93" s="95"/>
      <c r="E93" s="95"/>
      <c r="F93" s="95"/>
      <c r="G93" s="96"/>
      <c r="H93" s="96"/>
      <c r="I93" s="96"/>
      <c r="J93" s="271"/>
    </row>
    <row r="94" spans="1:10">
      <c r="A94" s="84"/>
      <c r="B94" s="93" t="s">
        <v>231</v>
      </c>
      <c r="C94" s="94"/>
      <c r="D94" s="95"/>
      <c r="E94" s="95"/>
      <c r="F94" s="95"/>
      <c r="G94" s="96"/>
      <c r="H94" s="96"/>
      <c r="I94" s="96"/>
      <c r="J94" s="271"/>
    </row>
    <row r="95" spans="1:10">
      <c r="A95" s="84"/>
      <c r="B95" s="93" t="s">
        <v>231</v>
      </c>
      <c r="C95" s="94"/>
      <c r="D95" s="95"/>
      <c r="E95" s="95"/>
      <c r="F95" s="95"/>
      <c r="G95" s="96"/>
      <c r="H95" s="96"/>
      <c r="I95" s="96"/>
      <c r="J95" s="271"/>
    </row>
    <row r="96" spans="1:10">
      <c r="A96" s="84"/>
      <c r="B96" s="89"/>
      <c r="C96" s="97"/>
      <c r="D96" s="91"/>
      <c r="E96" s="91"/>
      <c r="F96" s="91"/>
      <c r="G96" s="91" t="s">
        <v>275</v>
      </c>
      <c r="H96" s="91"/>
      <c r="I96" s="91"/>
      <c r="J96" s="99">
        <f>+SUBTOTAL(9,J89:J95)</f>
        <v>7.91</v>
      </c>
    </row>
    <row r="97" spans="1:10">
      <c r="A97" s="84"/>
      <c r="B97" s="89" t="s">
        <v>228</v>
      </c>
      <c r="C97" s="90" t="s">
        <v>276</v>
      </c>
      <c r="D97" s="91"/>
      <c r="E97" s="91"/>
      <c r="F97" s="91"/>
      <c r="G97" s="92" t="s">
        <v>230</v>
      </c>
      <c r="H97" s="92" t="s">
        <v>262</v>
      </c>
      <c r="I97" s="92" t="s">
        <v>263</v>
      </c>
      <c r="J97" s="99" t="s">
        <v>264</v>
      </c>
    </row>
    <row r="98" spans="1:10">
      <c r="A98" s="84"/>
      <c r="B98" s="89" t="s">
        <v>310</v>
      </c>
      <c r="C98" s="90" t="s">
        <v>311</v>
      </c>
      <c r="D98" s="91"/>
      <c r="E98" s="91"/>
      <c r="F98" s="91"/>
      <c r="G98" s="92" t="s">
        <v>270</v>
      </c>
      <c r="H98" s="92">
        <v>244.49</v>
      </c>
      <c r="I98" s="92">
        <v>1.02</v>
      </c>
      <c r="J98" s="99">
        <f>+ROUND(H98*I98,2)</f>
        <v>249.38</v>
      </c>
    </row>
    <row r="99" spans="1:10">
      <c r="A99" s="84"/>
      <c r="B99" s="93" t="s">
        <v>231</v>
      </c>
      <c r="C99" s="94"/>
      <c r="D99" s="95"/>
      <c r="E99" s="95"/>
      <c r="F99" s="95"/>
      <c r="G99" s="96"/>
      <c r="H99" s="96"/>
      <c r="I99" s="96"/>
      <c r="J99" s="271"/>
    </row>
    <row r="100" spans="1:10">
      <c r="A100" s="84"/>
      <c r="B100" s="93" t="s">
        <v>231</v>
      </c>
      <c r="C100" s="94"/>
      <c r="D100" s="95"/>
      <c r="E100" s="95"/>
      <c r="F100" s="95"/>
      <c r="G100" s="96"/>
      <c r="H100" s="96"/>
      <c r="I100" s="96"/>
      <c r="J100" s="271"/>
    </row>
    <row r="101" spans="1:10">
      <c r="A101" s="84"/>
      <c r="B101" s="93" t="s">
        <v>231</v>
      </c>
      <c r="C101" s="94"/>
      <c r="D101" s="95"/>
      <c r="E101" s="95"/>
      <c r="F101" s="95"/>
      <c r="G101" s="96"/>
      <c r="H101" s="96"/>
      <c r="I101" s="96"/>
      <c r="J101" s="271"/>
    </row>
    <row r="102" spans="1:10">
      <c r="A102" s="84"/>
      <c r="B102" s="93" t="s">
        <v>231</v>
      </c>
      <c r="C102" s="94"/>
      <c r="D102" s="95"/>
      <c r="E102" s="95"/>
      <c r="F102" s="95"/>
      <c r="G102" s="96"/>
      <c r="H102" s="96"/>
      <c r="I102" s="96"/>
      <c r="J102" s="271"/>
    </row>
    <row r="103" spans="1:10">
      <c r="A103" s="84"/>
      <c r="B103" s="89"/>
      <c r="C103" s="97"/>
      <c r="D103" s="91"/>
      <c r="E103" s="91"/>
      <c r="F103" s="91"/>
      <c r="G103" s="91" t="s">
        <v>279</v>
      </c>
      <c r="H103" s="91"/>
      <c r="I103" s="91"/>
      <c r="J103" s="99">
        <f>+SUBTOTAL(9,J98:J102)</f>
        <v>249.38</v>
      </c>
    </row>
    <row r="104" spans="1:10">
      <c r="A104" s="84"/>
      <c r="B104" s="89" t="s">
        <v>228</v>
      </c>
      <c r="C104" s="90" t="s">
        <v>280</v>
      </c>
      <c r="D104" s="92" t="s">
        <v>281</v>
      </c>
      <c r="E104" s="92" t="s">
        <v>282</v>
      </c>
      <c r="F104" s="92" t="s">
        <v>283</v>
      </c>
      <c r="G104" s="92" t="s">
        <v>284</v>
      </c>
      <c r="H104" s="92" t="s">
        <v>285</v>
      </c>
      <c r="I104" s="92" t="s">
        <v>263</v>
      </c>
      <c r="J104" s="99" t="s">
        <v>286</v>
      </c>
    </row>
    <row r="105" spans="1:10">
      <c r="A105" s="84"/>
      <c r="B105" s="89">
        <v>416078</v>
      </c>
      <c r="C105" s="90" t="s">
        <v>312</v>
      </c>
      <c r="D105" s="92" t="s">
        <v>289</v>
      </c>
      <c r="E105" s="92">
        <v>0</v>
      </c>
      <c r="F105" s="92">
        <v>25</v>
      </c>
      <c r="G105" s="92">
        <v>25</v>
      </c>
      <c r="H105" s="92">
        <v>0.79</v>
      </c>
      <c r="I105" s="92">
        <v>1.02</v>
      </c>
      <c r="J105" s="99">
        <f>+ROUND(G105*H105*I105,2)</f>
        <v>20.149999999999999</v>
      </c>
    </row>
    <row r="106" spans="1:10">
      <c r="A106" s="84"/>
      <c r="B106" s="93" t="s">
        <v>231</v>
      </c>
      <c r="C106" s="94"/>
      <c r="D106" s="96"/>
      <c r="E106" s="96"/>
      <c r="F106" s="96"/>
      <c r="G106" s="96"/>
      <c r="H106" s="96"/>
      <c r="I106" s="96"/>
      <c r="J106" s="271"/>
    </row>
    <row r="107" spans="1:10">
      <c r="A107" s="84"/>
      <c r="B107" s="93" t="s">
        <v>231</v>
      </c>
      <c r="C107" s="94"/>
      <c r="D107" s="96"/>
      <c r="E107" s="96"/>
      <c r="F107" s="96"/>
      <c r="G107" s="96"/>
      <c r="H107" s="96"/>
      <c r="I107" s="96"/>
      <c r="J107" s="271"/>
    </row>
    <row r="108" spans="1:10">
      <c r="A108" s="84"/>
      <c r="B108" s="93" t="s">
        <v>231</v>
      </c>
      <c r="C108" s="94"/>
      <c r="D108" s="96"/>
      <c r="E108" s="96"/>
      <c r="F108" s="96"/>
      <c r="G108" s="96"/>
      <c r="H108" s="96"/>
      <c r="I108" s="96"/>
      <c r="J108" s="271"/>
    </row>
    <row r="109" spans="1:10">
      <c r="A109" s="84"/>
      <c r="B109" s="93" t="s">
        <v>231</v>
      </c>
      <c r="C109" s="94"/>
      <c r="D109" s="96"/>
      <c r="E109" s="96"/>
      <c r="F109" s="96"/>
      <c r="G109" s="96"/>
      <c r="H109" s="96"/>
      <c r="I109" s="96"/>
      <c r="J109" s="271"/>
    </row>
    <row r="110" spans="1:10">
      <c r="A110" s="84"/>
      <c r="B110" s="93" t="s">
        <v>231</v>
      </c>
      <c r="C110" s="94"/>
      <c r="D110" s="96"/>
      <c r="E110" s="96"/>
      <c r="F110" s="96"/>
      <c r="G110" s="96"/>
      <c r="H110" s="96"/>
      <c r="I110" s="96"/>
      <c r="J110" s="271"/>
    </row>
    <row r="111" spans="1:10">
      <c r="A111" s="84"/>
      <c r="B111" s="93" t="s">
        <v>231</v>
      </c>
      <c r="C111" s="94"/>
      <c r="D111" s="96"/>
      <c r="E111" s="96"/>
      <c r="F111" s="96"/>
      <c r="G111" s="96"/>
      <c r="H111" s="96"/>
      <c r="I111" s="96"/>
      <c r="J111" s="271"/>
    </row>
    <row r="112" spans="1:10">
      <c r="A112" s="84"/>
      <c r="B112" s="89"/>
      <c r="C112" s="97"/>
      <c r="D112" s="91"/>
      <c r="E112" s="91"/>
      <c r="F112" s="91"/>
      <c r="G112" s="91" t="s">
        <v>290</v>
      </c>
      <c r="H112" s="91"/>
      <c r="I112" s="91"/>
      <c r="J112" s="99">
        <f>+SUBTOTAL(9,J105:J111)</f>
        <v>20.149999999999999</v>
      </c>
    </row>
    <row r="113" spans="1:10">
      <c r="A113" s="84"/>
      <c r="B113" s="89" t="s">
        <v>291</v>
      </c>
      <c r="C113" s="97"/>
      <c r="D113" s="91"/>
      <c r="E113" s="91"/>
      <c r="F113" s="91"/>
      <c r="G113" s="91"/>
      <c r="H113" s="91"/>
      <c r="I113" s="91"/>
      <c r="J113" s="99">
        <f>+SUBTOTAL(9,J87:J111)</f>
        <v>288.85999999999996</v>
      </c>
    </row>
    <row r="114" spans="1:10">
      <c r="A114" s="84"/>
      <c r="B114" s="89" t="s">
        <v>292</v>
      </c>
      <c r="C114" s="97"/>
      <c r="D114" s="91">
        <v>0</v>
      </c>
      <c r="E114" s="91"/>
      <c r="F114" s="91"/>
      <c r="G114" s="91"/>
      <c r="H114" s="91"/>
      <c r="I114" s="91"/>
      <c r="J114" s="99">
        <f>+ROUND(J113*D114/100,2)</f>
        <v>0</v>
      </c>
    </row>
    <row r="115" spans="1:10" ht="14.4" thickBot="1">
      <c r="A115" s="84"/>
      <c r="B115" s="89" t="s">
        <v>293</v>
      </c>
      <c r="C115" s="97"/>
      <c r="D115" s="91"/>
      <c r="E115" s="91"/>
      <c r="F115" s="91"/>
      <c r="G115" s="91"/>
      <c r="H115" s="91"/>
      <c r="I115" s="91"/>
      <c r="J115" s="99">
        <f>+J113+ J114</f>
        <v>288.85999999999996</v>
      </c>
    </row>
    <row r="116" spans="1:10">
      <c r="A116" s="84"/>
      <c r="B116" s="85" t="s">
        <v>294</v>
      </c>
      <c r="C116" s="86"/>
      <c r="D116" s="88"/>
      <c r="E116" s="88"/>
      <c r="F116" s="88" t="s">
        <v>295</v>
      </c>
      <c r="G116" s="88"/>
      <c r="H116" s="88"/>
      <c r="I116" s="88" t="s">
        <v>296</v>
      </c>
      <c r="J116" s="270"/>
    </row>
    <row r="117" spans="1:10">
      <c r="A117" s="84"/>
      <c r="B117" s="93" t="s">
        <v>297</v>
      </c>
      <c r="C117" s="84"/>
      <c r="D117" s="95"/>
      <c r="E117" s="95"/>
      <c r="F117" s="95" t="s">
        <v>298</v>
      </c>
      <c r="G117" s="95"/>
      <c r="H117" s="95"/>
      <c r="I117" s="95"/>
      <c r="J117" s="276"/>
    </row>
    <row r="118" spans="1:10">
      <c r="A118" s="84"/>
      <c r="B118" s="93" t="s">
        <v>299</v>
      </c>
      <c r="C118" s="84"/>
      <c r="D118" s="95"/>
      <c r="E118" s="95"/>
      <c r="F118" s="95" t="s">
        <v>300</v>
      </c>
      <c r="G118" s="95"/>
      <c r="H118" s="95"/>
      <c r="I118" s="95"/>
      <c r="J118" s="276"/>
    </row>
    <row r="119" spans="1:10" ht="14.4" thickBot="1">
      <c r="A119" s="84"/>
      <c r="B119" s="100" t="s">
        <v>301</v>
      </c>
      <c r="C119" s="84"/>
      <c r="D119" s="95"/>
      <c r="E119" s="95"/>
      <c r="F119" s="95"/>
      <c r="G119" s="95"/>
      <c r="H119" s="95"/>
      <c r="I119" s="95"/>
      <c r="J119" s="277"/>
    </row>
    <row r="120" spans="1:10">
      <c r="A120" s="84"/>
      <c r="B120" s="86"/>
      <c r="C120" s="86"/>
      <c r="D120" s="88"/>
      <c r="E120" s="88"/>
      <c r="F120" s="88"/>
      <c r="G120" s="88"/>
      <c r="H120" s="88"/>
      <c r="I120" s="88"/>
      <c r="J120" s="88"/>
    </row>
    <row r="121" spans="1:10" ht="14.4" thickBot="1">
      <c r="A121" s="84"/>
      <c r="B121" s="84"/>
      <c r="C121" s="84"/>
      <c r="D121" s="95"/>
      <c r="E121" s="95"/>
      <c r="F121" s="95"/>
      <c r="G121" s="95"/>
      <c r="H121" s="95"/>
      <c r="I121" s="95"/>
      <c r="J121" s="95"/>
    </row>
    <row r="122" spans="1:10">
      <c r="A122" s="84"/>
      <c r="B122" s="85"/>
      <c r="C122" s="86"/>
      <c r="D122" s="87" t="s">
        <v>227</v>
      </c>
      <c r="E122" s="87"/>
      <c r="F122" s="87"/>
      <c r="G122" s="88"/>
      <c r="H122" s="88"/>
      <c r="I122" s="88"/>
      <c r="J122" s="270"/>
    </row>
    <row r="123" spans="1:10">
      <c r="A123" s="84"/>
      <c r="B123" s="89" t="s">
        <v>228</v>
      </c>
      <c r="C123" s="90" t="s">
        <v>92</v>
      </c>
      <c r="D123" s="91"/>
      <c r="E123" s="91"/>
      <c r="F123" s="91"/>
      <c r="G123" s="91"/>
      <c r="H123" s="92" t="s">
        <v>229</v>
      </c>
      <c r="I123" s="91"/>
      <c r="J123" s="99" t="s">
        <v>230</v>
      </c>
    </row>
    <row r="124" spans="1:10">
      <c r="A124" s="84"/>
      <c r="B124" s="93" t="s">
        <v>310</v>
      </c>
      <c r="C124" s="94" t="s">
        <v>313</v>
      </c>
      <c r="D124" s="95"/>
      <c r="E124" s="95"/>
      <c r="F124" s="95"/>
      <c r="G124" s="95"/>
      <c r="H124" s="96" t="s">
        <v>233</v>
      </c>
      <c r="I124" s="95"/>
      <c r="J124" s="271" t="s">
        <v>270</v>
      </c>
    </row>
    <row r="125" spans="1:10">
      <c r="A125" s="84"/>
      <c r="B125" s="89"/>
      <c r="C125" s="90"/>
      <c r="D125" s="91"/>
      <c r="E125" s="92"/>
      <c r="F125" s="92" t="s">
        <v>235</v>
      </c>
      <c r="G125" s="92"/>
      <c r="H125" s="92" t="s">
        <v>236</v>
      </c>
      <c r="I125" s="92"/>
      <c r="J125" s="99" t="s">
        <v>237</v>
      </c>
    </row>
    <row r="126" spans="1:10">
      <c r="A126" s="84"/>
      <c r="B126" s="93" t="s">
        <v>228</v>
      </c>
      <c r="C126" s="94" t="s">
        <v>238</v>
      </c>
      <c r="D126" s="95"/>
      <c r="E126" s="96" t="s">
        <v>239</v>
      </c>
      <c r="F126" s="92" t="s">
        <v>240</v>
      </c>
      <c r="G126" s="92" t="s">
        <v>241</v>
      </c>
      <c r="H126" s="92" t="s">
        <v>240</v>
      </c>
      <c r="I126" s="272" t="s">
        <v>241</v>
      </c>
      <c r="J126" s="271" t="s">
        <v>242</v>
      </c>
    </row>
    <row r="127" spans="1:10">
      <c r="A127" s="84"/>
      <c r="B127" s="273" t="s">
        <v>314</v>
      </c>
      <c r="C127" s="90" t="s">
        <v>315</v>
      </c>
      <c r="D127" s="91"/>
      <c r="E127" s="92">
        <v>1</v>
      </c>
      <c r="F127" s="92">
        <v>1</v>
      </c>
      <c r="G127" s="92">
        <v>0</v>
      </c>
      <c r="H127" s="92">
        <v>423.21</v>
      </c>
      <c r="I127" s="92">
        <v>22.38</v>
      </c>
      <c r="J127" s="99">
        <f>+ROUND(E127* ((F127*H127) + (G127*I127)),2)</f>
        <v>423.21</v>
      </c>
    </row>
    <row r="128" spans="1:10">
      <c r="A128" s="84"/>
      <c r="B128" s="274" t="s">
        <v>316</v>
      </c>
      <c r="C128" s="94" t="s">
        <v>317</v>
      </c>
      <c r="D128" s="95"/>
      <c r="E128" s="96">
        <v>2</v>
      </c>
      <c r="F128" s="96">
        <v>1</v>
      </c>
      <c r="G128" s="96">
        <v>0</v>
      </c>
      <c r="H128" s="96">
        <v>54.88</v>
      </c>
      <c r="I128" s="96">
        <v>37.49</v>
      </c>
      <c r="J128" s="271">
        <f>+ROUND(E128* ((F128*H128) + (G128*I128)),2)</f>
        <v>109.76</v>
      </c>
    </row>
    <row r="129" spans="1:10">
      <c r="A129" s="84"/>
      <c r="B129" s="274" t="s">
        <v>318</v>
      </c>
      <c r="C129" s="94" t="s">
        <v>319</v>
      </c>
      <c r="D129" s="95"/>
      <c r="E129" s="96">
        <v>1</v>
      </c>
      <c r="F129" s="96">
        <v>1</v>
      </c>
      <c r="G129" s="96">
        <v>0</v>
      </c>
      <c r="H129" s="96">
        <v>70.739999999999995</v>
      </c>
      <c r="I129" s="96">
        <v>40.17</v>
      </c>
      <c r="J129" s="271">
        <f>+ROUND(E129* ((F129*H129) + (G129*I129)),2)</f>
        <v>70.739999999999995</v>
      </c>
    </row>
    <row r="130" spans="1:10">
      <c r="A130" s="84"/>
      <c r="B130" s="274" t="s">
        <v>320</v>
      </c>
      <c r="C130" s="94" t="s">
        <v>321</v>
      </c>
      <c r="D130" s="95"/>
      <c r="E130" s="96">
        <v>1</v>
      </c>
      <c r="F130" s="96">
        <v>0.8</v>
      </c>
      <c r="G130" s="96">
        <v>0.2</v>
      </c>
      <c r="H130" s="96">
        <v>190.98</v>
      </c>
      <c r="I130" s="96">
        <v>91.51</v>
      </c>
      <c r="J130" s="271">
        <f>+ROUND(E130* ((F130*H130) + (G130*I130)),2)</f>
        <v>171.09</v>
      </c>
    </row>
    <row r="131" spans="1:10">
      <c r="A131" s="84"/>
      <c r="B131" s="274" t="s">
        <v>322</v>
      </c>
      <c r="C131" s="94" t="s">
        <v>323</v>
      </c>
      <c r="D131" s="95"/>
      <c r="E131" s="96">
        <v>1</v>
      </c>
      <c r="F131" s="96">
        <v>1</v>
      </c>
      <c r="G131" s="96">
        <v>0</v>
      </c>
      <c r="H131" s="96">
        <v>1167.48</v>
      </c>
      <c r="I131" s="96">
        <v>618.23</v>
      </c>
      <c r="J131" s="271">
        <f>+ROUND(E131* ((F131*H131) + (G131*I131)),2)</f>
        <v>1167.48</v>
      </c>
    </row>
    <row r="132" spans="1:10">
      <c r="A132" s="84"/>
      <c r="B132" s="93" t="s">
        <v>231</v>
      </c>
      <c r="C132" s="94"/>
      <c r="D132" s="95"/>
      <c r="E132" s="96"/>
      <c r="F132" s="96"/>
      <c r="G132" s="96"/>
      <c r="H132" s="96"/>
      <c r="I132" s="96"/>
      <c r="J132" s="271"/>
    </row>
    <row r="133" spans="1:10">
      <c r="A133" s="84"/>
      <c r="B133" s="93" t="s">
        <v>231</v>
      </c>
      <c r="C133" s="94"/>
      <c r="D133" s="95"/>
      <c r="E133" s="96"/>
      <c r="F133" s="96"/>
      <c r="G133" s="96"/>
      <c r="H133" s="96"/>
      <c r="I133" s="96"/>
      <c r="J133" s="271"/>
    </row>
    <row r="134" spans="1:10">
      <c r="A134" s="84"/>
      <c r="B134" s="89"/>
      <c r="C134" s="97"/>
      <c r="D134" s="91"/>
      <c r="E134" s="91"/>
      <c r="F134" s="91"/>
      <c r="G134" s="91" t="s">
        <v>249</v>
      </c>
      <c r="H134" s="91"/>
      <c r="I134" s="91"/>
      <c r="J134" s="99">
        <f>+SUBTOTAL(9,J127:J133)</f>
        <v>1942.2800000000002</v>
      </c>
    </row>
    <row r="135" spans="1:10">
      <c r="A135" s="84"/>
      <c r="B135" s="89" t="s">
        <v>228</v>
      </c>
      <c r="C135" s="90" t="s">
        <v>250</v>
      </c>
      <c r="D135" s="91"/>
      <c r="E135" s="91"/>
      <c r="F135" s="91"/>
      <c r="G135" s="91"/>
      <c r="H135" s="92" t="s">
        <v>239</v>
      </c>
      <c r="I135" s="92" t="s">
        <v>251</v>
      </c>
      <c r="J135" s="99" t="s">
        <v>252</v>
      </c>
    </row>
    <row r="136" spans="1:10">
      <c r="A136" s="84"/>
      <c r="B136" s="89" t="s">
        <v>253</v>
      </c>
      <c r="C136" s="90" t="s">
        <v>254</v>
      </c>
      <c r="D136" s="91"/>
      <c r="E136" s="91"/>
      <c r="F136" s="91"/>
      <c r="G136" s="91"/>
      <c r="H136" s="92">
        <v>4</v>
      </c>
      <c r="I136" s="92">
        <v>21.04</v>
      </c>
      <c r="J136" s="99">
        <f>+ROUND(H136*I136,2)</f>
        <v>84.16</v>
      </c>
    </row>
    <row r="137" spans="1:10">
      <c r="A137" s="84"/>
      <c r="B137" s="93" t="s">
        <v>231</v>
      </c>
      <c r="C137" s="94"/>
      <c r="D137" s="95"/>
      <c r="E137" s="95"/>
      <c r="F137" s="95"/>
      <c r="G137" s="95"/>
      <c r="H137" s="96"/>
      <c r="I137" s="96"/>
      <c r="J137" s="271"/>
    </row>
    <row r="138" spans="1:10">
      <c r="A138" s="84"/>
      <c r="B138" s="93" t="s">
        <v>231</v>
      </c>
      <c r="C138" s="94"/>
      <c r="D138" s="95"/>
      <c r="E138" s="95"/>
      <c r="F138" s="95"/>
      <c r="G138" s="95"/>
      <c r="H138" s="96"/>
      <c r="I138" s="96"/>
      <c r="J138" s="271"/>
    </row>
    <row r="139" spans="1:10">
      <c r="A139" s="84"/>
      <c r="B139" s="93" t="s">
        <v>231</v>
      </c>
      <c r="C139" s="94"/>
      <c r="D139" s="95"/>
      <c r="E139" s="95"/>
      <c r="F139" s="95"/>
      <c r="G139" s="95"/>
      <c r="H139" s="96"/>
      <c r="I139" s="96"/>
      <c r="J139" s="271"/>
    </row>
    <row r="140" spans="1:10">
      <c r="A140" s="84"/>
      <c r="B140" s="93" t="s">
        <v>231</v>
      </c>
      <c r="C140" s="94"/>
      <c r="D140" s="95"/>
      <c r="E140" s="95"/>
      <c r="F140" s="95"/>
      <c r="G140" s="95"/>
      <c r="H140" s="96"/>
      <c r="I140" s="96"/>
      <c r="J140" s="271"/>
    </row>
    <row r="141" spans="1:10">
      <c r="A141" s="84"/>
      <c r="B141" s="93" t="s">
        <v>231</v>
      </c>
      <c r="C141" s="94"/>
      <c r="D141" s="95"/>
      <c r="E141" s="95"/>
      <c r="F141" s="95"/>
      <c r="G141" s="95"/>
      <c r="H141" s="96"/>
      <c r="I141" s="96"/>
      <c r="J141" s="271"/>
    </row>
    <row r="142" spans="1:10">
      <c r="A142" s="84"/>
      <c r="B142" s="93" t="s">
        <v>231</v>
      </c>
      <c r="C142" s="94"/>
      <c r="D142" s="95"/>
      <c r="E142" s="95"/>
      <c r="F142" s="95"/>
      <c r="G142" s="95"/>
      <c r="H142" s="96"/>
      <c r="I142" s="96"/>
      <c r="J142" s="271"/>
    </row>
    <row r="143" spans="1:10">
      <c r="A143" s="84"/>
      <c r="B143" s="89"/>
      <c r="C143" s="97"/>
      <c r="D143" s="91"/>
      <c r="E143" s="91"/>
      <c r="F143" s="91"/>
      <c r="G143" s="91" t="s">
        <v>255</v>
      </c>
      <c r="H143" s="91"/>
      <c r="I143" s="91"/>
      <c r="J143" s="99">
        <f>+SUBTOTAL(9,J136:J142)</f>
        <v>84.16</v>
      </c>
    </row>
    <row r="144" spans="1:10">
      <c r="A144" s="84"/>
      <c r="B144" s="89"/>
      <c r="C144" s="97"/>
      <c r="D144" s="91"/>
      <c r="E144" s="91"/>
      <c r="F144" s="91" t="s">
        <v>256</v>
      </c>
      <c r="G144" s="91"/>
      <c r="H144" s="91"/>
      <c r="I144" s="91">
        <v>0</v>
      </c>
      <c r="J144" s="99">
        <f>+ROUND(I144*J143,2)</f>
        <v>0</v>
      </c>
    </row>
    <row r="145" spans="1:10">
      <c r="A145" s="84"/>
      <c r="B145" s="89"/>
      <c r="C145" s="97"/>
      <c r="D145" s="91"/>
      <c r="E145" s="91"/>
      <c r="F145" s="91" t="s">
        <v>257</v>
      </c>
      <c r="G145" s="91"/>
      <c r="H145" s="91"/>
      <c r="I145" s="91"/>
      <c r="J145" s="99">
        <f>+SUBTOTAL(9,J136:J144)</f>
        <v>84.16</v>
      </c>
    </row>
    <row r="146" spans="1:10">
      <c r="A146" s="84"/>
      <c r="B146" s="98"/>
      <c r="C146" s="97"/>
      <c r="D146" s="91"/>
      <c r="E146" s="91"/>
      <c r="F146" s="91"/>
      <c r="G146" s="91" t="s">
        <v>258</v>
      </c>
      <c r="H146" s="91"/>
      <c r="I146" s="91"/>
      <c r="J146" s="275">
        <f>+SUBTOTAL(9,J127:J145)</f>
        <v>2026.4400000000003</v>
      </c>
    </row>
    <row r="147" spans="1:10">
      <c r="A147" s="84"/>
      <c r="B147" s="98"/>
      <c r="C147" s="97" t="s">
        <v>259</v>
      </c>
      <c r="D147" s="91">
        <v>99.6</v>
      </c>
      <c r="E147" s="91"/>
      <c r="F147" s="91"/>
      <c r="G147" s="91" t="s">
        <v>260</v>
      </c>
      <c r="H147" s="91"/>
      <c r="I147" s="91"/>
      <c r="J147" s="275">
        <f>+ROUND(J146/D147,2)</f>
        <v>20.350000000000001</v>
      </c>
    </row>
    <row r="148" spans="1:10">
      <c r="A148" s="84"/>
      <c r="B148" s="89" t="s">
        <v>228</v>
      </c>
      <c r="C148" s="90" t="s">
        <v>261</v>
      </c>
      <c r="D148" s="91"/>
      <c r="E148" s="91"/>
      <c r="F148" s="91"/>
      <c r="G148" s="92" t="s">
        <v>230</v>
      </c>
      <c r="H148" s="92" t="s">
        <v>262</v>
      </c>
      <c r="I148" s="92" t="s">
        <v>263</v>
      </c>
      <c r="J148" s="99" t="s">
        <v>264</v>
      </c>
    </row>
    <row r="149" spans="1:10">
      <c r="A149" s="84"/>
      <c r="B149" s="89" t="s">
        <v>324</v>
      </c>
      <c r="C149" s="90" t="s">
        <v>325</v>
      </c>
      <c r="D149" s="91"/>
      <c r="E149" s="91"/>
      <c r="F149" s="91"/>
      <c r="G149" s="92" t="s">
        <v>234</v>
      </c>
      <c r="H149" s="92">
        <v>100.8</v>
      </c>
      <c r="I149" s="92">
        <v>6.2449999999999999E-2</v>
      </c>
      <c r="J149" s="99">
        <f t="shared" ref="J149:J160" si="0">+ROUND(H149*I149,2)</f>
        <v>6.29</v>
      </c>
    </row>
    <row r="150" spans="1:10">
      <c r="A150" s="84"/>
      <c r="B150" s="93" t="s">
        <v>326</v>
      </c>
      <c r="C150" s="94" t="s">
        <v>327</v>
      </c>
      <c r="D150" s="95"/>
      <c r="E150" s="95"/>
      <c r="F150" s="95"/>
      <c r="G150" s="96" t="s">
        <v>234</v>
      </c>
      <c r="H150" s="96">
        <v>45</v>
      </c>
      <c r="I150" s="96">
        <v>0.32474999999999998</v>
      </c>
      <c r="J150" s="271">
        <f t="shared" si="0"/>
        <v>14.61</v>
      </c>
    </row>
    <row r="151" spans="1:10">
      <c r="A151" s="84"/>
      <c r="B151" s="93" t="s">
        <v>328</v>
      </c>
      <c r="C151" s="94" t="s">
        <v>329</v>
      </c>
      <c r="D151" s="95"/>
      <c r="E151" s="95"/>
      <c r="F151" s="95"/>
      <c r="G151" s="96" t="s">
        <v>234</v>
      </c>
      <c r="H151" s="96">
        <v>103.06</v>
      </c>
      <c r="I151" s="96">
        <v>6.2449999999999999E-2</v>
      </c>
      <c r="J151" s="271">
        <f t="shared" si="0"/>
        <v>6.44</v>
      </c>
    </row>
    <row r="152" spans="1:10">
      <c r="A152" s="84"/>
      <c r="B152" s="93" t="s">
        <v>330</v>
      </c>
      <c r="C152" s="94" t="s">
        <v>331</v>
      </c>
      <c r="D152" s="95"/>
      <c r="E152" s="95"/>
      <c r="F152" s="95"/>
      <c r="G152" s="96" t="s">
        <v>332</v>
      </c>
      <c r="H152" s="96">
        <v>0.41</v>
      </c>
      <c r="I152" s="96">
        <v>56.2</v>
      </c>
      <c r="J152" s="271">
        <f t="shared" si="0"/>
        <v>23.04</v>
      </c>
    </row>
    <row r="153" spans="1:10">
      <c r="A153" s="84"/>
      <c r="B153" s="93" t="s">
        <v>333</v>
      </c>
      <c r="C153" s="94" t="s">
        <v>334</v>
      </c>
      <c r="D153" s="95"/>
      <c r="E153" s="95"/>
      <c r="F153" s="95"/>
      <c r="G153" s="96" t="s">
        <v>234</v>
      </c>
      <c r="H153" s="96">
        <v>119.07</v>
      </c>
      <c r="I153" s="96">
        <v>0.13739000000000001</v>
      </c>
      <c r="J153" s="271">
        <f t="shared" si="0"/>
        <v>16.36</v>
      </c>
    </row>
    <row r="154" spans="1:10">
      <c r="A154" s="84"/>
      <c r="B154" s="93" t="s">
        <v>335</v>
      </c>
      <c r="C154" s="94" t="s">
        <v>336</v>
      </c>
      <c r="D154" s="95"/>
      <c r="E154" s="95"/>
      <c r="F154" s="95"/>
      <c r="G154" s="96" t="s">
        <v>337</v>
      </c>
      <c r="H154" s="96">
        <v>5.83</v>
      </c>
      <c r="I154" s="96">
        <v>8</v>
      </c>
      <c r="J154" s="271">
        <f t="shared" si="0"/>
        <v>46.64</v>
      </c>
    </row>
    <row r="155" spans="1:10">
      <c r="A155" s="84"/>
      <c r="B155" s="93" t="s">
        <v>338</v>
      </c>
      <c r="C155" s="94" t="s">
        <v>114</v>
      </c>
      <c r="D155" s="95"/>
      <c r="E155" s="95"/>
      <c r="F155" s="95"/>
      <c r="G155" s="96" t="s">
        <v>270</v>
      </c>
      <c r="H155" s="96">
        <v>0</v>
      </c>
      <c r="I155" s="96">
        <v>6.3229999999999995E-2</v>
      </c>
      <c r="J155" s="271">
        <f t="shared" si="0"/>
        <v>0</v>
      </c>
    </row>
    <row r="156" spans="1:10">
      <c r="A156" s="84"/>
      <c r="B156" s="93" t="s">
        <v>339</v>
      </c>
      <c r="C156" s="94" t="s">
        <v>340</v>
      </c>
      <c r="D156" s="95"/>
      <c r="E156" s="95"/>
      <c r="F156" s="95"/>
      <c r="G156" s="96" t="s">
        <v>270</v>
      </c>
      <c r="H156" s="96">
        <v>1.75</v>
      </c>
      <c r="I156" s="96">
        <v>9.3679999999999999E-2</v>
      </c>
      <c r="J156" s="271">
        <f t="shared" si="0"/>
        <v>0.16</v>
      </c>
    </row>
    <row r="157" spans="1:10">
      <c r="A157" s="84"/>
      <c r="B157" s="93" t="s">
        <v>341</v>
      </c>
      <c r="C157" s="94" t="s">
        <v>342</v>
      </c>
      <c r="D157" s="95"/>
      <c r="E157" s="95"/>
      <c r="F157" s="95"/>
      <c r="G157" s="96" t="s">
        <v>270</v>
      </c>
      <c r="H157" s="96">
        <v>1.75</v>
      </c>
      <c r="I157" s="96">
        <v>0.48713000000000001</v>
      </c>
      <c r="J157" s="271">
        <f t="shared" si="0"/>
        <v>0.85</v>
      </c>
    </row>
    <row r="158" spans="1:10">
      <c r="A158" s="84"/>
      <c r="B158" s="93" t="s">
        <v>343</v>
      </c>
      <c r="C158" s="94" t="s">
        <v>344</v>
      </c>
      <c r="D158" s="95"/>
      <c r="E158" s="95"/>
      <c r="F158" s="95"/>
      <c r="G158" s="96" t="s">
        <v>270</v>
      </c>
      <c r="H158" s="96">
        <v>1.75</v>
      </c>
      <c r="I158" s="96">
        <v>9.3679999999999999E-2</v>
      </c>
      <c r="J158" s="271">
        <f t="shared" si="0"/>
        <v>0.16</v>
      </c>
    </row>
    <row r="159" spans="1:10">
      <c r="A159" s="84"/>
      <c r="B159" s="93" t="s">
        <v>345</v>
      </c>
      <c r="C159" s="94" t="s">
        <v>346</v>
      </c>
      <c r="D159" s="95"/>
      <c r="E159" s="95"/>
      <c r="F159" s="95"/>
      <c r="G159" s="96" t="s">
        <v>270</v>
      </c>
      <c r="H159" s="96">
        <v>17.93</v>
      </c>
      <c r="I159" s="96">
        <v>5.62E-2</v>
      </c>
      <c r="J159" s="271">
        <f t="shared" si="0"/>
        <v>1.01</v>
      </c>
    </row>
    <row r="160" spans="1:10">
      <c r="A160" s="84"/>
      <c r="B160" s="93" t="s">
        <v>347</v>
      </c>
      <c r="C160" s="94" t="s">
        <v>348</v>
      </c>
      <c r="D160" s="95"/>
      <c r="E160" s="95"/>
      <c r="F160" s="95"/>
      <c r="G160" s="96" t="s">
        <v>270</v>
      </c>
      <c r="H160" s="96">
        <v>1.75</v>
      </c>
      <c r="I160" s="96">
        <v>0.20609</v>
      </c>
      <c r="J160" s="271">
        <f t="shared" si="0"/>
        <v>0.36</v>
      </c>
    </row>
    <row r="161" spans="1:10">
      <c r="A161" s="84"/>
      <c r="B161" s="89"/>
      <c r="C161" s="97"/>
      <c r="D161" s="91"/>
      <c r="E161" s="91"/>
      <c r="F161" s="91"/>
      <c r="G161" s="91" t="s">
        <v>275</v>
      </c>
      <c r="H161" s="91"/>
      <c r="I161" s="91"/>
      <c r="J161" s="99">
        <f>+SUBTOTAL(9,J149:J160)</f>
        <v>115.91999999999999</v>
      </c>
    </row>
    <row r="162" spans="1:10">
      <c r="A162" s="84"/>
      <c r="B162" s="89" t="s">
        <v>228</v>
      </c>
      <c r="C162" s="90" t="s">
        <v>276</v>
      </c>
      <c r="D162" s="91"/>
      <c r="E162" s="91"/>
      <c r="F162" s="91"/>
      <c r="G162" s="92" t="s">
        <v>230</v>
      </c>
      <c r="H162" s="92" t="s">
        <v>262</v>
      </c>
      <c r="I162" s="92" t="s">
        <v>263</v>
      </c>
      <c r="J162" s="99" t="s">
        <v>264</v>
      </c>
    </row>
    <row r="163" spans="1:10">
      <c r="A163" s="84"/>
      <c r="B163" s="89" t="s">
        <v>231</v>
      </c>
      <c r="C163" s="90"/>
      <c r="D163" s="91"/>
      <c r="E163" s="91"/>
      <c r="F163" s="91"/>
      <c r="G163" s="92"/>
      <c r="H163" s="92"/>
      <c r="I163" s="92"/>
      <c r="J163" s="99"/>
    </row>
    <row r="164" spans="1:10">
      <c r="A164" s="84"/>
      <c r="B164" s="93" t="s">
        <v>231</v>
      </c>
      <c r="C164" s="94"/>
      <c r="D164" s="95"/>
      <c r="E164" s="95"/>
      <c r="F164" s="95"/>
      <c r="G164" s="96"/>
      <c r="H164" s="96"/>
      <c r="I164" s="96"/>
      <c r="J164" s="271"/>
    </row>
    <row r="165" spans="1:10">
      <c r="A165" s="84"/>
      <c r="B165" s="93" t="s">
        <v>231</v>
      </c>
      <c r="C165" s="94"/>
      <c r="D165" s="95"/>
      <c r="E165" s="95"/>
      <c r="F165" s="95"/>
      <c r="G165" s="96"/>
      <c r="H165" s="96"/>
      <c r="I165" s="96"/>
      <c r="J165" s="271"/>
    </row>
    <row r="166" spans="1:10">
      <c r="A166" s="84"/>
      <c r="B166" s="93" t="s">
        <v>231</v>
      </c>
      <c r="C166" s="94"/>
      <c r="D166" s="95"/>
      <c r="E166" s="95"/>
      <c r="F166" s="95"/>
      <c r="G166" s="96"/>
      <c r="H166" s="96"/>
      <c r="I166" s="96"/>
      <c r="J166" s="271"/>
    </row>
    <row r="167" spans="1:10">
      <c r="A167" s="84"/>
      <c r="B167" s="93" t="s">
        <v>231</v>
      </c>
      <c r="C167" s="94"/>
      <c r="D167" s="95"/>
      <c r="E167" s="95"/>
      <c r="F167" s="95"/>
      <c r="G167" s="96"/>
      <c r="H167" s="96"/>
      <c r="I167" s="96"/>
      <c r="J167" s="271"/>
    </row>
    <row r="168" spans="1:10">
      <c r="A168" s="84"/>
      <c r="B168" s="89"/>
      <c r="C168" s="97"/>
      <c r="D168" s="91"/>
      <c r="E168" s="91"/>
      <c r="F168" s="91"/>
      <c r="G168" s="91" t="s">
        <v>279</v>
      </c>
      <c r="H168" s="91"/>
      <c r="I168" s="91"/>
      <c r="J168" s="99">
        <f>+SUBTOTAL(9,J163:J167)</f>
        <v>0</v>
      </c>
    </row>
    <row r="169" spans="1:10">
      <c r="A169" s="84"/>
      <c r="B169" s="89" t="s">
        <v>228</v>
      </c>
      <c r="C169" s="90" t="s">
        <v>280</v>
      </c>
      <c r="D169" s="92" t="s">
        <v>281</v>
      </c>
      <c r="E169" s="92" t="s">
        <v>282</v>
      </c>
      <c r="F169" s="92" t="s">
        <v>283</v>
      </c>
      <c r="G169" s="92" t="s">
        <v>284</v>
      </c>
      <c r="H169" s="92" t="s">
        <v>285</v>
      </c>
      <c r="I169" s="92" t="s">
        <v>263</v>
      </c>
      <c r="J169" s="99" t="s">
        <v>286</v>
      </c>
    </row>
    <row r="170" spans="1:10">
      <c r="A170" s="84"/>
      <c r="B170" s="89" t="s">
        <v>349</v>
      </c>
      <c r="C170" s="90" t="s">
        <v>350</v>
      </c>
      <c r="D170" s="92" t="s">
        <v>289</v>
      </c>
      <c r="E170" s="92">
        <v>0</v>
      </c>
      <c r="F170" s="92">
        <v>147</v>
      </c>
      <c r="G170" s="92">
        <v>147</v>
      </c>
      <c r="H170" s="92">
        <v>0.79</v>
      </c>
      <c r="I170" s="92">
        <v>9.3679999999999999E-2</v>
      </c>
      <c r="J170" s="99">
        <f>+ROUND(G170*H170*I170,2)</f>
        <v>10.88</v>
      </c>
    </row>
    <row r="171" spans="1:10">
      <c r="A171" s="84"/>
      <c r="B171" s="93" t="s">
        <v>351</v>
      </c>
      <c r="C171" s="94" t="s">
        <v>352</v>
      </c>
      <c r="D171" s="96" t="s">
        <v>289</v>
      </c>
      <c r="E171" s="96">
        <v>0</v>
      </c>
      <c r="F171" s="96">
        <v>158</v>
      </c>
      <c r="G171" s="96">
        <v>158</v>
      </c>
      <c r="H171" s="96">
        <v>0.79</v>
      </c>
      <c r="I171" s="96">
        <v>0.48713000000000001</v>
      </c>
      <c r="J171" s="271">
        <f>+ROUND(G171*H171*I171,2)</f>
        <v>60.8</v>
      </c>
    </row>
    <row r="172" spans="1:10">
      <c r="A172" s="84"/>
      <c r="B172" s="93" t="s">
        <v>353</v>
      </c>
      <c r="C172" s="94" t="s">
        <v>354</v>
      </c>
      <c r="D172" s="96" t="s">
        <v>289</v>
      </c>
      <c r="E172" s="96">
        <v>0</v>
      </c>
      <c r="F172" s="96">
        <v>147</v>
      </c>
      <c r="G172" s="96">
        <v>147</v>
      </c>
      <c r="H172" s="96">
        <v>0.79</v>
      </c>
      <c r="I172" s="96">
        <v>9.3679999999999999E-2</v>
      </c>
      <c r="J172" s="271">
        <f>+ROUND(G172*H172*I172,2)</f>
        <v>10.88</v>
      </c>
    </row>
    <row r="173" spans="1:10">
      <c r="A173" s="84"/>
      <c r="B173" s="93" t="s">
        <v>355</v>
      </c>
      <c r="C173" s="94" t="s">
        <v>356</v>
      </c>
      <c r="D173" s="96" t="s">
        <v>289</v>
      </c>
      <c r="E173" s="96">
        <v>0</v>
      </c>
      <c r="F173" s="96">
        <v>56.58</v>
      </c>
      <c r="G173" s="96">
        <v>56.58</v>
      </c>
      <c r="H173" s="96">
        <v>0.6</v>
      </c>
      <c r="I173" s="96">
        <v>5.62E-2</v>
      </c>
      <c r="J173" s="271">
        <f>+ROUND(G173*H173*I173,2)</f>
        <v>1.91</v>
      </c>
    </row>
    <row r="174" spans="1:10">
      <c r="A174" s="84"/>
      <c r="B174" s="93" t="s">
        <v>357</v>
      </c>
      <c r="C174" s="94" t="s">
        <v>358</v>
      </c>
      <c r="D174" s="96" t="s">
        <v>289</v>
      </c>
      <c r="E174" s="96">
        <v>0</v>
      </c>
      <c r="F174" s="96">
        <v>147</v>
      </c>
      <c r="G174" s="96">
        <v>147</v>
      </c>
      <c r="H174" s="96">
        <v>0.79</v>
      </c>
      <c r="I174" s="96">
        <v>0.20609</v>
      </c>
      <c r="J174" s="271">
        <f>+ROUND(G174*H174*I174,2)</f>
        <v>23.93</v>
      </c>
    </row>
    <row r="175" spans="1:10">
      <c r="A175" s="84"/>
      <c r="B175" s="93" t="s">
        <v>231</v>
      </c>
      <c r="C175" s="94"/>
      <c r="D175" s="96"/>
      <c r="E175" s="96"/>
      <c r="F175" s="96"/>
      <c r="G175" s="96"/>
      <c r="H175" s="96"/>
      <c r="I175" s="96"/>
      <c r="J175" s="271"/>
    </row>
    <row r="176" spans="1:10">
      <c r="A176" s="84"/>
      <c r="B176" s="93" t="s">
        <v>231</v>
      </c>
      <c r="C176" s="94"/>
      <c r="D176" s="96"/>
      <c r="E176" s="96"/>
      <c r="F176" s="96"/>
      <c r="G176" s="96"/>
      <c r="H176" s="96"/>
      <c r="I176" s="96"/>
      <c r="J176" s="271"/>
    </row>
    <row r="177" spans="1:10">
      <c r="A177" s="84"/>
      <c r="B177" s="89"/>
      <c r="C177" s="97"/>
      <c r="D177" s="91"/>
      <c r="E177" s="91"/>
      <c r="F177" s="91"/>
      <c r="G177" s="91" t="s">
        <v>290</v>
      </c>
      <c r="H177" s="91"/>
      <c r="I177" s="91"/>
      <c r="J177" s="99">
        <f>+SUBTOTAL(9,J170:J176)</f>
        <v>108.39999999999998</v>
      </c>
    </row>
    <row r="178" spans="1:10">
      <c r="A178" s="84"/>
      <c r="B178" s="89" t="s">
        <v>291</v>
      </c>
      <c r="C178" s="97"/>
      <c r="D178" s="91"/>
      <c r="E178" s="91"/>
      <c r="F178" s="91"/>
      <c r="G178" s="91"/>
      <c r="H178" s="91"/>
      <c r="I178" s="91"/>
      <c r="J178" s="99">
        <f>+SUBTOTAL(9,J147:J176)</f>
        <v>244.67</v>
      </c>
    </row>
    <row r="179" spans="1:10">
      <c r="A179" s="84"/>
      <c r="B179" s="89" t="s">
        <v>292</v>
      </c>
      <c r="C179" s="97"/>
      <c r="D179" s="91">
        <v>0</v>
      </c>
      <c r="E179" s="91"/>
      <c r="F179" s="91"/>
      <c r="G179" s="91"/>
      <c r="H179" s="91"/>
      <c r="I179" s="91"/>
      <c r="J179" s="99">
        <f>+ROUND(J178*D179/100,2)</f>
        <v>0</v>
      </c>
    </row>
    <row r="180" spans="1:10" ht="14.4" thickBot="1">
      <c r="A180" s="84"/>
      <c r="B180" s="89" t="s">
        <v>293</v>
      </c>
      <c r="C180" s="97"/>
      <c r="D180" s="91"/>
      <c r="E180" s="91"/>
      <c r="F180" s="91"/>
      <c r="G180" s="91"/>
      <c r="H180" s="91"/>
      <c r="I180" s="91"/>
      <c r="J180" s="99">
        <f>+J178+ J179</f>
        <v>244.67</v>
      </c>
    </row>
    <row r="181" spans="1:10">
      <c r="A181" s="84"/>
      <c r="B181" s="85" t="s">
        <v>294</v>
      </c>
      <c r="C181" s="86"/>
      <c r="D181" s="88"/>
      <c r="E181" s="88"/>
      <c r="F181" s="88" t="s">
        <v>295</v>
      </c>
      <c r="G181" s="88"/>
      <c r="H181" s="88"/>
      <c r="I181" s="88" t="s">
        <v>296</v>
      </c>
      <c r="J181" s="270"/>
    </row>
    <row r="182" spans="1:10">
      <c r="A182" s="84"/>
      <c r="B182" s="93" t="s">
        <v>297</v>
      </c>
      <c r="C182" s="84"/>
      <c r="D182" s="95"/>
      <c r="E182" s="95"/>
      <c r="F182" s="95" t="s">
        <v>298</v>
      </c>
      <c r="G182" s="95"/>
      <c r="H182" s="95"/>
      <c r="I182" s="95"/>
      <c r="J182" s="276"/>
    </row>
    <row r="183" spans="1:10">
      <c r="A183" s="84"/>
      <c r="B183" s="93" t="s">
        <v>299</v>
      </c>
      <c r="C183" s="84"/>
      <c r="D183" s="95"/>
      <c r="E183" s="95"/>
      <c r="F183" s="95" t="s">
        <v>300</v>
      </c>
      <c r="G183" s="95"/>
      <c r="H183" s="95"/>
      <c r="I183" s="95"/>
      <c r="J183" s="276"/>
    </row>
    <row r="184" spans="1:10" ht="14.4" thickBot="1">
      <c r="A184" s="84"/>
      <c r="B184" s="100" t="s">
        <v>301</v>
      </c>
      <c r="C184" s="84"/>
      <c r="D184" s="95"/>
      <c r="E184" s="95"/>
      <c r="F184" s="95"/>
      <c r="G184" s="95"/>
      <c r="H184" s="95"/>
      <c r="I184" s="95"/>
      <c r="J184" s="277"/>
    </row>
    <row r="185" spans="1:10">
      <c r="A185" s="84"/>
      <c r="B185" s="86"/>
      <c r="C185" s="86"/>
      <c r="D185" s="88"/>
      <c r="E185" s="88"/>
      <c r="F185" s="88"/>
      <c r="G185" s="88"/>
      <c r="H185" s="88"/>
      <c r="I185" s="88"/>
      <c r="J185" s="88"/>
    </row>
    <row r="186" spans="1:10" ht="14.4" thickBot="1">
      <c r="A186" s="84"/>
      <c r="B186" s="84"/>
      <c r="C186" s="84"/>
      <c r="D186" s="95"/>
      <c r="E186" s="95"/>
      <c r="F186" s="95"/>
      <c r="G186" s="95"/>
      <c r="H186" s="95"/>
      <c r="I186" s="95"/>
      <c r="J186" s="95"/>
    </row>
    <row r="187" spans="1:10">
      <c r="A187" s="84"/>
      <c r="B187" s="85"/>
      <c r="C187" s="86"/>
      <c r="D187" s="87" t="s">
        <v>227</v>
      </c>
      <c r="E187" s="87"/>
      <c r="F187" s="87"/>
      <c r="G187" s="88"/>
      <c r="H187" s="88"/>
      <c r="I187" s="88"/>
      <c r="J187" s="270"/>
    </row>
    <row r="188" spans="1:10">
      <c r="A188" s="84"/>
      <c r="B188" s="89" t="s">
        <v>228</v>
      </c>
      <c r="C188" s="90" t="s">
        <v>92</v>
      </c>
      <c r="D188" s="91"/>
      <c r="E188" s="91"/>
      <c r="F188" s="91"/>
      <c r="G188" s="91"/>
      <c r="H188" s="92" t="s">
        <v>229</v>
      </c>
      <c r="I188" s="91"/>
      <c r="J188" s="99" t="s">
        <v>230</v>
      </c>
    </row>
    <row r="189" spans="1:10">
      <c r="A189" s="84"/>
      <c r="B189" s="93" t="s">
        <v>231</v>
      </c>
      <c r="C189" s="94" t="s">
        <v>359</v>
      </c>
      <c r="D189" s="95"/>
      <c r="E189" s="95"/>
      <c r="F189" s="95"/>
      <c r="G189" s="95"/>
      <c r="H189" s="96" t="s">
        <v>233</v>
      </c>
      <c r="I189" s="95"/>
      <c r="J189" s="271" t="s">
        <v>234</v>
      </c>
    </row>
    <row r="190" spans="1:10">
      <c r="A190" s="84"/>
      <c r="B190" s="89"/>
      <c r="C190" s="90"/>
      <c r="D190" s="91"/>
      <c r="E190" s="92"/>
      <c r="F190" s="92" t="s">
        <v>235</v>
      </c>
      <c r="G190" s="92"/>
      <c r="H190" s="92" t="s">
        <v>236</v>
      </c>
      <c r="I190" s="92"/>
      <c r="J190" s="99" t="s">
        <v>237</v>
      </c>
    </row>
    <row r="191" spans="1:10">
      <c r="A191" s="84"/>
      <c r="B191" s="93" t="s">
        <v>228</v>
      </c>
      <c r="C191" s="94" t="s">
        <v>238</v>
      </c>
      <c r="D191" s="95"/>
      <c r="E191" s="96" t="s">
        <v>239</v>
      </c>
      <c r="F191" s="92" t="s">
        <v>240</v>
      </c>
      <c r="G191" s="92" t="s">
        <v>241</v>
      </c>
      <c r="H191" s="92" t="s">
        <v>240</v>
      </c>
      <c r="I191" s="272" t="s">
        <v>241</v>
      </c>
      <c r="J191" s="271" t="s">
        <v>242</v>
      </c>
    </row>
    <row r="192" spans="1:10">
      <c r="A192" s="84"/>
      <c r="B192" s="273" t="s">
        <v>360</v>
      </c>
      <c r="C192" s="90" t="s">
        <v>361</v>
      </c>
      <c r="D192" s="91"/>
      <c r="E192" s="92">
        <v>1</v>
      </c>
      <c r="F192" s="92">
        <v>1</v>
      </c>
      <c r="G192" s="92">
        <v>0</v>
      </c>
      <c r="H192" s="92">
        <v>5.38</v>
      </c>
      <c r="I192" s="92">
        <v>0.46</v>
      </c>
      <c r="J192" s="99">
        <f>+ROUND(E192* ((F192*H192) + (G192*I192)),2)</f>
        <v>5.38</v>
      </c>
    </row>
    <row r="193" spans="1:10">
      <c r="A193" s="84"/>
      <c r="B193" s="274" t="s">
        <v>362</v>
      </c>
      <c r="C193" s="94" t="s">
        <v>363</v>
      </c>
      <c r="D193" s="95"/>
      <c r="E193" s="96">
        <v>1</v>
      </c>
      <c r="F193" s="96">
        <v>0.18</v>
      </c>
      <c r="G193" s="96">
        <v>0.82</v>
      </c>
      <c r="H193" s="96">
        <v>335.88</v>
      </c>
      <c r="I193" s="96">
        <v>83.61</v>
      </c>
      <c r="J193" s="271">
        <f>+ROUND(E193* ((F193*H193) + (G193*I193)),2)</f>
        <v>129.02000000000001</v>
      </c>
    </row>
    <row r="194" spans="1:10">
      <c r="A194" s="84"/>
      <c r="B194" s="274" t="s">
        <v>364</v>
      </c>
      <c r="C194" s="94" t="s">
        <v>365</v>
      </c>
      <c r="D194" s="95"/>
      <c r="E194" s="96">
        <v>1</v>
      </c>
      <c r="F194" s="96">
        <v>1</v>
      </c>
      <c r="G194" s="96">
        <v>0</v>
      </c>
      <c r="H194" s="96">
        <v>1414.12</v>
      </c>
      <c r="I194" s="96">
        <v>477.51</v>
      </c>
      <c r="J194" s="271">
        <f>+ROUND(E194* ((F194*H194) + (G194*I194)),2)</f>
        <v>1414.12</v>
      </c>
    </row>
    <row r="195" spans="1:10">
      <c r="A195" s="84"/>
      <c r="B195" s="274" t="s">
        <v>366</v>
      </c>
      <c r="C195" s="94" t="s">
        <v>367</v>
      </c>
      <c r="D195" s="95"/>
      <c r="E195" s="96">
        <v>2</v>
      </c>
      <c r="F195" s="96">
        <v>0.56999999999999995</v>
      </c>
      <c r="G195" s="96">
        <v>0.43</v>
      </c>
      <c r="H195" s="96">
        <v>160.34</v>
      </c>
      <c r="I195" s="96">
        <v>67.09</v>
      </c>
      <c r="J195" s="271">
        <f>+ROUND(E195* ((F195*H195) + (G195*I195)),2)</f>
        <v>240.49</v>
      </c>
    </row>
    <row r="196" spans="1:10">
      <c r="A196" s="84"/>
      <c r="B196" s="93" t="s">
        <v>231</v>
      </c>
      <c r="C196" s="94"/>
      <c r="D196" s="95"/>
      <c r="E196" s="96"/>
      <c r="F196" s="96"/>
      <c r="G196" s="96"/>
      <c r="H196" s="96"/>
      <c r="I196" s="96"/>
      <c r="J196" s="271"/>
    </row>
    <row r="197" spans="1:10">
      <c r="A197" s="84"/>
      <c r="B197" s="93" t="s">
        <v>231</v>
      </c>
      <c r="C197" s="94"/>
      <c r="D197" s="95"/>
      <c r="E197" s="96"/>
      <c r="F197" s="96"/>
      <c r="G197" s="96"/>
      <c r="H197" s="96"/>
      <c r="I197" s="96"/>
      <c r="J197" s="271"/>
    </row>
    <row r="198" spans="1:10">
      <c r="A198" s="84"/>
      <c r="B198" s="93" t="s">
        <v>231</v>
      </c>
      <c r="C198" s="94"/>
      <c r="D198" s="95"/>
      <c r="E198" s="96"/>
      <c r="F198" s="96"/>
      <c r="G198" s="96"/>
      <c r="H198" s="96"/>
      <c r="I198" s="96"/>
      <c r="J198" s="271"/>
    </row>
    <row r="199" spans="1:10">
      <c r="A199" s="84"/>
      <c r="B199" s="89"/>
      <c r="C199" s="97"/>
      <c r="D199" s="91"/>
      <c r="E199" s="91"/>
      <c r="F199" s="91"/>
      <c r="G199" s="91" t="s">
        <v>249</v>
      </c>
      <c r="H199" s="91"/>
      <c r="I199" s="91"/>
      <c r="J199" s="99">
        <f>+SUBTOTAL(9,J192:J198)</f>
        <v>1789.01</v>
      </c>
    </row>
    <row r="200" spans="1:10">
      <c r="A200" s="84"/>
      <c r="B200" s="89" t="s">
        <v>228</v>
      </c>
      <c r="C200" s="90" t="s">
        <v>250</v>
      </c>
      <c r="D200" s="91"/>
      <c r="E200" s="91"/>
      <c r="F200" s="91"/>
      <c r="G200" s="91"/>
      <c r="H200" s="92" t="s">
        <v>239</v>
      </c>
      <c r="I200" s="92" t="s">
        <v>251</v>
      </c>
      <c r="J200" s="99" t="s">
        <v>252</v>
      </c>
    </row>
    <row r="201" spans="1:10">
      <c r="A201" s="84"/>
      <c r="B201" s="89" t="s">
        <v>253</v>
      </c>
      <c r="C201" s="90" t="s">
        <v>254</v>
      </c>
      <c r="D201" s="91"/>
      <c r="E201" s="91"/>
      <c r="F201" s="91"/>
      <c r="G201" s="91"/>
      <c r="H201" s="92">
        <v>3</v>
      </c>
      <c r="I201" s="92">
        <v>21.04</v>
      </c>
      <c r="J201" s="99">
        <f>+ROUND(H201*I201,2)</f>
        <v>63.12</v>
      </c>
    </row>
    <row r="202" spans="1:10">
      <c r="A202" s="84"/>
      <c r="B202" s="93" t="s">
        <v>231</v>
      </c>
      <c r="C202" s="94"/>
      <c r="D202" s="95"/>
      <c r="E202" s="95"/>
      <c r="F202" s="95"/>
      <c r="G202" s="95"/>
      <c r="H202" s="96"/>
      <c r="I202" s="96"/>
      <c r="J202" s="271"/>
    </row>
    <row r="203" spans="1:10">
      <c r="A203" s="84"/>
      <c r="B203" s="93" t="s">
        <v>231</v>
      </c>
      <c r="C203" s="94"/>
      <c r="D203" s="95"/>
      <c r="E203" s="95"/>
      <c r="F203" s="95"/>
      <c r="G203" s="95"/>
      <c r="H203" s="96"/>
      <c r="I203" s="96"/>
      <c r="J203" s="271"/>
    </row>
    <row r="204" spans="1:10">
      <c r="A204" s="84"/>
      <c r="B204" s="93" t="s">
        <v>231</v>
      </c>
      <c r="C204" s="94"/>
      <c r="D204" s="95"/>
      <c r="E204" s="95"/>
      <c r="F204" s="95"/>
      <c r="G204" s="95"/>
      <c r="H204" s="96"/>
      <c r="I204" s="96"/>
      <c r="J204" s="271"/>
    </row>
    <row r="205" spans="1:10">
      <c r="A205" s="84"/>
      <c r="B205" s="93" t="s">
        <v>231</v>
      </c>
      <c r="C205" s="94"/>
      <c r="D205" s="95"/>
      <c r="E205" s="95"/>
      <c r="F205" s="95"/>
      <c r="G205" s="95"/>
      <c r="H205" s="96"/>
      <c r="I205" s="96"/>
      <c r="J205" s="271"/>
    </row>
    <row r="206" spans="1:10">
      <c r="A206" s="84"/>
      <c r="B206" s="93" t="s">
        <v>231</v>
      </c>
      <c r="C206" s="94"/>
      <c r="D206" s="95"/>
      <c r="E206" s="95"/>
      <c r="F206" s="95"/>
      <c r="G206" s="95"/>
      <c r="H206" s="96"/>
      <c r="I206" s="96"/>
      <c r="J206" s="271"/>
    </row>
    <row r="207" spans="1:10">
      <c r="A207" s="84"/>
      <c r="B207" s="93" t="s">
        <v>231</v>
      </c>
      <c r="C207" s="94"/>
      <c r="D207" s="95"/>
      <c r="E207" s="95"/>
      <c r="F207" s="95"/>
      <c r="G207" s="95"/>
      <c r="H207" s="96"/>
      <c r="I207" s="96"/>
      <c r="J207" s="271"/>
    </row>
    <row r="208" spans="1:10">
      <c r="A208" s="84"/>
      <c r="B208" s="89"/>
      <c r="C208" s="97"/>
      <c r="D208" s="91"/>
      <c r="E208" s="91"/>
      <c r="F208" s="91"/>
      <c r="G208" s="91" t="s">
        <v>255</v>
      </c>
      <c r="H208" s="91"/>
      <c r="I208" s="91"/>
      <c r="J208" s="99">
        <f>+SUBTOTAL(9,J201:J207)</f>
        <v>63.12</v>
      </c>
    </row>
    <row r="209" spans="1:10">
      <c r="A209" s="84"/>
      <c r="B209" s="89"/>
      <c r="C209" s="97"/>
      <c r="D209" s="91"/>
      <c r="E209" s="91"/>
      <c r="F209" s="91" t="s">
        <v>256</v>
      </c>
      <c r="G209" s="91"/>
      <c r="H209" s="91"/>
      <c r="I209" s="91">
        <v>0</v>
      </c>
      <c r="J209" s="99">
        <f>+ROUND(I209*J208,2)</f>
        <v>0</v>
      </c>
    </row>
    <row r="210" spans="1:10">
      <c r="A210" s="84"/>
      <c r="B210" s="89"/>
      <c r="C210" s="97"/>
      <c r="D210" s="91"/>
      <c r="E210" s="91"/>
      <c r="F210" s="91" t="s">
        <v>257</v>
      </c>
      <c r="G210" s="91"/>
      <c r="H210" s="91"/>
      <c r="I210" s="91"/>
      <c r="J210" s="99">
        <f>+SUBTOTAL(9,J201:J209)</f>
        <v>63.12</v>
      </c>
    </row>
    <row r="211" spans="1:10">
      <c r="A211" s="84"/>
      <c r="B211" s="98"/>
      <c r="C211" s="97"/>
      <c r="D211" s="91"/>
      <c r="E211" s="91"/>
      <c r="F211" s="91"/>
      <c r="G211" s="91" t="s">
        <v>258</v>
      </c>
      <c r="H211" s="91"/>
      <c r="I211" s="91"/>
      <c r="J211" s="275">
        <f>+SUBTOTAL(9,J192:J210)</f>
        <v>1852.1299999999999</v>
      </c>
    </row>
    <row r="212" spans="1:10">
      <c r="A212" s="84"/>
      <c r="B212" s="98"/>
      <c r="C212" s="97" t="s">
        <v>259</v>
      </c>
      <c r="D212" s="91">
        <v>34.69</v>
      </c>
      <c r="E212" s="91"/>
      <c r="F212" s="91"/>
      <c r="G212" s="91" t="s">
        <v>260</v>
      </c>
      <c r="H212" s="91"/>
      <c r="I212" s="91"/>
      <c r="J212" s="275">
        <f>+ROUND(J211/D212,2)</f>
        <v>53.39</v>
      </c>
    </row>
    <row r="213" spans="1:10">
      <c r="A213" s="84"/>
      <c r="B213" s="89" t="s">
        <v>228</v>
      </c>
      <c r="C213" s="90" t="s">
        <v>261</v>
      </c>
      <c r="D213" s="91"/>
      <c r="E213" s="91"/>
      <c r="F213" s="91"/>
      <c r="G213" s="92" t="s">
        <v>230</v>
      </c>
      <c r="H213" s="92" t="s">
        <v>262</v>
      </c>
      <c r="I213" s="92" t="s">
        <v>263</v>
      </c>
      <c r="J213" s="99" t="s">
        <v>264</v>
      </c>
    </row>
    <row r="214" spans="1:10">
      <c r="A214" s="84"/>
      <c r="B214" s="89" t="s">
        <v>368</v>
      </c>
      <c r="C214" s="90" t="s">
        <v>369</v>
      </c>
      <c r="D214" s="91"/>
      <c r="E214" s="91"/>
      <c r="F214" s="91"/>
      <c r="G214" s="92" t="s">
        <v>267</v>
      </c>
      <c r="H214" s="92">
        <v>42.34</v>
      </c>
      <c r="I214" s="92">
        <v>1.08</v>
      </c>
      <c r="J214" s="99">
        <f>+ROUND(H214*I214,2)</f>
        <v>45.73</v>
      </c>
    </row>
    <row r="215" spans="1:10">
      <c r="A215" s="84"/>
      <c r="B215" s="93" t="s">
        <v>370</v>
      </c>
      <c r="C215" s="94" t="s">
        <v>371</v>
      </c>
      <c r="D215" s="95"/>
      <c r="E215" s="95"/>
      <c r="F215" s="95"/>
      <c r="G215" s="96" t="s">
        <v>267</v>
      </c>
      <c r="H215" s="96">
        <v>463.58</v>
      </c>
      <c r="I215" s="96">
        <v>1.6000000000000001E-3</v>
      </c>
      <c r="J215" s="271">
        <f>+ROUND(H215*I215,2)</f>
        <v>0.74</v>
      </c>
    </row>
    <row r="216" spans="1:10">
      <c r="A216" s="84"/>
      <c r="B216" s="93" t="s">
        <v>372</v>
      </c>
      <c r="C216" s="94" t="s">
        <v>373</v>
      </c>
      <c r="D216" s="95"/>
      <c r="E216" s="95"/>
      <c r="F216" s="95"/>
      <c r="G216" s="96" t="s">
        <v>270</v>
      </c>
      <c r="H216" s="96">
        <v>5.85</v>
      </c>
      <c r="I216" s="96">
        <v>2.4</v>
      </c>
      <c r="J216" s="271">
        <f>+ROUND(H216*I216,2)</f>
        <v>14.04</v>
      </c>
    </row>
    <row r="217" spans="1:10">
      <c r="A217" s="84"/>
      <c r="B217" s="93" t="s">
        <v>231</v>
      </c>
      <c r="C217" s="94"/>
      <c r="D217" s="95"/>
      <c r="E217" s="95"/>
      <c r="F217" s="95"/>
      <c r="G217" s="96"/>
      <c r="H217" s="96"/>
      <c r="I217" s="96"/>
      <c r="J217" s="271"/>
    </row>
    <row r="218" spans="1:10">
      <c r="A218" s="84"/>
      <c r="B218" s="93" t="s">
        <v>231</v>
      </c>
      <c r="C218" s="94"/>
      <c r="D218" s="95"/>
      <c r="E218" s="95"/>
      <c r="F218" s="95"/>
      <c r="G218" s="96"/>
      <c r="H218" s="96"/>
      <c r="I218" s="96"/>
      <c r="J218" s="271"/>
    </row>
    <row r="219" spans="1:10">
      <c r="A219" s="84"/>
      <c r="B219" s="93" t="s">
        <v>231</v>
      </c>
      <c r="C219" s="94"/>
      <c r="D219" s="95"/>
      <c r="E219" s="95"/>
      <c r="F219" s="95"/>
      <c r="G219" s="96"/>
      <c r="H219" s="96"/>
      <c r="I219" s="96"/>
      <c r="J219" s="271"/>
    </row>
    <row r="220" spans="1:10">
      <c r="A220" s="84"/>
      <c r="B220" s="93" t="s">
        <v>231</v>
      </c>
      <c r="C220" s="94"/>
      <c r="D220" s="95"/>
      <c r="E220" s="95"/>
      <c r="F220" s="95"/>
      <c r="G220" s="96"/>
      <c r="H220" s="96"/>
      <c r="I220" s="96"/>
      <c r="J220" s="271"/>
    </row>
    <row r="221" spans="1:10">
      <c r="A221" s="84"/>
      <c r="B221" s="89"/>
      <c r="C221" s="97"/>
      <c r="D221" s="91"/>
      <c r="E221" s="91"/>
      <c r="F221" s="91"/>
      <c r="G221" s="91" t="s">
        <v>275</v>
      </c>
      <c r="H221" s="91"/>
      <c r="I221" s="91"/>
      <c r="J221" s="99">
        <f>+SUBTOTAL(9,J214:J220)</f>
        <v>60.51</v>
      </c>
    </row>
    <row r="222" spans="1:10">
      <c r="A222" s="84"/>
      <c r="B222" s="89" t="s">
        <v>228</v>
      </c>
      <c r="C222" s="90" t="s">
        <v>276</v>
      </c>
      <c r="D222" s="91"/>
      <c r="E222" s="91"/>
      <c r="F222" s="91"/>
      <c r="G222" s="92" t="s">
        <v>230</v>
      </c>
      <c r="H222" s="92" t="s">
        <v>262</v>
      </c>
      <c r="I222" s="92" t="s">
        <v>263</v>
      </c>
      <c r="J222" s="99" t="s">
        <v>264</v>
      </c>
    </row>
    <row r="223" spans="1:10">
      <c r="A223" s="84"/>
      <c r="B223" s="89" t="s">
        <v>231</v>
      </c>
      <c r="C223" s="90"/>
      <c r="D223" s="91"/>
      <c r="E223" s="91"/>
      <c r="F223" s="91"/>
      <c r="G223" s="92"/>
      <c r="H223" s="92"/>
      <c r="I223" s="92"/>
      <c r="J223" s="99"/>
    </row>
    <row r="224" spans="1:10">
      <c r="A224" s="84"/>
      <c r="B224" s="93" t="s">
        <v>231</v>
      </c>
      <c r="C224" s="94"/>
      <c r="D224" s="95"/>
      <c r="E224" s="95"/>
      <c r="F224" s="95"/>
      <c r="G224" s="96"/>
      <c r="H224" s="96"/>
      <c r="I224" s="96"/>
      <c r="J224" s="271"/>
    </row>
    <row r="225" spans="1:10">
      <c r="A225" s="84"/>
      <c r="B225" s="93" t="s">
        <v>231</v>
      </c>
      <c r="C225" s="94"/>
      <c r="D225" s="95"/>
      <c r="E225" s="95"/>
      <c r="F225" s="95"/>
      <c r="G225" s="96"/>
      <c r="H225" s="96"/>
      <c r="I225" s="96"/>
      <c r="J225" s="271"/>
    </row>
    <row r="226" spans="1:10">
      <c r="A226" s="84"/>
      <c r="B226" s="93" t="s">
        <v>231</v>
      </c>
      <c r="C226" s="94"/>
      <c r="D226" s="95"/>
      <c r="E226" s="95"/>
      <c r="F226" s="95"/>
      <c r="G226" s="96"/>
      <c r="H226" s="96"/>
      <c r="I226" s="96"/>
      <c r="J226" s="271"/>
    </row>
    <row r="227" spans="1:10">
      <c r="A227" s="84"/>
      <c r="B227" s="93" t="s">
        <v>231</v>
      </c>
      <c r="C227" s="94"/>
      <c r="D227" s="95"/>
      <c r="E227" s="95"/>
      <c r="F227" s="95"/>
      <c r="G227" s="96"/>
      <c r="H227" s="96"/>
      <c r="I227" s="96"/>
      <c r="J227" s="271"/>
    </row>
    <row r="228" spans="1:10">
      <c r="A228" s="84"/>
      <c r="B228" s="89"/>
      <c r="C228" s="97"/>
      <c r="D228" s="91"/>
      <c r="E228" s="91"/>
      <c r="F228" s="91"/>
      <c r="G228" s="91" t="s">
        <v>279</v>
      </c>
      <c r="H228" s="91"/>
      <c r="I228" s="91"/>
      <c r="J228" s="99">
        <f>+SUBTOTAL(9,J223:J227)</f>
        <v>0</v>
      </c>
    </row>
    <row r="229" spans="1:10">
      <c r="A229" s="84"/>
      <c r="B229" s="89" t="s">
        <v>228</v>
      </c>
      <c r="C229" s="90" t="s">
        <v>280</v>
      </c>
      <c r="D229" s="92" t="s">
        <v>281</v>
      </c>
      <c r="E229" s="92" t="s">
        <v>282</v>
      </c>
      <c r="F229" s="92" t="s">
        <v>283</v>
      </c>
      <c r="G229" s="92" t="s">
        <v>284</v>
      </c>
      <c r="H229" s="92" t="s">
        <v>285</v>
      </c>
      <c r="I229" s="92" t="s">
        <v>263</v>
      </c>
      <c r="J229" s="99" t="s">
        <v>286</v>
      </c>
    </row>
    <row r="230" spans="1:10">
      <c r="A230" s="84"/>
      <c r="B230" s="89" t="s">
        <v>287</v>
      </c>
      <c r="C230" s="90" t="s">
        <v>288</v>
      </c>
      <c r="D230" s="92" t="s">
        <v>289</v>
      </c>
      <c r="E230" s="92">
        <v>0</v>
      </c>
      <c r="F230" s="92">
        <v>25</v>
      </c>
      <c r="G230" s="92">
        <v>25</v>
      </c>
      <c r="H230" s="92">
        <v>0.85</v>
      </c>
      <c r="I230" s="92">
        <v>2.4</v>
      </c>
      <c r="J230" s="99">
        <f>+ROUND(G230*H230*I230,2)</f>
        <v>51</v>
      </c>
    </row>
    <row r="231" spans="1:10">
      <c r="A231" s="84"/>
      <c r="B231" s="93" t="s">
        <v>231</v>
      </c>
      <c r="C231" s="94"/>
      <c r="D231" s="96"/>
      <c r="E231" s="96"/>
      <c r="F231" s="96"/>
      <c r="G231" s="96"/>
      <c r="H231" s="96"/>
      <c r="I231" s="96"/>
      <c r="J231" s="271"/>
    </row>
    <row r="232" spans="1:10">
      <c r="A232" s="84"/>
      <c r="B232" s="93" t="s">
        <v>231</v>
      </c>
      <c r="C232" s="94"/>
      <c r="D232" s="96"/>
      <c r="E232" s="96"/>
      <c r="F232" s="96"/>
      <c r="G232" s="96"/>
      <c r="H232" s="96"/>
      <c r="I232" s="96"/>
      <c r="J232" s="271"/>
    </row>
    <row r="233" spans="1:10">
      <c r="A233" s="84"/>
      <c r="B233" s="93" t="s">
        <v>231</v>
      </c>
      <c r="C233" s="94"/>
      <c r="D233" s="96"/>
      <c r="E233" s="96"/>
      <c r="F233" s="96"/>
      <c r="G233" s="96"/>
      <c r="H233" s="96"/>
      <c r="I233" s="96"/>
      <c r="J233" s="271"/>
    </row>
    <row r="234" spans="1:10">
      <c r="A234" s="84"/>
      <c r="B234" s="93" t="s">
        <v>231</v>
      </c>
      <c r="C234" s="94"/>
      <c r="D234" s="96"/>
      <c r="E234" s="96"/>
      <c r="F234" s="96"/>
      <c r="G234" s="96"/>
      <c r="H234" s="96"/>
      <c r="I234" s="96"/>
      <c r="J234" s="271"/>
    </row>
    <row r="235" spans="1:10">
      <c r="A235" s="84"/>
      <c r="B235" s="93" t="s">
        <v>231</v>
      </c>
      <c r="C235" s="94"/>
      <c r="D235" s="96"/>
      <c r="E235" s="96"/>
      <c r="F235" s="96"/>
      <c r="G235" s="96"/>
      <c r="H235" s="96"/>
      <c r="I235" s="96"/>
      <c r="J235" s="271"/>
    </row>
    <row r="236" spans="1:10">
      <c r="A236" s="84"/>
      <c r="B236" s="93" t="s">
        <v>231</v>
      </c>
      <c r="C236" s="94"/>
      <c r="D236" s="96"/>
      <c r="E236" s="96"/>
      <c r="F236" s="96"/>
      <c r="G236" s="96"/>
      <c r="H236" s="96"/>
      <c r="I236" s="96"/>
      <c r="J236" s="271"/>
    </row>
    <row r="237" spans="1:10">
      <c r="A237" s="84"/>
      <c r="B237" s="89"/>
      <c r="C237" s="97"/>
      <c r="D237" s="91"/>
      <c r="E237" s="91"/>
      <c r="F237" s="91"/>
      <c r="G237" s="91" t="s">
        <v>290</v>
      </c>
      <c r="H237" s="91"/>
      <c r="I237" s="91"/>
      <c r="J237" s="99">
        <f>+SUBTOTAL(9,J230:J236)</f>
        <v>51</v>
      </c>
    </row>
    <row r="238" spans="1:10">
      <c r="A238" s="84"/>
      <c r="B238" s="89" t="s">
        <v>291</v>
      </c>
      <c r="C238" s="97"/>
      <c r="D238" s="91"/>
      <c r="E238" s="91"/>
      <c r="F238" s="91"/>
      <c r="G238" s="91"/>
      <c r="H238" s="91"/>
      <c r="I238" s="91"/>
      <c r="J238" s="99">
        <f>+SUBTOTAL(9,J212:J236)</f>
        <v>164.9</v>
      </c>
    </row>
    <row r="239" spans="1:10">
      <c r="A239" s="84"/>
      <c r="B239" s="89" t="s">
        <v>292</v>
      </c>
      <c r="C239" s="97"/>
      <c r="D239" s="91">
        <v>0</v>
      </c>
      <c r="E239" s="91"/>
      <c r="F239" s="91"/>
      <c r="G239" s="91"/>
      <c r="H239" s="91"/>
      <c r="I239" s="91"/>
      <c r="J239" s="99">
        <f>+ROUND(J238*D239/100,2)</f>
        <v>0</v>
      </c>
    </row>
    <row r="240" spans="1:10" ht="14.4" thickBot="1">
      <c r="A240" s="84"/>
      <c r="B240" s="89" t="s">
        <v>293</v>
      </c>
      <c r="C240" s="97"/>
      <c r="D240" s="91"/>
      <c r="E240" s="91"/>
      <c r="F240" s="91"/>
      <c r="G240" s="91"/>
      <c r="H240" s="91"/>
      <c r="I240" s="91"/>
      <c r="J240" s="99">
        <f>+J238+ J239</f>
        <v>164.9</v>
      </c>
    </row>
    <row r="241" spans="1:10">
      <c r="A241" s="84"/>
      <c r="B241" s="85" t="s">
        <v>294</v>
      </c>
      <c r="C241" s="86"/>
      <c r="D241" s="88"/>
      <c r="E241" s="88"/>
      <c r="F241" s="88" t="s">
        <v>295</v>
      </c>
      <c r="G241" s="88"/>
      <c r="H241" s="88"/>
      <c r="I241" s="88" t="s">
        <v>296</v>
      </c>
      <c r="J241" s="270"/>
    </row>
    <row r="242" spans="1:10">
      <c r="A242" s="84"/>
      <c r="B242" s="93" t="s">
        <v>297</v>
      </c>
      <c r="C242" s="84"/>
      <c r="D242" s="95"/>
      <c r="E242" s="95"/>
      <c r="F242" s="95" t="s">
        <v>298</v>
      </c>
      <c r="G242" s="95"/>
      <c r="H242" s="95"/>
      <c r="I242" s="95"/>
      <c r="J242" s="276"/>
    </row>
    <row r="243" spans="1:10">
      <c r="A243" s="84"/>
      <c r="B243" s="93" t="s">
        <v>299</v>
      </c>
      <c r="C243" s="84"/>
      <c r="D243" s="95"/>
      <c r="E243" s="95"/>
      <c r="F243" s="95" t="s">
        <v>300</v>
      </c>
      <c r="G243" s="95"/>
      <c r="H243" s="95"/>
      <c r="I243" s="95"/>
      <c r="J243" s="276"/>
    </row>
    <row r="244" spans="1:10" ht="14.4" thickBot="1">
      <c r="A244" s="84"/>
      <c r="B244" s="100" t="s">
        <v>301</v>
      </c>
      <c r="C244" s="84"/>
      <c r="D244" s="95"/>
      <c r="E244" s="95"/>
      <c r="F244" s="95"/>
      <c r="G244" s="95"/>
      <c r="H244" s="95"/>
      <c r="I244" s="95"/>
      <c r="J244" s="277"/>
    </row>
    <row r="245" spans="1:10">
      <c r="A245" s="84"/>
      <c r="B245" s="86"/>
      <c r="C245" s="86"/>
      <c r="D245" s="88"/>
      <c r="E245" s="88"/>
      <c r="F245" s="88"/>
      <c r="G245" s="88"/>
      <c r="H245" s="88"/>
      <c r="I245" s="88"/>
      <c r="J245" s="88"/>
    </row>
    <row r="246" spans="1:10" ht="14.4" thickBot="1">
      <c r="A246" s="84"/>
      <c r="B246" s="84"/>
      <c r="C246" s="84"/>
      <c r="D246" s="95"/>
      <c r="E246" s="95"/>
      <c r="F246" s="95"/>
      <c r="G246" s="95"/>
      <c r="H246" s="95"/>
      <c r="I246" s="95"/>
      <c r="J246" s="95"/>
    </row>
    <row r="247" spans="1:10">
      <c r="A247" s="84"/>
      <c r="B247" s="85"/>
      <c r="C247" s="86"/>
      <c r="D247" s="87" t="s">
        <v>227</v>
      </c>
      <c r="E247" s="87"/>
      <c r="F247" s="87"/>
      <c r="G247" s="88"/>
      <c r="H247" s="88"/>
      <c r="I247" s="88"/>
      <c r="J247" s="270"/>
    </row>
    <row r="248" spans="1:10">
      <c r="A248" s="84"/>
      <c r="B248" s="89" t="s">
        <v>228</v>
      </c>
      <c r="C248" s="90" t="s">
        <v>92</v>
      </c>
      <c r="D248" s="91"/>
      <c r="E248" s="91"/>
      <c r="F248" s="91"/>
      <c r="G248" s="91"/>
      <c r="H248" s="92" t="s">
        <v>229</v>
      </c>
      <c r="I248" s="91"/>
      <c r="J248" s="99" t="s">
        <v>230</v>
      </c>
    </row>
    <row r="249" spans="1:10">
      <c r="A249" s="84"/>
      <c r="B249" s="93" t="s">
        <v>231</v>
      </c>
      <c r="C249" s="94" t="s">
        <v>374</v>
      </c>
      <c r="D249" s="95"/>
      <c r="E249" s="95"/>
      <c r="F249" s="95"/>
      <c r="G249" s="95"/>
      <c r="H249" s="96" t="s">
        <v>233</v>
      </c>
      <c r="I249" s="95"/>
      <c r="J249" s="271" t="s">
        <v>375</v>
      </c>
    </row>
    <row r="250" spans="1:10">
      <c r="A250" s="84"/>
      <c r="B250" s="89"/>
      <c r="C250" s="90"/>
      <c r="D250" s="91"/>
      <c r="E250" s="92"/>
      <c r="F250" s="92" t="s">
        <v>235</v>
      </c>
      <c r="G250" s="92"/>
      <c r="H250" s="92" t="s">
        <v>236</v>
      </c>
      <c r="I250" s="92"/>
      <c r="J250" s="99" t="s">
        <v>237</v>
      </c>
    </row>
    <row r="251" spans="1:10">
      <c r="A251" s="84"/>
      <c r="B251" s="93" t="s">
        <v>228</v>
      </c>
      <c r="C251" s="94" t="s">
        <v>238</v>
      </c>
      <c r="D251" s="95"/>
      <c r="E251" s="96" t="s">
        <v>239</v>
      </c>
      <c r="F251" s="92" t="s">
        <v>240</v>
      </c>
      <c r="G251" s="92" t="s">
        <v>241</v>
      </c>
      <c r="H251" s="92" t="s">
        <v>240</v>
      </c>
      <c r="I251" s="272" t="s">
        <v>241</v>
      </c>
      <c r="J251" s="271" t="s">
        <v>242</v>
      </c>
    </row>
    <row r="252" spans="1:10">
      <c r="A252" s="84"/>
      <c r="B252" s="273" t="s">
        <v>376</v>
      </c>
      <c r="C252" s="90" t="s">
        <v>377</v>
      </c>
      <c r="D252" s="91"/>
      <c r="E252" s="92">
        <v>1</v>
      </c>
      <c r="F252" s="92">
        <v>1</v>
      </c>
      <c r="G252" s="92">
        <v>0</v>
      </c>
      <c r="H252" s="92">
        <v>269.39</v>
      </c>
      <c r="I252" s="92">
        <v>74.25</v>
      </c>
      <c r="J252" s="99">
        <f>+ROUND(E252* ((F252*H252) + (G252*I252)),2)</f>
        <v>269.39</v>
      </c>
    </row>
    <row r="253" spans="1:10">
      <c r="A253" s="84"/>
      <c r="B253" s="274" t="s">
        <v>316</v>
      </c>
      <c r="C253" s="94" t="s">
        <v>317</v>
      </c>
      <c r="D253" s="95"/>
      <c r="E253" s="96">
        <v>2</v>
      </c>
      <c r="F253" s="96">
        <v>1</v>
      </c>
      <c r="G253" s="96">
        <v>0</v>
      </c>
      <c r="H253" s="96">
        <v>54.88</v>
      </c>
      <c r="I253" s="96">
        <v>37.49</v>
      </c>
      <c r="J253" s="271">
        <f>+ROUND(E253* ((F253*H253) + (G253*I253)),2)</f>
        <v>109.76</v>
      </c>
    </row>
    <row r="254" spans="1:10">
      <c r="A254" s="84"/>
      <c r="B254" s="93" t="s">
        <v>231</v>
      </c>
      <c r="C254" s="94"/>
      <c r="D254" s="95"/>
      <c r="E254" s="96"/>
      <c r="F254" s="96"/>
      <c r="G254" s="96"/>
      <c r="H254" s="96"/>
      <c r="I254" s="96"/>
      <c r="J254" s="271"/>
    </row>
    <row r="255" spans="1:10">
      <c r="A255" s="84"/>
      <c r="B255" s="93" t="s">
        <v>231</v>
      </c>
      <c r="C255" s="94"/>
      <c r="D255" s="95"/>
      <c r="E255" s="96"/>
      <c r="F255" s="96"/>
      <c r="G255" s="96"/>
      <c r="H255" s="96"/>
      <c r="I255" s="96"/>
      <c r="J255" s="271"/>
    </row>
    <row r="256" spans="1:10">
      <c r="A256" s="84"/>
      <c r="B256" s="93" t="s">
        <v>231</v>
      </c>
      <c r="C256" s="94"/>
      <c r="D256" s="95"/>
      <c r="E256" s="96"/>
      <c r="F256" s="96"/>
      <c r="G256" s="96"/>
      <c r="H256" s="96"/>
      <c r="I256" s="96"/>
      <c r="J256" s="271"/>
    </row>
    <row r="257" spans="1:10">
      <c r="A257" s="84"/>
      <c r="B257" s="93" t="s">
        <v>231</v>
      </c>
      <c r="C257" s="94"/>
      <c r="D257" s="95"/>
      <c r="E257" s="96"/>
      <c r="F257" s="96"/>
      <c r="G257" s="96"/>
      <c r="H257" s="96"/>
      <c r="I257" s="96"/>
      <c r="J257" s="271"/>
    </row>
    <row r="258" spans="1:10">
      <c r="A258" s="84"/>
      <c r="B258" s="93" t="s">
        <v>231</v>
      </c>
      <c r="C258" s="94"/>
      <c r="D258" s="95"/>
      <c r="E258" s="96"/>
      <c r="F258" s="96"/>
      <c r="G258" s="96"/>
      <c r="H258" s="96"/>
      <c r="I258" s="96"/>
      <c r="J258" s="271"/>
    </row>
    <row r="259" spans="1:10">
      <c r="A259" s="84"/>
      <c r="B259" s="89"/>
      <c r="C259" s="97"/>
      <c r="D259" s="91"/>
      <c r="E259" s="91"/>
      <c r="F259" s="91"/>
      <c r="G259" s="91" t="s">
        <v>249</v>
      </c>
      <c r="H259" s="91"/>
      <c r="I259" s="91"/>
      <c r="J259" s="99">
        <f>+SUBTOTAL(9,J252:J258)</f>
        <v>379.15</v>
      </c>
    </row>
    <row r="260" spans="1:10">
      <c r="A260" s="84"/>
      <c r="B260" s="89" t="s">
        <v>228</v>
      </c>
      <c r="C260" s="90" t="s">
        <v>250</v>
      </c>
      <c r="D260" s="91"/>
      <c r="E260" s="91"/>
      <c r="F260" s="91"/>
      <c r="G260" s="91"/>
      <c r="H260" s="92" t="s">
        <v>239</v>
      </c>
      <c r="I260" s="92" t="s">
        <v>251</v>
      </c>
      <c r="J260" s="99" t="s">
        <v>252</v>
      </c>
    </row>
    <row r="261" spans="1:10">
      <c r="A261" s="84"/>
      <c r="B261" s="89" t="s">
        <v>253</v>
      </c>
      <c r="C261" s="90" t="s">
        <v>254</v>
      </c>
      <c r="D261" s="91"/>
      <c r="E261" s="91"/>
      <c r="F261" s="91"/>
      <c r="G261" s="91"/>
      <c r="H261" s="92">
        <v>2</v>
      </c>
      <c r="I261" s="92">
        <v>21.04</v>
      </c>
      <c r="J261" s="99">
        <f>+ROUND(H261*I261,2)</f>
        <v>42.08</v>
      </c>
    </row>
    <row r="262" spans="1:10">
      <c r="A262" s="84"/>
      <c r="B262" s="93" t="s">
        <v>231</v>
      </c>
      <c r="C262" s="94"/>
      <c r="D262" s="95"/>
      <c r="E262" s="95"/>
      <c r="F262" s="95"/>
      <c r="G262" s="95"/>
      <c r="H262" s="96"/>
      <c r="I262" s="96"/>
      <c r="J262" s="271"/>
    </row>
    <row r="263" spans="1:10">
      <c r="A263" s="84"/>
      <c r="B263" s="93" t="s">
        <v>231</v>
      </c>
      <c r="C263" s="94"/>
      <c r="D263" s="95"/>
      <c r="E263" s="95"/>
      <c r="F263" s="95"/>
      <c r="G263" s="95"/>
      <c r="H263" s="96"/>
      <c r="I263" s="96"/>
      <c r="J263" s="271"/>
    </row>
    <row r="264" spans="1:10">
      <c r="A264" s="84"/>
      <c r="B264" s="93" t="s">
        <v>231</v>
      </c>
      <c r="C264" s="94"/>
      <c r="D264" s="95"/>
      <c r="E264" s="95"/>
      <c r="F264" s="95"/>
      <c r="G264" s="95"/>
      <c r="H264" s="96"/>
      <c r="I264" s="96"/>
      <c r="J264" s="271"/>
    </row>
    <row r="265" spans="1:10">
      <c r="A265" s="84"/>
      <c r="B265" s="93" t="s">
        <v>231</v>
      </c>
      <c r="C265" s="94"/>
      <c r="D265" s="95"/>
      <c r="E265" s="95"/>
      <c r="F265" s="95"/>
      <c r="G265" s="95"/>
      <c r="H265" s="96"/>
      <c r="I265" s="96"/>
      <c r="J265" s="271"/>
    </row>
    <row r="266" spans="1:10">
      <c r="A266" s="84"/>
      <c r="B266" s="93" t="s">
        <v>231</v>
      </c>
      <c r="C266" s="94"/>
      <c r="D266" s="95"/>
      <c r="E266" s="95"/>
      <c r="F266" s="95"/>
      <c r="G266" s="95"/>
      <c r="H266" s="96"/>
      <c r="I266" s="96"/>
      <c r="J266" s="271"/>
    </row>
    <row r="267" spans="1:10">
      <c r="A267" s="84"/>
      <c r="B267" s="93" t="s">
        <v>231</v>
      </c>
      <c r="C267" s="94"/>
      <c r="D267" s="95"/>
      <c r="E267" s="95"/>
      <c r="F267" s="95"/>
      <c r="G267" s="95"/>
      <c r="H267" s="96"/>
      <c r="I267" s="96"/>
      <c r="J267" s="271"/>
    </row>
    <row r="268" spans="1:10">
      <c r="A268" s="84"/>
      <c r="B268" s="89"/>
      <c r="C268" s="97"/>
      <c r="D268" s="91"/>
      <c r="E268" s="91"/>
      <c r="F268" s="91"/>
      <c r="G268" s="91" t="s">
        <v>255</v>
      </c>
      <c r="H268" s="91"/>
      <c r="I268" s="91"/>
      <c r="J268" s="99">
        <f>+SUBTOTAL(9,J261:J267)</f>
        <v>42.08</v>
      </c>
    </row>
    <row r="269" spans="1:10">
      <c r="A269" s="84"/>
      <c r="B269" s="89"/>
      <c r="C269" s="97"/>
      <c r="D269" s="91"/>
      <c r="E269" s="91"/>
      <c r="F269" s="91" t="s">
        <v>256</v>
      </c>
      <c r="G269" s="91"/>
      <c r="H269" s="91"/>
      <c r="I269" s="91">
        <v>0</v>
      </c>
      <c r="J269" s="99">
        <f>+ROUND(I269*J268,2)</f>
        <v>0</v>
      </c>
    </row>
    <row r="270" spans="1:10">
      <c r="A270" s="84"/>
      <c r="B270" s="89"/>
      <c r="C270" s="97"/>
      <c r="D270" s="91"/>
      <c r="E270" s="91"/>
      <c r="F270" s="91" t="s">
        <v>257</v>
      </c>
      <c r="G270" s="91"/>
      <c r="H270" s="91"/>
      <c r="I270" s="91"/>
      <c r="J270" s="99">
        <f>+SUBTOTAL(9,J261:J269)</f>
        <v>42.08</v>
      </c>
    </row>
    <row r="271" spans="1:10">
      <c r="A271" s="84"/>
      <c r="B271" s="98"/>
      <c r="C271" s="97"/>
      <c r="D271" s="91"/>
      <c r="E271" s="91"/>
      <c r="F271" s="91"/>
      <c r="G271" s="91" t="s">
        <v>258</v>
      </c>
      <c r="H271" s="91"/>
      <c r="I271" s="91"/>
      <c r="J271" s="275">
        <f>+SUBTOTAL(9,J252:J270)</f>
        <v>421.22999999999996</v>
      </c>
    </row>
    <row r="272" spans="1:10">
      <c r="A272" s="84"/>
      <c r="B272" s="98"/>
      <c r="C272" s="97" t="s">
        <v>259</v>
      </c>
      <c r="D272" s="91">
        <v>1500</v>
      </c>
      <c r="E272" s="91"/>
      <c r="F272" s="91"/>
      <c r="G272" s="91" t="s">
        <v>260</v>
      </c>
      <c r="H272" s="91"/>
      <c r="I272" s="91"/>
      <c r="J272" s="275">
        <f>+ROUND(J271/D272,2)</f>
        <v>0.28000000000000003</v>
      </c>
    </row>
    <row r="273" spans="1:10">
      <c r="A273" s="84"/>
      <c r="B273" s="89" t="s">
        <v>228</v>
      </c>
      <c r="C273" s="90" t="s">
        <v>261</v>
      </c>
      <c r="D273" s="91"/>
      <c r="E273" s="91"/>
      <c r="F273" s="91"/>
      <c r="G273" s="92" t="s">
        <v>230</v>
      </c>
      <c r="H273" s="92" t="s">
        <v>262</v>
      </c>
      <c r="I273" s="92" t="s">
        <v>263</v>
      </c>
      <c r="J273" s="99" t="s">
        <v>264</v>
      </c>
    </row>
    <row r="274" spans="1:10">
      <c r="A274" s="84"/>
      <c r="B274" s="89" t="s">
        <v>268</v>
      </c>
      <c r="C274" s="90" t="s">
        <v>269</v>
      </c>
      <c r="D274" s="91"/>
      <c r="E274" s="91"/>
      <c r="F274" s="91"/>
      <c r="G274" s="92" t="s">
        <v>270</v>
      </c>
      <c r="H274" s="92">
        <v>0</v>
      </c>
      <c r="I274" s="92">
        <v>4.4999999999999999E-4</v>
      </c>
      <c r="J274" s="99">
        <f>+ROUND(H274*I274,2)</f>
        <v>0</v>
      </c>
    </row>
    <row r="275" spans="1:10">
      <c r="A275" s="84"/>
      <c r="B275" s="93">
        <v>9199997</v>
      </c>
      <c r="C275" s="94" t="s">
        <v>273</v>
      </c>
      <c r="D275" s="95"/>
      <c r="E275" s="95"/>
      <c r="F275" s="95"/>
      <c r="G275" s="96" t="s">
        <v>274</v>
      </c>
      <c r="H275" s="96">
        <v>0.28000000000000003</v>
      </c>
      <c r="I275" s="96">
        <v>4.6299999999999996E-3</v>
      </c>
      <c r="J275" s="271">
        <f>+ROUND(H275*I275,2)</f>
        <v>0</v>
      </c>
    </row>
    <row r="276" spans="1:10">
      <c r="A276" s="84"/>
      <c r="B276" s="93" t="s">
        <v>231</v>
      </c>
      <c r="C276" s="94"/>
      <c r="D276" s="95"/>
      <c r="E276" s="95"/>
      <c r="F276" s="95"/>
      <c r="G276" s="96"/>
      <c r="H276" s="96"/>
      <c r="I276" s="96"/>
      <c r="J276" s="271"/>
    </row>
    <row r="277" spans="1:10">
      <c r="A277" s="84"/>
      <c r="B277" s="93" t="s">
        <v>231</v>
      </c>
      <c r="C277" s="94"/>
      <c r="D277" s="95"/>
      <c r="E277" s="95"/>
      <c r="F277" s="95"/>
      <c r="G277" s="96"/>
      <c r="H277" s="96"/>
      <c r="I277" s="96"/>
      <c r="J277" s="271"/>
    </row>
    <row r="278" spans="1:10">
      <c r="A278" s="84"/>
      <c r="B278" s="93" t="s">
        <v>231</v>
      </c>
      <c r="C278" s="94"/>
      <c r="D278" s="95"/>
      <c r="E278" s="95"/>
      <c r="F278" s="95"/>
      <c r="G278" s="96"/>
      <c r="H278" s="96"/>
      <c r="I278" s="96"/>
      <c r="J278" s="271"/>
    </row>
    <row r="279" spans="1:10">
      <c r="A279" s="84"/>
      <c r="B279" s="93" t="s">
        <v>231</v>
      </c>
      <c r="C279" s="94"/>
      <c r="D279" s="95"/>
      <c r="E279" s="95"/>
      <c r="F279" s="95"/>
      <c r="G279" s="96"/>
      <c r="H279" s="96"/>
      <c r="I279" s="96"/>
      <c r="J279" s="271"/>
    </row>
    <row r="280" spans="1:10">
      <c r="A280" s="84"/>
      <c r="B280" s="93" t="s">
        <v>231</v>
      </c>
      <c r="C280" s="94"/>
      <c r="D280" s="95"/>
      <c r="E280" s="95"/>
      <c r="F280" s="95"/>
      <c r="G280" s="96"/>
      <c r="H280" s="96"/>
      <c r="I280" s="96"/>
      <c r="J280" s="271"/>
    </row>
    <row r="281" spans="1:10">
      <c r="A281" s="84"/>
      <c r="B281" s="89"/>
      <c r="C281" s="97"/>
      <c r="D281" s="91"/>
      <c r="E281" s="91"/>
      <c r="F281" s="91"/>
      <c r="G281" s="91" t="s">
        <v>275</v>
      </c>
      <c r="H281" s="91"/>
      <c r="I281" s="91"/>
      <c r="J281" s="99">
        <f>+SUBTOTAL(9,J274:J280)</f>
        <v>0</v>
      </c>
    </row>
    <row r="282" spans="1:10">
      <c r="A282" s="84"/>
      <c r="B282" s="89" t="s">
        <v>228</v>
      </c>
      <c r="C282" s="90" t="s">
        <v>276</v>
      </c>
      <c r="D282" s="91"/>
      <c r="E282" s="91"/>
      <c r="F282" s="91"/>
      <c r="G282" s="92" t="s">
        <v>230</v>
      </c>
      <c r="H282" s="92" t="s">
        <v>262</v>
      </c>
      <c r="I282" s="92" t="s">
        <v>263</v>
      </c>
      <c r="J282" s="99" t="s">
        <v>264</v>
      </c>
    </row>
    <row r="283" spans="1:10">
      <c r="A283" s="84"/>
      <c r="B283" s="89" t="s">
        <v>231</v>
      </c>
      <c r="C283" s="90"/>
      <c r="D283" s="91"/>
      <c r="E283" s="91"/>
      <c r="F283" s="91"/>
      <c r="G283" s="92"/>
      <c r="H283" s="92"/>
      <c r="I283" s="92"/>
      <c r="J283" s="99"/>
    </row>
    <row r="284" spans="1:10">
      <c r="A284" s="84"/>
      <c r="B284" s="93" t="s">
        <v>231</v>
      </c>
      <c r="C284" s="94"/>
      <c r="D284" s="95"/>
      <c r="E284" s="95"/>
      <c r="F284" s="95"/>
      <c r="G284" s="96"/>
      <c r="H284" s="96"/>
      <c r="I284" s="96"/>
      <c r="J284" s="271"/>
    </row>
    <row r="285" spans="1:10">
      <c r="A285" s="84"/>
      <c r="B285" s="93" t="s">
        <v>231</v>
      </c>
      <c r="C285" s="94"/>
      <c r="D285" s="95"/>
      <c r="E285" s="95"/>
      <c r="F285" s="95"/>
      <c r="G285" s="96"/>
      <c r="H285" s="96"/>
      <c r="I285" s="96"/>
      <c r="J285" s="271"/>
    </row>
    <row r="286" spans="1:10">
      <c r="A286" s="84"/>
      <c r="B286" s="93" t="s">
        <v>231</v>
      </c>
      <c r="C286" s="94"/>
      <c r="D286" s="95"/>
      <c r="E286" s="95"/>
      <c r="F286" s="95"/>
      <c r="G286" s="96"/>
      <c r="H286" s="96"/>
      <c r="I286" s="96"/>
      <c r="J286" s="271"/>
    </row>
    <row r="287" spans="1:10">
      <c r="A287" s="84"/>
      <c r="B287" s="93" t="s">
        <v>231</v>
      </c>
      <c r="C287" s="94"/>
      <c r="D287" s="95"/>
      <c r="E287" s="95"/>
      <c r="F287" s="95"/>
      <c r="G287" s="96"/>
      <c r="H287" s="96"/>
      <c r="I287" s="96"/>
      <c r="J287" s="271"/>
    </row>
    <row r="288" spans="1:10">
      <c r="A288" s="84"/>
      <c r="B288" s="89"/>
      <c r="C288" s="97"/>
      <c r="D288" s="91"/>
      <c r="E288" s="91"/>
      <c r="F288" s="91"/>
      <c r="G288" s="91" t="s">
        <v>279</v>
      </c>
      <c r="H288" s="91"/>
      <c r="I288" s="91"/>
      <c r="J288" s="99">
        <f>+SUBTOTAL(9,J283:J287)</f>
        <v>0</v>
      </c>
    </row>
    <row r="289" spans="1:10">
      <c r="A289" s="84"/>
      <c r="B289" s="89" t="s">
        <v>228</v>
      </c>
      <c r="C289" s="90" t="s">
        <v>280</v>
      </c>
      <c r="D289" s="92" t="s">
        <v>281</v>
      </c>
      <c r="E289" s="92" t="s">
        <v>282</v>
      </c>
      <c r="F289" s="92" t="s">
        <v>283</v>
      </c>
      <c r="G289" s="92" t="s">
        <v>284</v>
      </c>
      <c r="H289" s="92" t="s">
        <v>285</v>
      </c>
      <c r="I289" s="92" t="s">
        <v>263</v>
      </c>
      <c r="J289" s="99" t="s">
        <v>286</v>
      </c>
    </row>
    <row r="290" spans="1:10">
      <c r="A290" s="84"/>
      <c r="B290" s="89" t="s">
        <v>231</v>
      </c>
      <c r="C290" s="90"/>
      <c r="D290" s="92"/>
      <c r="E290" s="92"/>
      <c r="F290" s="92"/>
      <c r="G290" s="92"/>
      <c r="H290" s="92"/>
      <c r="I290" s="92"/>
      <c r="J290" s="99"/>
    </row>
    <row r="291" spans="1:10">
      <c r="A291" s="84"/>
      <c r="B291" s="93" t="s">
        <v>231</v>
      </c>
      <c r="C291" s="94"/>
      <c r="D291" s="96"/>
      <c r="E291" s="96"/>
      <c r="F291" s="96"/>
      <c r="G291" s="96"/>
      <c r="H291" s="96"/>
      <c r="I291" s="96"/>
      <c r="J291" s="271"/>
    </row>
    <row r="292" spans="1:10">
      <c r="A292" s="84"/>
      <c r="B292" s="93" t="s">
        <v>231</v>
      </c>
      <c r="C292" s="94"/>
      <c r="D292" s="96"/>
      <c r="E292" s="96"/>
      <c r="F292" s="96"/>
      <c r="G292" s="96"/>
      <c r="H292" s="96"/>
      <c r="I292" s="96"/>
      <c r="J292" s="271"/>
    </row>
    <row r="293" spans="1:10">
      <c r="A293" s="84"/>
      <c r="B293" s="93" t="s">
        <v>231</v>
      </c>
      <c r="C293" s="94"/>
      <c r="D293" s="96"/>
      <c r="E293" s="96"/>
      <c r="F293" s="96"/>
      <c r="G293" s="96"/>
      <c r="H293" s="96"/>
      <c r="I293" s="96"/>
      <c r="J293" s="271"/>
    </row>
    <row r="294" spans="1:10">
      <c r="A294" s="84"/>
      <c r="B294" s="93" t="s">
        <v>231</v>
      </c>
      <c r="C294" s="94"/>
      <c r="D294" s="96"/>
      <c r="E294" s="96"/>
      <c r="F294" s="96"/>
      <c r="G294" s="96"/>
      <c r="H294" s="96"/>
      <c r="I294" s="96"/>
      <c r="J294" s="271"/>
    </row>
    <row r="295" spans="1:10">
      <c r="A295" s="84"/>
      <c r="B295" s="93" t="s">
        <v>231</v>
      </c>
      <c r="C295" s="94"/>
      <c r="D295" s="96"/>
      <c r="E295" s="96"/>
      <c r="F295" s="96"/>
      <c r="G295" s="96"/>
      <c r="H295" s="96"/>
      <c r="I295" s="96"/>
      <c r="J295" s="271"/>
    </row>
    <row r="296" spans="1:10">
      <c r="A296" s="84"/>
      <c r="B296" s="93" t="s">
        <v>231</v>
      </c>
      <c r="C296" s="94"/>
      <c r="D296" s="96"/>
      <c r="E296" s="96"/>
      <c r="F296" s="96"/>
      <c r="G296" s="96"/>
      <c r="H296" s="96"/>
      <c r="I296" s="96"/>
      <c r="J296" s="271"/>
    </row>
    <row r="297" spans="1:10">
      <c r="A297" s="84"/>
      <c r="B297" s="89"/>
      <c r="C297" s="97"/>
      <c r="D297" s="91"/>
      <c r="E297" s="91"/>
      <c r="F297" s="91"/>
      <c r="G297" s="91" t="s">
        <v>290</v>
      </c>
      <c r="H297" s="91"/>
      <c r="I297" s="91"/>
      <c r="J297" s="99">
        <f>+SUBTOTAL(9,J290:J296)</f>
        <v>0</v>
      </c>
    </row>
    <row r="298" spans="1:10">
      <c r="A298" s="84"/>
      <c r="B298" s="89" t="s">
        <v>291</v>
      </c>
      <c r="C298" s="97"/>
      <c r="D298" s="91"/>
      <c r="E298" s="91"/>
      <c r="F298" s="91"/>
      <c r="G298" s="91"/>
      <c r="H298" s="91"/>
      <c r="I298" s="91"/>
      <c r="J298" s="99">
        <f>+SUBTOTAL(9,J272:J296)</f>
        <v>0.28000000000000003</v>
      </c>
    </row>
    <row r="299" spans="1:10">
      <c r="A299" s="84"/>
      <c r="B299" s="89" t="s">
        <v>292</v>
      </c>
      <c r="C299" s="97"/>
      <c r="D299" s="91">
        <v>0</v>
      </c>
      <c r="E299" s="91"/>
      <c r="F299" s="91"/>
      <c r="G299" s="91"/>
      <c r="H299" s="91"/>
      <c r="I299" s="91"/>
      <c r="J299" s="99">
        <f>+ROUND(J298*D299/100,2)</f>
        <v>0</v>
      </c>
    </row>
    <row r="300" spans="1:10" ht="14.4" thickBot="1">
      <c r="A300" s="84"/>
      <c r="B300" s="89" t="s">
        <v>293</v>
      </c>
      <c r="C300" s="97"/>
      <c r="D300" s="91"/>
      <c r="E300" s="91"/>
      <c r="F300" s="91"/>
      <c r="G300" s="91"/>
      <c r="H300" s="91"/>
      <c r="I300" s="91"/>
      <c r="J300" s="99">
        <f>+J298+ J299</f>
        <v>0.28000000000000003</v>
      </c>
    </row>
    <row r="301" spans="1:10">
      <c r="A301" s="84"/>
      <c r="B301" s="85" t="s">
        <v>294</v>
      </c>
      <c r="C301" s="86"/>
      <c r="D301" s="88"/>
      <c r="E301" s="88"/>
      <c r="F301" s="88" t="s">
        <v>295</v>
      </c>
      <c r="G301" s="88"/>
      <c r="H301" s="88"/>
      <c r="I301" s="88" t="s">
        <v>296</v>
      </c>
      <c r="J301" s="270"/>
    </row>
    <row r="302" spans="1:10">
      <c r="A302" s="84"/>
      <c r="B302" s="93" t="s">
        <v>297</v>
      </c>
      <c r="C302" s="84"/>
      <c r="D302" s="95"/>
      <c r="E302" s="95"/>
      <c r="F302" s="95" t="s">
        <v>298</v>
      </c>
      <c r="G302" s="95"/>
      <c r="H302" s="95"/>
      <c r="I302" s="95"/>
      <c r="J302" s="276"/>
    </row>
    <row r="303" spans="1:10">
      <c r="A303" s="84"/>
      <c r="B303" s="93" t="s">
        <v>299</v>
      </c>
      <c r="C303" s="84"/>
      <c r="D303" s="95"/>
      <c r="E303" s="95"/>
      <c r="F303" s="95" t="s">
        <v>300</v>
      </c>
      <c r="G303" s="95"/>
      <c r="H303" s="95"/>
      <c r="I303" s="95"/>
      <c r="J303" s="276"/>
    </row>
    <row r="304" spans="1:10" ht="14.4" thickBot="1">
      <c r="A304" s="84"/>
      <c r="B304" s="100" t="s">
        <v>301</v>
      </c>
      <c r="C304" s="84"/>
      <c r="D304" s="95"/>
      <c r="E304" s="95"/>
      <c r="F304" s="95"/>
      <c r="G304" s="95"/>
      <c r="H304" s="95"/>
      <c r="I304" s="95"/>
      <c r="J304" s="277"/>
    </row>
    <row r="305" spans="1:10">
      <c r="A305" s="84"/>
      <c r="B305" s="86"/>
      <c r="C305" s="86"/>
      <c r="D305" s="88"/>
      <c r="E305" s="88"/>
      <c r="F305" s="88"/>
      <c r="G305" s="88"/>
      <c r="H305" s="88"/>
      <c r="I305" s="88"/>
      <c r="J305" s="88"/>
    </row>
    <row r="306" spans="1:10" ht="14.4" thickBot="1">
      <c r="A306" s="84"/>
      <c r="B306" s="84"/>
      <c r="C306" s="84"/>
      <c r="D306" s="95"/>
      <c r="E306" s="95"/>
      <c r="F306" s="95"/>
      <c r="G306" s="95"/>
      <c r="H306" s="95"/>
      <c r="I306" s="95"/>
      <c r="J306" s="95"/>
    </row>
    <row r="307" spans="1:10">
      <c r="A307" s="84"/>
      <c r="B307" s="85"/>
      <c r="C307" s="86"/>
      <c r="D307" s="87" t="s">
        <v>227</v>
      </c>
      <c r="E307" s="87"/>
      <c r="F307" s="87"/>
      <c r="G307" s="88"/>
      <c r="H307" s="88"/>
      <c r="I307" s="88"/>
      <c r="J307" s="270"/>
    </row>
    <row r="308" spans="1:10">
      <c r="A308" s="84"/>
      <c r="B308" s="89" t="s">
        <v>228</v>
      </c>
      <c r="C308" s="90" t="s">
        <v>92</v>
      </c>
      <c r="D308" s="91"/>
      <c r="E308" s="91"/>
      <c r="F308" s="91"/>
      <c r="G308" s="91"/>
      <c r="H308" s="92" t="s">
        <v>229</v>
      </c>
      <c r="I308" s="91"/>
      <c r="J308" s="99" t="s">
        <v>230</v>
      </c>
    </row>
    <row r="309" spans="1:10">
      <c r="A309" s="84"/>
      <c r="B309" s="93" t="s">
        <v>231</v>
      </c>
      <c r="C309" s="94" t="s">
        <v>378</v>
      </c>
      <c r="D309" s="95"/>
      <c r="E309" s="95"/>
      <c r="F309" s="95"/>
      <c r="G309" s="95"/>
      <c r="H309" s="96" t="s">
        <v>233</v>
      </c>
      <c r="I309" s="95"/>
      <c r="J309" s="271" t="s">
        <v>270</v>
      </c>
    </row>
    <row r="310" spans="1:10">
      <c r="A310" s="84"/>
      <c r="B310" s="89"/>
      <c r="C310" s="90"/>
      <c r="D310" s="91"/>
      <c r="E310" s="92"/>
      <c r="F310" s="92" t="s">
        <v>235</v>
      </c>
      <c r="G310" s="92"/>
      <c r="H310" s="92" t="s">
        <v>236</v>
      </c>
      <c r="I310" s="92"/>
      <c r="J310" s="99" t="s">
        <v>237</v>
      </c>
    </row>
    <row r="311" spans="1:10">
      <c r="A311" s="84"/>
      <c r="B311" s="93" t="s">
        <v>228</v>
      </c>
      <c r="C311" s="94" t="s">
        <v>238</v>
      </c>
      <c r="D311" s="95"/>
      <c r="E311" s="96" t="s">
        <v>239</v>
      </c>
      <c r="F311" s="92" t="s">
        <v>240</v>
      </c>
      <c r="G311" s="92" t="s">
        <v>241</v>
      </c>
      <c r="H311" s="92" t="s">
        <v>240</v>
      </c>
      <c r="I311" s="272" t="s">
        <v>241</v>
      </c>
      <c r="J311" s="271" t="s">
        <v>242</v>
      </c>
    </row>
    <row r="312" spans="1:10">
      <c r="A312" s="84"/>
      <c r="B312" s="273" t="s">
        <v>303</v>
      </c>
      <c r="C312" s="90" t="s">
        <v>304</v>
      </c>
      <c r="D312" s="91"/>
      <c r="E312" s="92">
        <v>1</v>
      </c>
      <c r="F312" s="92">
        <v>1</v>
      </c>
      <c r="G312" s="92">
        <v>0</v>
      </c>
      <c r="H312" s="92">
        <v>517.78</v>
      </c>
      <c r="I312" s="92">
        <v>240.34</v>
      </c>
      <c r="J312" s="99">
        <f>+ROUND(E312* ((F312*H312) + (G312*I312)),2)</f>
        <v>517.78</v>
      </c>
    </row>
    <row r="313" spans="1:10">
      <c r="A313" s="84"/>
      <c r="B313" s="274" t="s">
        <v>305</v>
      </c>
      <c r="C313" s="94" t="s">
        <v>306</v>
      </c>
      <c r="D313" s="95"/>
      <c r="E313" s="96">
        <v>1</v>
      </c>
      <c r="F313" s="96">
        <v>0.82</v>
      </c>
      <c r="G313" s="96">
        <v>0.18</v>
      </c>
      <c r="H313" s="96">
        <v>276.16000000000003</v>
      </c>
      <c r="I313" s="96">
        <v>98.17</v>
      </c>
      <c r="J313" s="271">
        <f>+ROUND(E313* ((F313*H313) + (G313*I313)),2)</f>
        <v>244.12</v>
      </c>
    </row>
    <row r="314" spans="1:10">
      <c r="A314" s="84"/>
      <c r="B314" s="274" t="s">
        <v>307</v>
      </c>
      <c r="C314" s="94" t="s">
        <v>308</v>
      </c>
      <c r="D314" s="95"/>
      <c r="E314" s="96">
        <v>1</v>
      </c>
      <c r="F314" s="96">
        <v>0.71</v>
      </c>
      <c r="G314" s="96">
        <v>0.28999999999999998</v>
      </c>
      <c r="H314" s="96">
        <v>244.69</v>
      </c>
      <c r="I314" s="96">
        <v>115.37</v>
      </c>
      <c r="J314" s="271">
        <f>+ROUND(E314* ((F314*H314) + (G314*I314)),2)</f>
        <v>207.19</v>
      </c>
    </row>
    <row r="315" spans="1:10">
      <c r="A315" s="84"/>
      <c r="B315" s="93" t="s">
        <v>231</v>
      </c>
      <c r="C315" s="94"/>
      <c r="D315" s="95"/>
      <c r="E315" s="96"/>
      <c r="F315" s="96"/>
      <c r="G315" s="96"/>
      <c r="H315" s="96"/>
      <c r="I315" s="96"/>
      <c r="J315" s="271"/>
    </row>
    <row r="316" spans="1:10">
      <c r="A316" s="84"/>
      <c r="B316" s="93" t="s">
        <v>231</v>
      </c>
      <c r="C316" s="94"/>
      <c r="D316" s="95"/>
      <c r="E316" s="96"/>
      <c r="F316" s="96"/>
      <c r="G316" s="96"/>
      <c r="H316" s="96"/>
      <c r="I316" s="96"/>
      <c r="J316" s="271"/>
    </row>
    <row r="317" spans="1:10">
      <c r="A317" s="84"/>
      <c r="B317" s="93" t="s">
        <v>231</v>
      </c>
      <c r="C317" s="94"/>
      <c r="D317" s="95"/>
      <c r="E317" s="96"/>
      <c r="F317" s="96"/>
      <c r="G317" s="96"/>
      <c r="H317" s="96"/>
      <c r="I317" s="96"/>
      <c r="J317" s="271"/>
    </row>
    <row r="318" spans="1:10">
      <c r="A318" s="84"/>
      <c r="B318" s="93" t="s">
        <v>231</v>
      </c>
      <c r="C318" s="94"/>
      <c r="D318" s="95"/>
      <c r="E318" s="96"/>
      <c r="F318" s="96"/>
      <c r="G318" s="96"/>
      <c r="H318" s="96"/>
      <c r="I318" s="96"/>
      <c r="J318" s="271"/>
    </row>
    <row r="319" spans="1:10">
      <c r="A319" s="84"/>
      <c r="B319" s="89"/>
      <c r="C319" s="97"/>
      <c r="D319" s="91"/>
      <c r="E319" s="91"/>
      <c r="F319" s="91"/>
      <c r="G319" s="91" t="s">
        <v>249</v>
      </c>
      <c r="H319" s="91"/>
      <c r="I319" s="91"/>
      <c r="J319" s="99">
        <f>+SUBTOTAL(9,J312:J318)</f>
        <v>969.08999999999992</v>
      </c>
    </row>
    <row r="320" spans="1:10">
      <c r="A320" s="84"/>
      <c r="B320" s="89" t="s">
        <v>228</v>
      </c>
      <c r="C320" s="90" t="s">
        <v>250</v>
      </c>
      <c r="D320" s="91"/>
      <c r="E320" s="91"/>
      <c r="F320" s="91"/>
      <c r="G320" s="91"/>
      <c r="H320" s="92" t="s">
        <v>239</v>
      </c>
      <c r="I320" s="92" t="s">
        <v>251</v>
      </c>
      <c r="J320" s="99" t="s">
        <v>252</v>
      </c>
    </row>
    <row r="321" spans="1:10">
      <c r="A321" s="84"/>
      <c r="B321" s="89" t="s">
        <v>253</v>
      </c>
      <c r="C321" s="90" t="s">
        <v>254</v>
      </c>
      <c r="D321" s="91"/>
      <c r="E321" s="91"/>
      <c r="F321" s="91"/>
      <c r="G321" s="91"/>
      <c r="H321" s="92">
        <v>8</v>
      </c>
      <c r="I321" s="92">
        <v>21.04</v>
      </c>
      <c r="J321" s="99">
        <f>+ROUND(H321*I321,2)</f>
        <v>168.32</v>
      </c>
    </row>
    <row r="322" spans="1:10">
      <c r="A322" s="84"/>
      <c r="B322" s="93" t="s">
        <v>231</v>
      </c>
      <c r="C322" s="94"/>
      <c r="D322" s="95"/>
      <c r="E322" s="95"/>
      <c r="F322" s="95"/>
      <c r="G322" s="95"/>
      <c r="H322" s="96"/>
      <c r="I322" s="96"/>
      <c r="J322" s="271"/>
    </row>
    <row r="323" spans="1:10">
      <c r="A323" s="84"/>
      <c r="B323" s="93" t="s">
        <v>231</v>
      </c>
      <c r="C323" s="94"/>
      <c r="D323" s="95"/>
      <c r="E323" s="95"/>
      <c r="F323" s="95"/>
      <c r="G323" s="95"/>
      <c r="H323" s="96"/>
      <c r="I323" s="96"/>
      <c r="J323" s="271"/>
    </row>
    <row r="324" spans="1:10">
      <c r="A324" s="84"/>
      <c r="B324" s="93" t="s">
        <v>231</v>
      </c>
      <c r="C324" s="94"/>
      <c r="D324" s="95"/>
      <c r="E324" s="95"/>
      <c r="F324" s="95"/>
      <c r="G324" s="95"/>
      <c r="H324" s="96"/>
      <c r="I324" s="96"/>
      <c r="J324" s="271"/>
    </row>
    <row r="325" spans="1:10">
      <c r="A325" s="84"/>
      <c r="B325" s="93" t="s">
        <v>231</v>
      </c>
      <c r="C325" s="94"/>
      <c r="D325" s="95"/>
      <c r="E325" s="95"/>
      <c r="F325" s="95"/>
      <c r="G325" s="95"/>
      <c r="H325" s="96"/>
      <c r="I325" s="96"/>
      <c r="J325" s="271"/>
    </row>
    <row r="326" spans="1:10">
      <c r="A326" s="84"/>
      <c r="B326" s="93" t="s">
        <v>231</v>
      </c>
      <c r="C326" s="94"/>
      <c r="D326" s="95"/>
      <c r="E326" s="95"/>
      <c r="F326" s="95"/>
      <c r="G326" s="95"/>
      <c r="H326" s="96"/>
      <c r="I326" s="96"/>
      <c r="J326" s="271"/>
    </row>
    <row r="327" spans="1:10">
      <c r="A327" s="84"/>
      <c r="B327" s="93" t="s">
        <v>231</v>
      </c>
      <c r="C327" s="94"/>
      <c r="D327" s="95"/>
      <c r="E327" s="95"/>
      <c r="F327" s="95"/>
      <c r="G327" s="95"/>
      <c r="H327" s="96"/>
      <c r="I327" s="96"/>
      <c r="J327" s="271"/>
    </row>
    <row r="328" spans="1:10">
      <c r="A328" s="84"/>
      <c r="B328" s="89"/>
      <c r="C328" s="97"/>
      <c r="D328" s="91"/>
      <c r="E328" s="91"/>
      <c r="F328" s="91"/>
      <c r="G328" s="91" t="s">
        <v>255</v>
      </c>
      <c r="H328" s="91"/>
      <c r="I328" s="91"/>
      <c r="J328" s="99">
        <f>+SUBTOTAL(9,J321:J327)</f>
        <v>168.32</v>
      </c>
    </row>
    <row r="329" spans="1:10">
      <c r="A329" s="84"/>
      <c r="B329" s="89"/>
      <c r="C329" s="97"/>
      <c r="D329" s="91"/>
      <c r="E329" s="91"/>
      <c r="F329" s="91" t="s">
        <v>256</v>
      </c>
      <c r="G329" s="91"/>
      <c r="H329" s="91"/>
      <c r="I329" s="91">
        <v>0</v>
      </c>
      <c r="J329" s="99">
        <f>+ROUND(I329*J328,2)</f>
        <v>0</v>
      </c>
    </row>
    <row r="330" spans="1:10">
      <c r="A330" s="84"/>
      <c r="B330" s="89"/>
      <c r="C330" s="97"/>
      <c r="D330" s="91"/>
      <c r="E330" s="91"/>
      <c r="F330" s="91" t="s">
        <v>257</v>
      </c>
      <c r="G330" s="91"/>
      <c r="H330" s="91"/>
      <c r="I330" s="91"/>
      <c r="J330" s="99">
        <f>+SUBTOTAL(9,J321:J329)</f>
        <v>168.32</v>
      </c>
    </row>
    <row r="331" spans="1:10">
      <c r="A331" s="84"/>
      <c r="B331" s="98"/>
      <c r="C331" s="97"/>
      <c r="D331" s="91"/>
      <c r="E331" s="91"/>
      <c r="F331" s="91"/>
      <c r="G331" s="91" t="s">
        <v>258</v>
      </c>
      <c r="H331" s="91"/>
      <c r="I331" s="91"/>
      <c r="J331" s="275">
        <f>+SUBTOTAL(9,J312:J330)</f>
        <v>1137.4099999999999</v>
      </c>
    </row>
    <row r="332" spans="1:10">
      <c r="A332" s="84"/>
      <c r="B332" s="98"/>
      <c r="C332" s="97" t="s">
        <v>259</v>
      </c>
      <c r="D332" s="91">
        <v>99.6</v>
      </c>
      <c r="E332" s="91"/>
      <c r="F332" s="91"/>
      <c r="G332" s="91" t="s">
        <v>260</v>
      </c>
      <c r="H332" s="91"/>
      <c r="I332" s="91"/>
      <c r="J332" s="275">
        <f>+ROUND(J331/D332,2)</f>
        <v>11.42</v>
      </c>
    </row>
    <row r="333" spans="1:10">
      <c r="A333" s="84"/>
      <c r="B333" s="89" t="s">
        <v>228</v>
      </c>
      <c r="C333" s="90" t="s">
        <v>261</v>
      </c>
      <c r="D333" s="91"/>
      <c r="E333" s="91"/>
      <c r="F333" s="91"/>
      <c r="G333" s="92" t="s">
        <v>230</v>
      </c>
      <c r="H333" s="92" t="s">
        <v>262</v>
      </c>
      <c r="I333" s="92" t="s">
        <v>263</v>
      </c>
      <c r="J333" s="99" t="s">
        <v>264</v>
      </c>
    </row>
    <row r="334" spans="1:10">
      <c r="A334" s="84"/>
      <c r="B334" s="89">
        <v>562484649</v>
      </c>
      <c r="C334" s="90" t="s">
        <v>379</v>
      </c>
      <c r="D334" s="91"/>
      <c r="E334" s="91"/>
      <c r="F334" s="91"/>
      <c r="G334" s="92" t="s">
        <v>270</v>
      </c>
      <c r="H334" s="92">
        <v>7.71</v>
      </c>
      <c r="I334" s="92">
        <v>1.02</v>
      </c>
      <c r="J334" s="99">
        <f>+ROUND(H334*I334,2)</f>
        <v>7.86</v>
      </c>
    </row>
    <row r="335" spans="1:10">
      <c r="A335" s="84"/>
      <c r="B335" s="93">
        <v>9199997</v>
      </c>
      <c r="C335" s="94" t="s">
        <v>273</v>
      </c>
      <c r="D335" s="95"/>
      <c r="E335" s="95"/>
      <c r="F335" s="95"/>
      <c r="G335" s="96" t="s">
        <v>274</v>
      </c>
      <c r="H335" s="96">
        <v>11.42</v>
      </c>
      <c r="I335" s="96">
        <v>4.6299999999999996E-3</v>
      </c>
      <c r="J335" s="271">
        <f>+ROUND(H335*I335,2)</f>
        <v>0.05</v>
      </c>
    </row>
    <row r="336" spans="1:10">
      <c r="A336" s="84"/>
      <c r="B336" s="93" t="s">
        <v>231</v>
      </c>
      <c r="C336" s="94"/>
      <c r="D336" s="95"/>
      <c r="E336" s="95"/>
      <c r="F336" s="95"/>
      <c r="G336" s="96"/>
      <c r="H336" s="96"/>
      <c r="I336" s="96"/>
      <c r="J336" s="271"/>
    </row>
    <row r="337" spans="1:10">
      <c r="A337" s="84"/>
      <c r="B337" s="93" t="s">
        <v>231</v>
      </c>
      <c r="C337" s="94"/>
      <c r="D337" s="95"/>
      <c r="E337" s="95"/>
      <c r="F337" s="95"/>
      <c r="G337" s="96"/>
      <c r="H337" s="96"/>
      <c r="I337" s="96"/>
      <c r="J337" s="271"/>
    </row>
    <row r="338" spans="1:10">
      <c r="A338" s="84"/>
      <c r="B338" s="93" t="s">
        <v>231</v>
      </c>
      <c r="C338" s="94"/>
      <c r="D338" s="95"/>
      <c r="E338" s="95"/>
      <c r="F338" s="95"/>
      <c r="G338" s="96"/>
      <c r="H338" s="96"/>
      <c r="I338" s="96"/>
      <c r="J338" s="271"/>
    </row>
    <row r="339" spans="1:10">
      <c r="A339" s="84"/>
      <c r="B339" s="93" t="s">
        <v>231</v>
      </c>
      <c r="C339" s="94"/>
      <c r="D339" s="95"/>
      <c r="E339" s="95"/>
      <c r="F339" s="95"/>
      <c r="G339" s="96"/>
      <c r="H339" s="96"/>
      <c r="I339" s="96"/>
      <c r="J339" s="271"/>
    </row>
    <row r="340" spans="1:10">
      <c r="A340" s="84"/>
      <c r="B340" s="93" t="s">
        <v>231</v>
      </c>
      <c r="C340" s="94"/>
      <c r="D340" s="95"/>
      <c r="E340" s="95"/>
      <c r="F340" s="95"/>
      <c r="G340" s="96"/>
      <c r="H340" s="96"/>
      <c r="I340" s="96"/>
      <c r="J340" s="271"/>
    </row>
    <row r="341" spans="1:10">
      <c r="A341" s="84"/>
      <c r="B341" s="89"/>
      <c r="C341" s="97"/>
      <c r="D341" s="91"/>
      <c r="E341" s="91"/>
      <c r="F341" s="91"/>
      <c r="G341" s="91" t="s">
        <v>275</v>
      </c>
      <c r="H341" s="91"/>
      <c r="I341" s="91"/>
      <c r="J341" s="99">
        <f>+SUBTOTAL(9,J334:J340)</f>
        <v>7.91</v>
      </c>
    </row>
    <row r="342" spans="1:10">
      <c r="A342" s="84"/>
      <c r="B342" s="89" t="s">
        <v>228</v>
      </c>
      <c r="C342" s="90" t="s">
        <v>276</v>
      </c>
      <c r="D342" s="91"/>
      <c r="E342" s="91"/>
      <c r="F342" s="91"/>
      <c r="G342" s="92" t="s">
        <v>230</v>
      </c>
      <c r="H342" s="92" t="s">
        <v>262</v>
      </c>
      <c r="I342" s="92" t="s">
        <v>263</v>
      </c>
      <c r="J342" s="99" t="s">
        <v>264</v>
      </c>
    </row>
    <row r="343" spans="1:10">
      <c r="A343" s="84"/>
      <c r="B343" s="89" t="s">
        <v>380</v>
      </c>
      <c r="C343" s="90" t="s">
        <v>381</v>
      </c>
      <c r="D343" s="91"/>
      <c r="E343" s="91"/>
      <c r="F343" s="91"/>
      <c r="G343" s="92" t="s">
        <v>270</v>
      </c>
      <c r="H343" s="92">
        <v>246.76</v>
      </c>
      <c r="I343" s="92">
        <v>1.02</v>
      </c>
      <c r="J343" s="99">
        <f>+ROUND(H343*I343,2)</f>
        <v>251.7</v>
      </c>
    </row>
    <row r="344" spans="1:10">
      <c r="A344" s="84"/>
      <c r="B344" s="93" t="s">
        <v>231</v>
      </c>
      <c r="C344" s="94"/>
      <c r="D344" s="95"/>
      <c r="E344" s="95"/>
      <c r="F344" s="95"/>
      <c r="G344" s="96"/>
      <c r="H344" s="96"/>
      <c r="I344" s="96"/>
      <c r="J344" s="271"/>
    </row>
    <row r="345" spans="1:10">
      <c r="A345" s="84"/>
      <c r="B345" s="93" t="s">
        <v>231</v>
      </c>
      <c r="C345" s="94"/>
      <c r="D345" s="95"/>
      <c r="E345" s="95"/>
      <c r="F345" s="95"/>
      <c r="G345" s="96"/>
      <c r="H345" s="96"/>
      <c r="I345" s="96"/>
      <c r="J345" s="271"/>
    </row>
    <row r="346" spans="1:10">
      <c r="A346" s="84"/>
      <c r="B346" s="93" t="s">
        <v>231</v>
      </c>
      <c r="C346" s="94"/>
      <c r="D346" s="95"/>
      <c r="E346" s="95"/>
      <c r="F346" s="95"/>
      <c r="G346" s="96"/>
      <c r="H346" s="96"/>
      <c r="I346" s="96"/>
      <c r="J346" s="271"/>
    </row>
    <row r="347" spans="1:10">
      <c r="A347" s="84"/>
      <c r="B347" s="93" t="s">
        <v>231</v>
      </c>
      <c r="C347" s="94"/>
      <c r="D347" s="95"/>
      <c r="E347" s="95"/>
      <c r="F347" s="95"/>
      <c r="G347" s="96"/>
      <c r="H347" s="96"/>
      <c r="I347" s="96"/>
      <c r="J347" s="271"/>
    </row>
    <row r="348" spans="1:10">
      <c r="A348" s="84"/>
      <c r="B348" s="89"/>
      <c r="C348" s="97"/>
      <c r="D348" s="91"/>
      <c r="E348" s="91"/>
      <c r="F348" s="91"/>
      <c r="G348" s="91" t="s">
        <v>279</v>
      </c>
      <c r="H348" s="91"/>
      <c r="I348" s="91"/>
      <c r="J348" s="99">
        <f>+SUBTOTAL(9,J343:J347)</f>
        <v>251.7</v>
      </c>
    </row>
    <row r="349" spans="1:10">
      <c r="A349" s="84"/>
      <c r="B349" s="89" t="s">
        <v>228</v>
      </c>
      <c r="C349" s="90" t="s">
        <v>280</v>
      </c>
      <c r="D349" s="92" t="s">
        <v>281</v>
      </c>
      <c r="E349" s="92" t="s">
        <v>282</v>
      </c>
      <c r="F349" s="92" t="s">
        <v>283</v>
      </c>
      <c r="G349" s="92" t="s">
        <v>284</v>
      </c>
      <c r="H349" s="92" t="s">
        <v>285</v>
      </c>
      <c r="I349" s="92" t="s">
        <v>263</v>
      </c>
      <c r="J349" s="99" t="s">
        <v>286</v>
      </c>
    </row>
    <row r="350" spans="1:10">
      <c r="A350" s="84"/>
      <c r="B350" s="89">
        <v>416248</v>
      </c>
      <c r="C350" s="90" t="s">
        <v>382</v>
      </c>
      <c r="D350" s="92" t="s">
        <v>289</v>
      </c>
      <c r="E350" s="92">
        <v>0</v>
      </c>
      <c r="F350" s="92">
        <v>25</v>
      </c>
      <c r="G350" s="92">
        <v>25</v>
      </c>
      <c r="H350" s="92">
        <v>0.79</v>
      </c>
      <c r="I350" s="92">
        <v>1.02</v>
      </c>
      <c r="J350" s="99">
        <f>+ROUND(G350*H350*I350,2)</f>
        <v>20.149999999999999</v>
      </c>
    </row>
    <row r="351" spans="1:10">
      <c r="A351" s="84"/>
      <c r="B351" s="93" t="s">
        <v>231</v>
      </c>
      <c r="C351" s="94"/>
      <c r="D351" s="96"/>
      <c r="E351" s="96"/>
      <c r="F351" s="96"/>
      <c r="G351" s="96"/>
      <c r="H351" s="96"/>
      <c r="I351" s="96"/>
      <c r="J351" s="271"/>
    </row>
    <row r="352" spans="1:10">
      <c r="A352" s="84"/>
      <c r="B352" s="93" t="s">
        <v>231</v>
      </c>
      <c r="C352" s="94"/>
      <c r="D352" s="96"/>
      <c r="E352" s="96"/>
      <c r="F352" s="96"/>
      <c r="G352" s="96"/>
      <c r="H352" s="96"/>
      <c r="I352" s="96"/>
      <c r="J352" s="271"/>
    </row>
    <row r="353" spans="1:10">
      <c r="A353" s="84"/>
      <c r="B353" s="93" t="s">
        <v>231</v>
      </c>
      <c r="C353" s="94"/>
      <c r="D353" s="96"/>
      <c r="E353" s="96"/>
      <c r="F353" s="96"/>
      <c r="G353" s="96"/>
      <c r="H353" s="96"/>
      <c r="I353" s="96"/>
      <c r="J353" s="271"/>
    </row>
    <row r="354" spans="1:10">
      <c r="A354" s="84"/>
      <c r="B354" s="93" t="s">
        <v>231</v>
      </c>
      <c r="C354" s="94"/>
      <c r="D354" s="96"/>
      <c r="E354" s="96"/>
      <c r="F354" s="96"/>
      <c r="G354" s="96"/>
      <c r="H354" s="96"/>
      <c r="I354" s="96"/>
      <c r="J354" s="271"/>
    </row>
    <row r="355" spans="1:10">
      <c r="A355" s="84"/>
      <c r="B355" s="93" t="s">
        <v>231</v>
      </c>
      <c r="C355" s="94"/>
      <c r="D355" s="96"/>
      <c r="E355" s="96"/>
      <c r="F355" s="96"/>
      <c r="G355" s="96"/>
      <c r="H355" s="96"/>
      <c r="I355" s="96"/>
      <c r="J355" s="271"/>
    </row>
    <row r="356" spans="1:10">
      <c r="A356" s="84"/>
      <c r="B356" s="93" t="s">
        <v>231</v>
      </c>
      <c r="C356" s="94"/>
      <c r="D356" s="96"/>
      <c r="E356" s="96"/>
      <c r="F356" s="96"/>
      <c r="G356" s="96"/>
      <c r="H356" s="96"/>
      <c r="I356" s="96"/>
      <c r="J356" s="271"/>
    </row>
    <row r="357" spans="1:10">
      <c r="A357" s="84"/>
      <c r="B357" s="89"/>
      <c r="C357" s="97"/>
      <c r="D357" s="91"/>
      <c r="E357" s="91"/>
      <c r="F357" s="91"/>
      <c r="G357" s="91" t="s">
        <v>290</v>
      </c>
      <c r="H357" s="91"/>
      <c r="I357" s="91"/>
      <c r="J357" s="99">
        <f>+SUBTOTAL(9,J350:J356)</f>
        <v>20.149999999999999</v>
      </c>
    </row>
    <row r="358" spans="1:10">
      <c r="A358" s="84"/>
      <c r="B358" s="89" t="s">
        <v>291</v>
      </c>
      <c r="C358" s="97"/>
      <c r="D358" s="91"/>
      <c r="E358" s="91"/>
      <c r="F358" s="91"/>
      <c r="G358" s="91"/>
      <c r="H358" s="91"/>
      <c r="I358" s="91"/>
      <c r="J358" s="99">
        <f>+SUBTOTAL(9,J332:J356)</f>
        <v>291.17999999999995</v>
      </c>
    </row>
    <row r="359" spans="1:10">
      <c r="A359" s="84"/>
      <c r="B359" s="89" t="s">
        <v>292</v>
      </c>
      <c r="C359" s="97"/>
      <c r="D359" s="91">
        <v>0</v>
      </c>
      <c r="E359" s="91"/>
      <c r="F359" s="91"/>
      <c r="G359" s="91"/>
      <c r="H359" s="91"/>
      <c r="I359" s="91"/>
      <c r="J359" s="99">
        <f>+ROUND(J358*D359/100,2)</f>
        <v>0</v>
      </c>
    </row>
    <row r="360" spans="1:10" ht="14.4" thickBot="1">
      <c r="A360" s="84"/>
      <c r="B360" s="89" t="s">
        <v>293</v>
      </c>
      <c r="C360" s="97"/>
      <c r="D360" s="91"/>
      <c r="E360" s="91"/>
      <c r="F360" s="91"/>
      <c r="G360" s="91"/>
      <c r="H360" s="91"/>
      <c r="I360" s="91"/>
      <c r="J360" s="99">
        <f>+J358+ J359</f>
        <v>291.17999999999995</v>
      </c>
    </row>
    <row r="361" spans="1:10">
      <c r="A361" s="84"/>
      <c r="B361" s="85" t="s">
        <v>294</v>
      </c>
      <c r="C361" s="86"/>
      <c r="D361" s="88"/>
      <c r="E361" s="88"/>
      <c r="F361" s="88" t="s">
        <v>295</v>
      </c>
      <c r="G361" s="88"/>
      <c r="H361" s="88"/>
      <c r="I361" s="88" t="s">
        <v>296</v>
      </c>
      <c r="J361" s="270"/>
    </row>
    <row r="362" spans="1:10">
      <c r="A362" s="84"/>
      <c r="B362" s="93" t="s">
        <v>297</v>
      </c>
      <c r="C362" s="84"/>
      <c r="D362" s="95"/>
      <c r="E362" s="95"/>
      <c r="F362" s="95" t="s">
        <v>298</v>
      </c>
      <c r="G362" s="95"/>
      <c r="H362" s="95"/>
      <c r="I362" s="95"/>
      <c r="J362" s="276"/>
    </row>
    <row r="363" spans="1:10">
      <c r="A363" s="84"/>
      <c r="B363" s="93" t="s">
        <v>299</v>
      </c>
      <c r="C363" s="84"/>
      <c r="D363" s="95"/>
      <c r="E363" s="95"/>
      <c r="F363" s="95" t="s">
        <v>300</v>
      </c>
      <c r="G363" s="95"/>
      <c r="H363" s="95"/>
      <c r="I363" s="95"/>
      <c r="J363" s="276"/>
    </row>
    <row r="364" spans="1:10" ht="14.4" thickBot="1">
      <c r="A364" s="84"/>
      <c r="B364" s="100" t="s">
        <v>301</v>
      </c>
      <c r="C364" s="84"/>
      <c r="D364" s="95"/>
      <c r="E364" s="95"/>
      <c r="F364" s="95"/>
      <c r="G364" s="95"/>
      <c r="H364" s="95"/>
      <c r="I364" s="95"/>
      <c r="J364" s="277"/>
    </row>
    <row r="365" spans="1:10">
      <c r="A365" s="84"/>
      <c r="B365" s="86"/>
      <c r="C365" s="86"/>
      <c r="D365" s="88"/>
      <c r="E365" s="88"/>
      <c r="F365" s="88"/>
      <c r="G365" s="88"/>
      <c r="H365" s="88"/>
      <c r="I365" s="88"/>
      <c r="J365" s="88"/>
    </row>
    <row r="366" spans="1:10" ht="14.4" thickBot="1">
      <c r="A366" s="84"/>
      <c r="B366" s="84"/>
      <c r="C366" s="84"/>
      <c r="D366" s="95"/>
      <c r="E366" s="95"/>
      <c r="F366" s="95"/>
      <c r="G366" s="95"/>
      <c r="H366" s="95"/>
      <c r="I366" s="95"/>
      <c r="J366" s="95"/>
    </row>
    <row r="367" spans="1:10">
      <c r="A367" s="84"/>
      <c r="B367" s="85"/>
      <c r="C367" s="86"/>
      <c r="D367" s="87" t="s">
        <v>227</v>
      </c>
      <c r="E367" s="87"/>
      <c r="F367" s="87"/>
      <c r="G367" s="88"/>
      <c r="H367" s="88"/>
      <c r="I367" s="88"/>
      <c r="J367" s="270"/>
    </row>
    <row r="368" spans="1:10">
      <c r="A368" s="84"/>
      <c r="B368" s="89" t="s">
        <v>228</v>
      </c>
      <c r="C368" s="90" t="s">
        <v>92</v>
      </c>
      <c r="D368" s="91"/>
      <c r="E368" s="91"/>
      <c r="F368" s="91"/>
      <c r="G368" s="91"/>
      <c r="H368" s="92" t="s">
        <v>229</v>
      </c>
      <c r="I368" s="91"/>
      <c r="J368" s="99" t="s">
        <v>230</v>
      </c>
    </row>
    <row r="369" spans="1:10">
      <c r="A369" s="84"/>
      <c r="B369" s="93" t="s">
        <v>380</v>
      </c>
      <c r="C369" s="94" t="s">
        <v>383</v>
      </c>
      <c r="D369" s="95"/>
      <c r="E369" s="95"/>
      <c r="F369" s="95"/>
      <c r="G369" s="95"/>
      <c r="H369" s="96" t="s">
        <v>233</v>
      </c>
      <c r="I369" s="95"/>
      <c r="J369" s="271" t="s">
        <v>270</v>
      </c>
    </row>
    <row r="370" spans="1:10">
      <c r="A370" s="84"/>
      <c r="B370" s="89"/>
      <c r="C370" s="90"/>
      <c r="D370" s="91"/>
      <c r="E370" s="92"/>
      <c r="F370" s="92" t="s">
        <v>235</v>
      </c>
      <c r="G370" s="92"/>
      <c r="H370" s="92" t="s">
        <v>236</v>
      </c>
      <c r="I370" s="92"/>
      <c r="J370" s="99" t="s">
        <v>237</v>
      </c>
    </row>
    <row r="371" spans="1:10">
      <c r="A371" s="84"/>
      <c r="B371" s="93" t="s">
        <v>228</v>
      </c>
      <c r="C371" s="94" t="s">
        <v>238</v>
      </c>
      <c r="D371" s="95"/>
      <c r="E371" s="96" t="s">
        <v>239</v>
      </c>
      <c r="F371" s="92" t="s">
        <v>240</v>
      </c>
      <c r="G371" s="92" t="s">
        <v>241</v>
      </c>
      <c r="H371" s="92" t="s">
        <v>240</v>
      </c>
      <c r="I371" s="272" t="s">
        <v>241</v>
      </c>
      <c r="J371" s="271" t="s">
        <v>242</v>
      </c>
    </row>
    <row r="372" spans="1:10">
      <c r="A372" s="84"/>
      <c r="B372" s="273" t="s">
        <v>314</v>
      </c>
      <c r="C372" s="90" t="s">
        <v>315</v>
      </c>
      <c r="D372" s="91"/>
      <c r="E372" s="92">
        <v>1</v>
      </c>
      <c r="F372" s="92">
        <v>1</v>
      </c>
      <c r="G372" s="92">
        <v>0</v>
      </c>
      <c r="H372" s="92">
        <v>423.21</v>
      </c>
      <c r="I372" s="92">
        <v>22.38</v>
      </c>
      <c r="J372" s="99">
        <f>+ROUND(E372* ((F372*H372) + (G372*I372)),2)</f>
        <v>423.21</v>
      </c>
    </row>
    <row r="373" spans="1:10">
      <c r="A373" s="84"/>
      <c r="B373" s="274" t="s">
        <v>316</v>
      </c>
      <c r="C373" s="94" t="s">
        <v>317</v>
      </c>
      <c r="D373" s="95"/>
      <c r="E373" s="96">
        <v>2</v>
      </c>
      <c r="F373" s="96">
        <v>1</v>
      </c>
      <c r="G373" s="96">
        <v>0</v>
      </c>
      <c r="H373" s="96">
        <v>54.88</v>
      </c>
      <c r="I373" s="96">
        <v>37.49</v>
      </c>
      <c r="J373" s="271">
        <f>+ROUND(E373* ((F373*H373) + (G373*I373)),2)</f>
        <v>109.76</v>
      </c>
    </row>
    <row r="374" spans="1:10">
      <c r="A374" s="84"/>
      <c r="B374" s="274" t="s">
        <v>318</v>
      </c>
      <c r="C374" s="94" t="s">
        <v>319</v>
      </c>
      <c r="D374" s="95"/>
      <c r="E374" s="96">
        <v>1</v>
      </c>
      <c r="F374" s="96">
        <v>1</v>
      </c>
      <c r="G374" s="96">
        <v>0</v>
      </c>
      <c r="H374" s="96">
        <v>70.739999999999995</v>
      </c>
      <c r="I374" s="96">
        <v>40.17</v>
      </c>
      <c r="J374" s="271">
        <f>+ROUND(E374* ((F374*H374) + (G374*I374)),2)</f>
        <v>70.739999999999995</v>
      </c>
    </row>
    <row r="375" spans="1:10">
      <c r="A375" s="84"/>
      <c r="B375" s="274" t="s">
        <v>320</v>
      </c>
      <c r="C375" s="94" t="s">
        <v>321</v>
      </c>
      <c r="D375" s="95"/>
      <c r="E375" s="96">
        <v>1</v>
      </c>
      <c r="F375" s="96">
        <v>0.79</v>
      </c>
      <c r="G375" s="96">
        <v>0.21</v>
      </c>
      <c r="H375" s="96">
        <v>190.98</v>
      </c>
      <c r="I375" s="96">
        <v>91.51</v>
      </c>
      <c r="J375" s="271">
        <f>+ROUND(E375* ((F375*H375) + (G375*I375)),2)</f>
        <v>170.09</v>
      </c>
    </row>
    <row r="376" spans="1:10">
      <c r="A376" s="84"/>
      <c r="B376" s="274" t="s">
        <v>322</v>
      </c>
      <c r="C376" s="94" t="s">
        <v>323</v>
      </c>
      <c r="D376" s="95"/>
      <c r="E376" s="96">
        <v>1</v>
      </c>
      <c r="F376" s="96">
        <v>1</v>
      </c>
      <c r="G376" s="96">
        <v>0</v>
      </c>
      <c r="H376" s="96">
        <v>1167.48</v>
      </c>
      <c r="I376" s="96">
        <v>618.23</v>
      </c>
      <c r="J376" s="271">
        <f>+ROUND(E376* ((F376*H376) + (G376*I376)),2)</f>
        <v>1167.48</v>
      </c>
    </row>
    <row r="377" spans="1:10">
      <c r="A377" s="84"/>
      <c r="B377" s="93" t="s">
        <v>231</v>
      </c>
      <c r="C377" s="94"/>
      <c r="D377" s="95"/>
      <c r="E377" s="96"/>
      <c r="F377" s="96"/>
      <c r="G377" s="96"/>
      <c r="H377" s="96"/>
      <c r="I377" s="96"/>
      <c r="J377" s="271"/>
    </row>
    <row r="378" spans="1:10">
      <c r="A378" s="84"/>
      <c r="B378" s="93" t="s">
        <v>231</v>
      </c>
      <c r="C378" s="94"/>
      <c r="D378" s="95"/>
      <c r="E378" s="96"/>
      <c r="F378" s="96"/>
      <c r="G378" s="96"/>
      <c r="H378" s="96"/>
      <c r="I378" s="96"/>
      <c r="J378" s="271"/>
    </row>
    <row r="379" spans="1:10">
      <c r="A379" s="84"/>
      <c r="B379" s="89"/>
      <c r="C379" s="97"/>
      <c r="D379" s="91"/>
      <c r="E379" s="91"/>
      <c r="F379" s="91"/>
      <c r="G379" s="91" t="s">
        <v>249</v>
      </c>
      <c r="H379" s="91"/>
      <c r="I379" s="91"/>
      <c r="J379" s="99">
        <f>+SUBTOTAL(9,J372:J378)</f>
        <v>1941.2800000000002</v>
      </c>
    </row>
    <row r="380" spans="1:10">
      <c r="A380" s="84"/>
      <c r="B380" s="89" t="s">
        <v>228</v>
      </c>
      <c r="C380" s="90" t="s">
        <v>250</v>
      </c>
      <c r="D380" s="91"/>
      <c r="E380" s="91"/>
      <c r="F380" s="91"/>
      <c r="G380" s="91"/>
      <c r="H380" s="92" t="s">
        <v>239</v>
      </c>
      <c r="I380" s="92" t="s">
        <v>251</v>
      </c>
      <c r="J380" s="99" t="s">
        <v>252</v>
      </c>
    </row>
    <row r="381" spans="1:10">
      <c r="A381" s="84"/>
      <c r="B381" s="89" t="s">
        <v>253</v>
      </c>
      <c r="C381" s="90" t="s">
        <v>254</v>
      </c>
      <c r="D381" s="91"/>
      <c r="E381" s="91"/>
      <c r="F381" s="91"/>
      <c r="G381" s="91"/>
      <c r="H381" s="92">
        <v>4</v>
      </c>
      <c r="I381" s="92">
        <v>21.04</v>
      </c>
      <c r="J381" s="99">
        <f>+ROUND(H381*I381,2)</f>
        <v>84.16</v>
      </c>
    </row>
    <row r="382" spans="1:10">
      <c r="A382" s="84"/>
      <c r="B382" s="93" t="s">
        <v>231</v>
      </c>
      <c r="C382" s="94"/>
      <c r="D382" s="95"/>
      <c r="E382" s="95"/>
      <c r="F382" s="95"/>
      <c r="G382" s="95"/>
      <c r="H382" s="96"/>
      <c r="I382" s="96"/>
      <c r="J382" s="271"/>
    </row>
    <row r="383" spans="1:10">
      <c r="A383" s="84"/>
      <c r="B383" s="93" t="s">
        <v>231</v>
      </c>
      <c r="C383" s="94"/>
      <c r="D383" s="95"/>
      <c r="E383" s="95"/>
      <c r="F383" s="95"/>
      <c r="G383" s="95"/>
      <c r="H383" s="96"/>
      <c r="I383" s="96"/>
      <c r="J383" s="271"/>
    </row>
    <row r="384" spans="1:10">
      <c r="A384" s="84"/>
      <c r="B384" s="93" t="s">
        <v>231</v>
      </c>
      <c r="C384" s="94"/>
      <c r="D384" s="95"/>
      <c r="E384" s="95"/>
      <c r="F384" s="95"/>
      <c r="G384" s="95"/>
      <c r="H384" s="96"/>
      <c r="I384" s="96"/>
      <c r="J384" s="271"/>
    </row>
    <row r="385" spans="1:10">
      <c r="A385" s="84"/>
      <c r="B385" s="93" t="s">
        <v>231</v>
      </c>
      <c r="C385" s="94"/>
      <c r="D385" s="95"/>
      <c r="E385" s="95"/>
      <c r="F385" s="95"/>
      <c r="G385" s="95"/>
      <c r="H385" s="96"/>
      <c r="I385" s="96"/>
      <c r="J385" s="271"/>
    </row>
    <row r="386" spans="1:10">
      <c r="A386" s="84"/>
      <c r="B386" s="93" t="s">
        <v>231</v>
      </c>
      <c r="C386" s="94"/>
      <c r="D386" s="95"/>
      <c r="E386" s="95"/>
      <c r="F386" s="95"/>
      <c r="G386" s="95"/>
      <c r="H386" s="96"/>
      <c r="I386" s="96"/>
      <c r="J386" s="271"/>
    </row>
    <row r="387" spans="1:10">
      <c r="A387" s="84"/>
      <c r="B387" s="93" t="s">
        <v>231</v>
      </c>
      <c r="C387" s="94"/>
      <c r="D387" s="95"/>
      <c r="E387" s="95"/>
      <c r="F387" s="95"/>
      <c r="G387" s="95"/>
      <c r="H387" s="96"/>
      <c r="I387" s="96"/>
      <c r="J387" s="271"/>
    </row>
    <row r="388" spans="1:10">
      <c r="A388" s="84"/>
      <c r="B388" s="89"/>
      <c r="C388" s="97"/>
      <c r="D388" s="91"/>
      <c r="E388" s="91"/>
      <c r="F388" s="91"/>
      <c r="G388" s="91" t="s">
        <v>255</v>
      </c>
      <c r="H388" s="91"/>
      <c r="I388" s="91"/>
      <c r="J388" s="99">
        <f>+SUBTOTAL(9,J381:J387)</f>
        <v>84.16</v>
      </c>
    </row>
    <row r="389" spans="1:10">
      <c r="A389" s="84"/>
      <c r="B389" s="89"/>
      <c r="C389" s="97"/>
      <c r="D389" s="91"/>
      <c r="E389" s="91"/>
      <c r="F389" s="91" t="s">
        <v>256</v>
      </c>
      <c r="G389" s="91"/>
      <c r="H389" s="91"/>
      <c r="I389" s="91">
        <v>0</v>
      </c>
      <c r="J389" s="99">
        <f>+ROUND(I389*J388,2)</f>
        <v>0</v>
      </c>
    </row>
    <row r="390" spans="1:10">
      <c r="A390" s="84"/>
      <c r="B390" s="89"/>
      <c r="C390" s="97"/>
      <c r="D390" s="91"/>
      <c r="E390" s="91"/>
      <c r="F390" s="91" t="s">
        <v>257</v>
      </c>
      <c r="G390" s="91"/>
      <c r="H390" s="91"/>
      <c r="I390" s="91"/>
      <c r="J390" s="99">
        <f>+SUBTOTAL(9,J381:J389)</f>
        <v>84.16</v>
      </c>
    </row>
    <row r="391" spans="1:10">
      <c r="A391" s="84"/>
      <c r="B391" s="98"/>
      <c r="C391" s="97"/>
      <c r="D391" s="91"/>
      <c r="E391" s="91"/>
      <c r="F391" s="91"/>
      <c r="G391" s="91" t="s">
        <v>258</v>
      </c>
      <c r="H391" s="91"/>
      <c r="I391" s="91"/>
      <c r="J391" s="275">
        <f>+SUBTOTAL(9,J372:J390)</f>
        <v>2025.4400000000003</v>
      </c>
    </row>
    <row r="392" spans="1:10">
      <c r="A392" s="84"/>
      <c r="B392" s="98"/>
      <c r="C392" s="97" t="s">
        <v>259</v>
      </c>
      <c r="D392" s="91">
        <v>99.6</v>
      </c>
      <c r="E392" s="91"/>
      <c r="F392" s="91"/>
      <c r="G392" s="91" t="s">
        <v>260</v>
      </c>
      <c r="H392" s="91"/>
      <c r="I392" s="91"/>
      <c r="J392" s="275">
        <f>+ROUND(J391/D392,2)</f>
        <v>20.34</v>
      </c>
    </row>
    <row r="393" spans="1:10">
      <c r="A393" s="84"/>
      <c r="B393" s="89" t="s">
        <v>228</v>
      </c>
      <c r="C393" s="90" t="s">
        <v>261</v>
      </c>
      <c r="D393" s="91"/>
      <c r="E393" s="91"/>
      <c r="F393" s="91"/>
      <c r="G393" s="92" t="s">
        <v>230</v>
      </c>
      <c r="H393" s="92" t="s">
        <v>262</v>
      </c>
      <c r="I393" s="92" t="s">
        <v>263</v>
      </c>
      <c r="J393" s="99" t="s">
        <v>264</v>
      </c>
    </row>
    <row r="394" spans="1:10">
      <c r="A394" s="84"/>
      <c r="B394" s="89" t="s">
        <v>324</v>
      </c>
      <c r="C394" s="90" t="s">
        <v>325</v>
      </c>
      <c r="D394" s="91"/>
      <c r="E394" s="91"/>
      <c r="F394" s="91"/>
      <c r="G394" s="92" t="s">
        <v>234</v>
      </c>
      <c r="H394" s="92">
        <v>100.8</v>
      </c>
      <c r="I394" s="92">
        <v>3.1370000000000002E-2</v>
      </c>
      <c r="J394" s="99">
        <f t="shared" ref="J394:J405" si="1">+ROUND(H394*I394,2)</f>
        <v>3.16</v>
      </c>
    </row>
    <row r="395" spans="1:10">
      <c r="A395" s="84"/>
      <c r="B395" s="93" t="s">
        <v>326</v>
      </c>
      <c r="C395" s="94" t="s">
        <v>327</v>
      </c>
      <c r="D395" s="95"/>
      <c r="E395" s="95"/>
      <c r="F395" s="95"/>
      <c r="G395" s="96" t="s">
        <v>234</v>
      </c>
      <c r="H395" s="96">
        <v>45</v>
      </c>
      <c r="I395" s="96">
        <v>0.37647000000000003</v>
      </c>
      <c r="J395" s="271">
        <f t="shared" si="1"/>
        <v>16.940000000000001</v>
      </c>
    </row>
    <row r="396" spans="1:10">
      <c r="A396" s="84"/>
      <c r="B396" s="93" t="s">
        <v>328</v>
      </c>
      <c r="C396" s="94" t="s">
        <v>329</v>
      </c>
      <c r="D396" s="95"/>
      <c r="E396" s="95"/>
      <c r="F396" s="95"/>
      <c r="G396" s="96" t="s">
        <v>234</v>
      </c>
      <c r="H396" s="96">
        <v>103.06</v>
      </c>
      <c r="I396" s="96">
        <v>4.7059999999999998E-2</v>
      </c>
      <c r="J396" s="271">
        <f t="shared" si="1"/>
        <v>4.8499999999999996</v>
      </c>
    </row>
    <row r="397" spans="1:10">
      <c r="A397" s="84"/>
      <c r="B397" s="93" t="s">
        <v>330</v>
      </c>
      <c r="C397" s="94" t="s">
        <v>331</v>
      </c>
      <c r="D397" s="95"/>
      <c r="E397" s="95"/>
      <c r="F397" s="95"/>
      <c r="G397" s="96" t="s">
        <v>332</v>
      </c>
      <c r="H397" s="96">
        <v>0.41</v>
      </c>
      <c r="I397" s="96">
        <v>70.58</v>
      </c>
      <c r="J397" s="271">
        <f t="shared" si="1"/>
        <v>28.94</v>
      </c>
    </row>
    <row r="398" spans="1:10">
      <c r="A398" s="84"/>
      <c r="B398" s="93" t="s">
        <v>333</v>
      </c>
      <c r="C398" s="94" t="s">
        <v>334</v>
      </c>
      <c r="D398" s="95"/>
      <c r="E398" s="95"/>
      <c r="F398" s="95"/>
      <c r="G398" s="96" t="s">
        <v>234</v>
      </c>
      <c r="H398" s="96">
        <v>119.07</v>
      </c>
      <c r="I398" s="96">
        <v>0.12548999999999999</v>
      </c>
      <c r="J398" s="271">
        <f t="shared" si="1"/>
        <v>14.94</v>
      </c>
    </row>
    <row r="399" spans="1:10">
      <c r="A399" s="84"/>
      <c r="B399" s="93" t="s">
        <v>335</v>
      </c>
      <c r="C399" s="94" t="s">
        <v>336</v>
      </c>
      <c r="D399" s="95"/>
      <c r="E399" s="95"/>
      <c r="F399" s="95"/>
      <c r="G399" s="96" t="s">
        <v>337</v>
      </c>
      <c r="H399" s="96">
        <v>5.83</v>
      </c>
      <c r="I399" s="96">
        <v>8</v>
      </c>
      <c r="J399" s="271">
        <f t="shared" si="1"/>
        <v>46.64</v>
      </c>
    </row>
    <row r="400" spans="1:10">
      <c r="A400" s="84"/>
      <c r="B400" s="93" t="s">
        <v>384</v>
      </c>
      <c r="C400" s="94" t="s">
        <v>116</v>
      </c>
      <c r="D400" s="95"/>
      <c r="E400" s="95"/>
      <c r="F400" s="95"/>
      <c r="G400" s="96" t="s">
        <v>270</v>
      </c>
      <c r="H400" s="96">
        <v>0</v>
      </c>
      <c r="I400" s="96">
        <v>5.8819999999999997E-2</v>
      </c>
      <c r="J400" s="271">
        <f t="shared" si="1"/>
        <v>0</v>
      </c>
    </row>
    <row r="401" spans="1:10">
      <c r="A401" s="84"/>
      <c r="B401" s="93" t="s">
        <v>339</v>
      </c>
      <c r="C401" s="94" t="s">
        <v>340</v>
      </c>
      <c r="D401" s="95"/>
      <c r="E401" s="95"/>
      <c r="F401" s="95"/>
      <c r="G401" s="96" t="s">
        <v>270</v>
      </c>
      <c r="H401" s="96">
        <v>1.75</v>
      </c>
      <c r="I401" s="96">
        <v>4.7059999999999998E-2</v>
      </c>
      <c r="J401" s="271">
        <f t="shared" si="1"/>
        <v>0.08</v>
      </c>
    </row>
    <row r="402" spans="1:10">
      <c r="A402" s="84"/>
      <c r="B402" s="93" t="s">
        <v>341</v>
      </c>
      <c r="C402" s="94" t="s">
        <v>342</v>
      </c>
      <c r="D402" s="95"/>
      <c r="E402" s="95"/>
      <c r="F402" s="95"/>
      <c r="G402" s="96" t="s">
        <v>270</v>
      </c>
      <c r="H402" s="96">
        <v>1.75</v>
      </c>
      <c r="I402" s="96">
        <v>0.56471000000000005</v>
      </c>
      <c r="J402" s="271">
        <f t="shared" si="1"/>
        <v>0.99</v>
      </c>
    </row>
    <row r="403" spans="1:10">
      <c r="A403" s="84"/>
      <c r="B403" s="93" t="s">
        <v>343</v>
      </c>
      <c r="C403" s="94" t="s">
        <v>344</v>
      </c>
      <c r="D403" s="95"/>
      <c r="E403" s="95"/>
      <c r="F403" s="95"/>
      <c r="G403" s="96" t="s">
        <v>270</v>
      </c>
      <c r="H403" s="96">
        <v>1.75</v>
      </c>
      <c r="I403" s="96">
        <v>7.059E-2</v>
      </c>
      <c r="J403" s="271">
        <f t="shared" si="1"/>
        <v>0.12</v>
      </c>
    </row>
    <row r="404" spans="1:10">
      <c r="A404" s="84"/>
      <c r="B404" s="93" t="s">
        <v>345</v>
      </c>
      <c r="C404" s="94" t="s">
        <v>346</v>
      </c>
      <c r="D404" s="95"/>
      <c r="E404" s="95"/>
      <c r="F404" s="95"/>
      <c r="G404" s="96" t="s">
        <v>270</v>
      </c>
      <c r="H404" s="96">
        <v>17.93</v>
      </c>
      <c r="I404" s="96">
        <v>7.0580000000000004E-2</v>
      </c>
      <c r="J404" s="271">
        <f t="shared" si="1"/>
        <v>1.27</v>
      </c>
    </row>
    <row r="405" spans="1:10">
      <c r="A405" s="84"/>
      <c r="B405" s="93" t="s">
        <v>347</v>
      </c>
      <c r="C405" s="94" t="s">
        <v>348</v>
      </c>
      <c r="D405" s="95"/>
      <c r="E405" s="95"/>
      <c r="F405" s="95"/>
      <c r="G405" s="96" t="s">
        <v>270</v>
      </c>
      <c r="H405" s="96">
        <v>1.75</v>
      </c>
      <c r="I405" s="96">
        <v>0.18823999999999999</v>
      </c>
      <c r="J405" s="271">
        <f t="shared" si="1"/>
        <v>0.33</v>
      </c>
    </row>
    <row r="406" spans="1:10">
      <c r="A406" s="84"/>
      <c r="B406" s="89"/>
      <c r="C406" s="97"/>
      <c r="D406" s="91"/>
      <c r="E406" s="91"/>
      <c r="F406" s="91"/>
      <c r="G406" s="91" t="s">
        <v>275</v>
      </c>
      <c r="H406" s="91"/>
      <c r="I406" s="91"/>
      <c r="J406" s="99">
        <f>+SUBTOTAL(9,J394:J405)</f>
        <v>118.25999999999999</v>
      </c>
    </row>
    <row r="407" spans="1:10">
      <c r="A407" s="84"/>
      <c r="B407" s="89" t="s">
        <v>228</v>
      </c>
      <c r="C407" s="90" t="s">
        <v>276</v>
      </c>
      <c r="D407" s="91"/>
      <c r="E407" s="91"/>
      <c r="F407" s="91"/>
      <c r="G407" s="92" t="s">
        <v>230</v>
      </c>
      <c r="H407" s="92" t="s">
        <v>262</v>
      </c>
      <c r="I407" s="92" t="s">
        <v>263</v>
      </c>
      <c r="J407" s="99" t="s">
        <v>264</v>
      </c>
    </row>
    <row r="408" spans="1:10">
      <c r="A408" s="84"/>
      <c r="B408" s="89" t="s">
        <v>231</v>
      </c>
      <c r="C408" s="90"/>
      <c r="D408" s="91"/>
      <c r="E408" s="91"/>
      <c r="F408" s="91"/>
      <c r="G408" s="92"/>
      <c r="H408" s="92"/>
      <c r="I408" s="92"/>
      <c r="J408" s="99"/>
    </row>
    <row r="409" spans="1:10">
      <c r="A409" s="84"/>
      <c r="B409" s="93" t="s">
        <v>231</v>
      </c>
      <c r="C409" s="94"/>
      <c r="D409" s="95"/>
      <c r="E409" s="95"/>
      <c r="F409" s="95"/>
      <c r="G409" s="96"/>
      <c r="H409" s="96"/>
      <c r="I409" s="96"/>
      <c r="J409" s="271"/>
    </row>
    <row r="410" spans="1:10">
      <c r="A410" s="84"/>
      <c r="B410" s="93" t="s">
        <v>231</v>
      </c>
      <c r="C410" s="94"/>
      <c r="D410" s="95"/>
      <c r="E410" s="95"/>
      <c r="F410" s="95"/>
      <c r="G410" s="96"/>
      <c r="H410" s="96"/>
      <c r="I410" s="96"/>
      <c r="J410" s="271"/>
    </row>
    <row r="411" spans="1:10">
      <c r="A411" s="84"/>
      <c r="B411" s="93" t="s">
        <v>231</v>
      </c>
      <c r="C411" s="94"/>
      <c r="D411" s="95"/>
      <c r="E411" s="95"/>
      <c r="F411" s="95"/>
      <c r="G411" s="96"/>
      <c r="H411" s="96"/>
      <c r="I411" s="96"/>
      <c r="J411" s="271"/>
    </row>
    <row r="412" spans="1:10">
      <c r="A412" s="84"/>
      <c r="B412" s="93" t="s">
        <v>231</v>
      </c>
      <c r="C412" s="94"/>
      <c r="D412" s="95"/>
      <c r="E412" s="95"/>
      <c r="F412" s="95"/>
      <c r="G412" s="96"/>
      <c r="H412" s="96"/>
      <c r="I412" s="96"/>
      <c r="J412" s="271"/>
    </row>
    <row r="413" spans="1:10">
      <c r="A413" s="84"/>
      <c r="B413" s="89"/>
      <c r="C413" s="97"/>
      <c r="D413" s="91"/>
      <c r="E413" s="91"/>
      <c r="F413" s="91"/>
      <c r="G413" s="91" t="s">
        <v>279</v>
      </c>
      <c r="H413" s="91"/>
      <c r="I413" s="91"/>
      <c r="J413" s="99">
        <f>+SUBTOTAL(9,J408:J412)</f>
        <v>0</v>
      </c>
    </row>
    <row r="414" spans="1:10">
      <c r="A414" s="84"/>
      <c r="B414" s="89" t="s">
        <v>228</v>
      </c>
      <c r="C414" s="90" t="s">
        <v>280</v>
      </c>
      <c r="D414" s="92" t="s">
        <v>281</v>
      </c>
      <c r="E414" s="92" t="s">
        <v>282</v>
      </c>
      <c r="F414" s="92" t="s">
        <v>283</v>
      </c>
      <c r="G414" s="92" t="s">
        <v>284</v>
      </c>
      <c r="H414" s="92" t="s">
        <v>285</v>
      </c>
      <c r="I414" s="92" t="s">
        <v>263</v>
      </c>
      <c r="J414" s="99" t="s">
        <v>286</v>
      </c>
    </row>
    <row r="415" spans="1:10">
      <c r="A415" s="84"/>
      <c r="B415" s="89" t="s">
        <v>349</v>
      </c>
      <c r="C415" s="90" t="s">
        <v>350</v>
      </c>
      <c r="D415" s="92" t="s">
        <v>289</v>
      </c>
      <c r="E415" s="92">
        <v>0</v>
      </c>
      <c r="F415" s="92">
        <v>147</v>
      </c>
      <c r="G415" s="92">
        <v>147</v>
      </c>
      <c r="H415" s="92">
        <v>0.79</v>
      </c>
      <c r="I415" s="92">
        <v>4.7059999999999998E-2</v>
      </c>
      <c r="J415" s="99">
        <f>+ROUND(G415*H415*I415,2)</f>
        <v>5.47</v>
      </c>
    </row>
    <row r="416" spans="1:10">
      <c r="A416" s="84"/>
      <c r="B416" s="93" t="s">
        <v>351</v>
      </c>
      <c r="C416" s="94" t="s">
        <v>352</v>
      </c>
      <c r="D416" s="96" t="s">
        <v>289</v>
      </c>
      <c r="E416" s="96">
        <v>0</v>
      </c>
      <c r="F416" s="96">
        <v>158</v>
      </c>
      <c r="G416" s="96">
        <v>158</v>
      </c>
      <c r="H416" s="96">
        <v>0.79</v>
      </c>
      <c r="I416" s="96">
        <v>0.56471000000000005</v>
      </c>
      <c r="J416" s="271">
        <f>+ROUND(G416*H416*I416,2)</f>
        <v>70.489999999999995</v>
      </c>
    </row>
    <row r="417" spans="1:10">
      <c r="A417" s="84"/>
      <c r="B417" s="93" t="s">
        <v>353</v>
      </c>
      <c r="C417" s="94" t="s">
        <v>354</v>
      </c>
      <c r="D417" s="96" t="s">
        <v>289</v>
      </c>
      <c r="E417" s="96">
        <v>0</v>
      </c>
      <c r="F417" s="96">
        <v>147</v>
      </c>
      <c r="G417" s="96">
        <v>147</v>
      </c>
      <c r="H417" s="96">
        <v>0.79</v>
      </c>
      <c r="I417" s="96">
        <v>7.059E-2</v>
      </c>
      <c r="J417" s="271">
        <f>+ROUND(G417*H417*I417,2)</f>
        <v>8.1999999999999993</v>
      </c>
    </row>
    <row r="418" spans="1:10">
      <c r="A418" s="84"/>
      <c r="B418" s="93" t="s">
        <v>355</v>
      </c>
      <c r="C418" s="94" t="s">
        <v>356</v>
      </c>
      <c r="D418" s="96" t="s">
        <v>289</v>
      </c>
      <c r="E418" s="96">
        <v>0</v>
      </c>
      <c r="F418" s="96">
        <v>56.58</v>
      </c>
      <c r="G418" s="96">
        <v>56.58</v>
      </c>
      <c r="H418" s="96">
        <v>0.6</v>
      </c>
      <c r="I418" s="96">
        <v>7.0580000000000004E-2</v>
      </c>
      <c r="J418" s="271">
        <f>+ROUND(G418*H418*I418,2)</f>
        <v>2.4</v>
      </c>
    </row>
    <row r="419" spans="1:10">
      <c r="A419" s="84"/>
      <c r="B419" s="93" t="s">
        <v>357</v>
      </c>
      <c r="C419" s="94" t="s">
        <v>358</v>
      </c>
      <c r="D419" s="96" t="s">
        <v>289</v>
      </c>
      <c r="E419" s="96">
        <v>0</v>
      </c>
      <c r="F419" s="96">
        <v>147</v>
      </c>
      <c r="G419" s="96">
        <v>147</v>
      </c>
      <c r="H419" s="96">
        <v>0.79</v>
      </c>
      <c r="I419" s="96">
        <v>0.18823999999999999</v>
      </c>
      <c r="J419" s="271">
        <f>+ROUND(G419*H419*I419,2)</f>
        <v>21.86</v>
      </c>
    </row>
    <row r="420" spans="1:10">
      <c r="A420" s="84"/>
      <c r="B420" s="93" t="s">
        <v>231</v>
      </c>
      <c r="C420" s="94"/>
      <c r="D420" s="96"/>
      <c r="E420" s="96"/>
      <c r="F420" s="96"/>
      <c r="G420" s="96"/>
      <c r="H420" s="96"/>
      <c r="I420" s="96"/>
      <c r="J420" s="271"/>
    </row>
    <row r="421" spans="1:10">
      <c r="A421" s="84"/>
      <c r="B421" s="93" t="s">
        <v>231</v>
      </c>
      <c r="C421" s="94"/>
      <c r="D421" s="96"/>
      <c r="E421" s="96"/>
      <c r="F421" s="96"/>
      <c r="G421" s="96"/>
      <c r="H421" s="96"/>
      <c r="I421" s="96"/>
      <c r="J421" s="271"/>
    </row>
    <row r="422" spans="1:10">
      <c r="A422" s="84"/>
      <c r="B422" s="89"/>
      <c r="C422" s="97"/>
      <c r="D422" s="91"/>
      <c r="E422" s="91"/>
      <c r="F422" s="91"/>
      <c r="G422" s="91" t="s">
        <v>290</v>
      </c>
      <c r="H422" s="91"/>
      <c r="I422" s="91"/>
      <c r="J422" s="99">
        <f>+SUBTOTAL(9,J415:J421)</f>
        <v>108.42</v>
      </c>
    </row>
    <row r="423" spans="1:10">
      <c r="A423" s="84"/>
      <c r="B423" s="89" t="s">
        <v>291</v>
      </c>
      <c r="C423" s="97"/>
      <c r="D423" s="91"/>
      <c r="E423" s="91"/>
      <c r="F423" s="91"/>
      <c r="G423" s="91"/>
      <c r="H423" s="91"/>
      <c r="I423" s="91"/>
      <c r="J423" s="99">
        <f>+SUBTOTAL(9,J392:J421)</f>
        <v>247.02000000000004</v>
      </c>
    </row>
    <row r="424" spans="1:10">
      <c r="A424" s="84"/>
      <c r="B424" s="89" t="s">
        <v>292</v>
      </c>
      <c r="C424" s="97"/>
      <c r="D424" s="91">
        <v>0</v>
      </c>
      <c r="E424" s="91"/>
      <c r="F424" s="91"/>
      <c r="G424" s="91"/>
      <c r="H424" s="91"/>
      <c r="I424" s="91"/>
      <c r="J424" s="99">
        <f>+ROUND(J423*D424/100,2)</f>
        <v>0</v>
      </c>
    </row>
    <row r="425" spans="1:10" ht="14.4" thickBot="1">
      <c r="A425" s="84"/>
      <c r="B425" s="89" t="s">
        <v>293</v>
      </c>
      <c r="C425" s="97"/>
      <c r="D425" s="91"/>
      <c r="E425" s="91"/>
      <c r="F425" s="91"/>
      <c r="G425" s="91"/>
      <c r="H425" s="91"/>
      <c r="I425" s="91"/>
      <c r="J425" s="99">
        <f>+J423+ J424</f>
        <v>247.02000000000004</v>
      </c>
    </row>
    <row r="426" spans="1:10">
      <c r="A426" s="84"/>
      <c r="B426" s="85" t="s">
        <v>294</v>
      </c>
      <c r="C426" s="86"/>
      <c r="D426" s="88"/>
      <c r="E426" s="88"/>
      <c r="F426" s="88" t="s">
        <v>295</v>
      </c>
      <c r="G426" s="88"/>
      <c r="H426" s="88"/>
      <c r="I426" s="88" t="s">
        <v>296</v>
      </c>
      <c r="J426" s="270"/>
    </row>
    <row r="427" spans="1:10">
      <c r="A427" s="84"/>
      <c r="B427" s="93" t="s">
        <v>297</v>
      </c>
      <c r="C427" s="84"/>
      <c r="D427" s="95"/>
      <c r="E427" s="95"/>
      <c r="F427" s="95" t="s">
        <v>298</v>
      </c>
      <c r="G427" s="95"/>
      <c r="H427" s="95"/>
      <c r="I427" s="95"/>
      <c r="J427" s="276"/>
    </row>
    <row r="428" spans="1:10">
      <c r="A428" s="84"/>
      <c r="B428" s="93" t="s">
        <v>299</v>
      </c>
      <c r="C428" s="84"/>
      <c r="D428" s="95"/>
      <c r="E428" s="95"/>
      <c r="F428" s="95" t="s">
        <v>300</v>
      </c>
      <c r="G428" s="95"/>
      <c r="H428" s="95"/>
      <c r="I428" s="95"/>
      <c r="J428" s="276"/>
    </row>
    <row r="429" spans="1:10" ht="14.4" thickBot="1">
      <c r="A429" s="84"/>
      <c r="B429" s="100" t="s">
        <v>301</v>
      </c>
      <c r="C429" s="84"/>
      <c r="D429" s="95"/>
      <c r="E429" s="95"/>
      <c r="F429" s="95"/>
      <c r="G429" s="95"/>
      <c r="H429" s="95"/>
      <c r="I429" s="95"/>
      <c r="J429" s="277"/>
    </row>
    <row r="430" spans="1:10">
      <c r="A430" s="84"/>
      <c r="B430" s="86"/>
      <c r="C430" s="86"/>
      <c r="D430" s="88"/>
      <c r="E430" s="88"/>
      <c r="F430" s="88"/>
      <c r="G430" s="88"/>
      <c r="H430" s="88"/>
      <c r="I430" s="88"/>
      <c r="J430" s="88"/>
    </row>
    <row r="431" spans="1:10" ht="14.4" thickBot="1">
      <c r="A431" s="84"/>
      <c r="B431" s="84"/>
      <c r="C431" s="84"/>
      <c r="D431" s="95"/>
      <c r="E431" s="95"/>
      <c r="F431" s="95"/>
      <c r="G431" s="95"/>
      <c r="H431" s="95"/>
      <c r="I431" s="95"/>
      <c r="J431" s="95"/>
    </row>
    <row r="432" spans="1:10">
      <c r="A432" s="84"/>
      <c r="B432" s="85"/>
      <c r="C432" s="86"/>
      <c r="D432" s="87" t="s">
        <v>227</v>
      </c>
      <c r="E432" s="87"/>
      <c r="F432" s="87"/>
      <c r="G432" s="88"/>
      <c r="H432" s="88"/>
      <c r="I432" s="88"/>
      <c r="J432" s="270"/>
    </row>
    <row r="433" spans="1:10">
      <c r="A433" s="84"/>
      <c r="B433" s="89" t="s">
        <v>228</v>
      </c>
      <c r="C433" s="90" t="s">
        <v>92</v>
      </c>
      <c r="D433" s="91"/>
      <c r="E433" s="91"/>
      <c r="F433" s="91"/>
      <c r="G433" s="91"/>
      <c r="H433" s="92" t="s">
        <v>229</v>
      </c>
      <c r="I433" s="91"/>
      <c r="J433" s="99" t="s">
        <v>230</v>
      </c>
    </row>
    <row r="434" spans="1:10">
      <c r="A434" s="84"/>
      <c r="B434" s="93" t="s">
        <v>231</v>
      </c>
      <c r="C434" s="94" t="s">
        <v>385</v>
      </c>
      <c r="D434" s="95"/>
      <c r="E434" s="95"/>
      <c r="F434" s="95"/>
      <c r="G434" s="95"/>
      <c r="H434" s="96" t="s">
        <v>233</v>
      </c>
      <c r="I434" s="95"/>
      <c r="J434" s="271" t="s">
        <v>386</v>
      </c>
    </row>
    <row r="435" spans="1:10">
      <c r="A435" s="84"/>
      <c r="B435" s="89"/>
      <c r="C435" s="90"/>
      <c r="D435" s="91"/>
      <c r="E435" s="92"/>
      <c r="F435" s="92" t="s">
        <v>235</v>
      </c>
      <c r="G435" s="92"/>
      <c r="H435" s="92" t="s">
        <v>236</v>
      </c>
      <c r="I435" s="92"/>
      <c r="J435" s="99" t="s">
        <v>237</v>
      </c>
    </row>
    <row r="436" spans="1:10">
      <c r="A436" s="84"/>
      <c r="B436" s="93" t="s">
        <v>228</v>
      </c>
      <c r="C436" s="94" t="s">
        <v>238</v>
      </c>
      <c r="D436" s="95"/>
      <c r="E436" s="96" t="s">
        <v>239</v>
      </c>
      <c r="F436" s="92" t="s">
        <v>240</v>
      </c>
      <c r="G436" s="92" t="s">
        <v>241</v>
      </c>
      <c r="H436" s="92" t="s">
        <v>240</v>
      </c>
      <c r="I436" s="272" t="s">
        <v>241</v>
      </c>
      <c r="J436" s="271" t="s">
        <v>242</v>
      </c>
    </row>
    <row r="437" spans="1:10">
      <c r="A437" s="84"/>
      <c r="B437" s="273" t="s">
        <v>247</v>
      </c>
      <c r="C437" s="90" t="s">
        <v>248</v>
      </c>
      <c r="D437" s="91"/>
      <c r="E437" s="92">
        <v>1</v>
      </c>
      <c r="F437" s="92">
        <v>1</v>
      </c>
      <c r="G437" s="92">
        <v>0</v>
      </c>
      <c r="H437" s="92">
        <v>20.67</v>
      </c>
      <c r="I437" s="92">
        <v>1.77</v>
      </c>
      <c r="J437" s="99">
        <f>+ROUND(E437* ((F437*H437) + (G437*I437)),2)</f>
        <v>20.67</v>
      </c>
    </row>
    <row r="438" spans="1:10">
      <c r="A438" s="84"/>
      <c r="B438" s="274" t="s">
        <v>387</v>
      </c>
      <c r="C438" s="94" t="s">
        <v>388</v>
      </c>
      <c r="D438" s="95"/>
      <c r="E438" s="96">
        <v>1</v>
      </c>
      <c r="F438" s="96">
        <v>1</v>
      </c>
      <c r="G438" s="96">
        <v>0</v>
      </c>
      <c r="H438" s="96">
        <v>10.77</v>
      </c>
      <c r="I438" s="96">
        <v>0.88</v>
      </c>
      <c r="J438" s="271">
        <f>+ROUND(E438* ((F438*H438) + (G438*I438)),2)</f>
        <v>10.77</v>
      </c>
    </row>
    <row r="439" spans="1:10">
      <c r="A439" s="84"/>
      <c r="B439" s="93" t="s">
        <v>231</v>
      </c>
      <c r="C439" s="94"/>
      <c r="D439" s="95"/>
      <c r="E439" s="96"/>
      <c r="F439" s="96"/>
      <c r="G439" s="96"/>
      <c r="H439" s="96"/>
      <c r="I439" s="96"/>
      <c r="J439" s="271"/>
    </row>
    <row r="440" spans="1:10">
      <c r="A440" s="84"/>
      <c r="B440" s="93" t="s">
        <v>231</v>
      </c>
      <c r="C440" s="94"/>
      <c r="D440" s="95"/>
      <c r="E440" s="96"/>
      <c r="F440" s="96"/>
      <c r="G440" s="96"/>
      <c r="H440" s="96"/>
      <c r="I440" s="96"/>
      <c r="J440" s="271"/>
    </row>
    <row r="441" spans="1:10">
      <c r="A441" s="84"/>
      <c r="B441" s="93" t="s">
        <v>231</v>
      </c>
      <c r="C441" s="94"/>
      <c r="D441" s="95"/>
      <c r="E441" s="96"/>
      <c r="F441" s="96"/>
      <c r="G441" s="96"/>
      <c r="H441" s="96"/>
      <c r="I441" s="96"/>
      <c r="J441" s="271"/>
    </row>
    <row r="442" spans="1:10">
      <c r="A442" s="84"/>
      <c r="B442" s="93" t="s">
        <v>231</v>
      </c>
      <c r="C442" s="94"/>
      <c r="D442" s="95"/>
      <c r="E442" s="96"/>
      <c r="F442" s="96"/>
      <c r="G442" s="96"/>
      <c r="H442" s="96"/>
      <c r="I442" s="96"/>
      <c r="J442" s="271"/>
    </row>
    <row r="443" spans="1:10">
      <c r="A443" s="84"/>
      <c r="B443" s="93" t="s">
        <v>231</v>
      </c>
      <c r="C443" s="94"/>
      <c r="D443" s="95"/>
      <c r="E443" s="96"/>
      <c r="F443" s="96"/>
      <c r="G443" s="96"/>
      <c r="H443" s="96"/>
      <c r="I443" s="96"/>
      <c r="J443" s="271"/>
    </row>
    <row r="444" spans="1:10">
      <c r="A444" s="84"/>
      <c r="B444" s="89"/>
      <c r="C444" s="97"/>
      <c r="D444" s="91"/>
      <c r="E444" s="91"/>
      <c r="F444" s="91"/>
      <c r="G444" s="91" t="s">
        <v>249</v>
      </c>
      <c r="H444" s="91"/>
      <c r="I444" s="91"/>
      <c r="J444" s="99">
        <f>+SUBTOTAL(9,J437:J443)</f>
        <v>31.44</v>
      </c>
    </row>
    <row r="445" spans="1:10">
      <c r="A445" s="84"/>
      <c r="B445" s="89" t="s">
        <v>228</v>
      </c>
      <c r="C445" s="90" t="s">
        <v>250</v>
      </c>
      <c r="D445" s="91"/>
      <c r="E445" s="91"/>
      <c r="F445" s="91"/>
      <c r="G445" s="91"/>
      <c r="H445" s="92" t="s">
        <v>239</v>
      </c>
      <c r="I445" s="92" t="s">
        <v>251</v>
      </c>
      <c r="J445" s="99" t="s">
        <v>252</v>
      </c>
    </row>
    <row r="446" spans="1:10">
      <c r="A446" s="84"/>
      <c r="B446" s="89" t="s">
        <v>253</v>
      </c>
      <c r="C446" s="90" t="s">
        <v>254</v>
      </c>
      <c r="D446" s="91"/>
      <c r="E446" s="91"/>
      <c r="F446" s="91"/>
      <c r="G446" s="91"/>
      <c r="H446" s="92">
        <v>4</v>
      </c>
      <c r="I446" s="92">
        <v>21.04</v>
      </c>
      <c r="J446" s="99">
        <f>+ROUND(H446*I446,2)</f>
        <v>84.16</v>
      </c>
    </row>
    <row r="447" spans="1:10">
      <c r="A447" s="84"/>
      <c r="B447" s="93" t="s">
        <v>231</v>
      </c>
      <c r="C447" s="94"/>
      <c r="D447" s="95"/>
      <c r="E447" s="95"/>
      <c r="F447" s="95"/>
      <c r="G447" s="95"/>
      <c r="H447" s="96"/>
      <c r="I447" s="96"/>
      <c r="J447" s="271"/>
    </row>
    <row r="448" spans="1:10">
      <c r="A448" s="84"/>
      <c r="B448" s="93" t="s">
        <v>231</v>
      </c>
      <c r="C448" s="94"/>
      <c r="D448" s="95"/>
      <c r="E448" s="95"/>
      <c r="F448" s="95"/>
      <c r="G448" s="95"/>
      <c r="H448" s="96"/>
      <c r="I448" s="96"/>
      <c r="J448" s="271"/>
    </row>
    <row r="449" spans="1:10">
      <c r="A449" s="84"/>
      <c r="B449" s="93" t="s">
        <v>231</v>
      </c>
      <c r="C449" s="94"/>
      <c r="D449" s="95"/>
      <c r="E449" s="95"/>
      <c r="F449" s="95"/>
      <c r="G449" s="95"/>
      <c r="H449" s="96"/>
      <c r="I449" s="96"/>
      <c r="J449" s="271"/>
    </row>
    <row r="450" spans="1:10">
      <c r="A450" s="84"/>
      <c r="B450" s="93" t="s">
        <v>231</v>
      </c>
      <c r="C450" s="94"/>
      <c r="D450" s="95"/>
      <c r="E450" s="95"/>
      <c r="F450" s="95"/>
      <c r="G450" s="95"/>
      <c r="H450" s="96"/>
      <c r="I450" s="96"/>
      <c r="J450" s="271"/>
    </row>
    <row r="451" spans="1:10">
      <c r="A451" s="84"/>
      <c r="B451" s="93" t="s">
        <v>231</v>
      </c>
      <c r="C451" s="94"/>
      <c r="D451" s="95"/>
      <c r="E451" s="95"/>
      <c r="F451" s="95"/>
      <c r="G451" s="95"/>
      <c r="H451" s="96"/>
      <c r="I451" s="96"/>
      <c r="J451" s="271"/>
    </row>
    <row r="452" spans="1:10">
      <c r="A452" s="84"/>
      <c r="B452" s="93" t="s">
        <v>231</v>
      </c>
      <c r="C452" s="94"/>
      <c r="D452" s="95"/>
      <c r="E452" s="95"/>
      <c r="F452" s="95"/>
      <c r="G452" s="95"/>
      <c r="H452" s="96"/>
      <c r="I452" s="96"/>
      <c r="J452" s="271"/>
    </row>
    <row r="453" spans="1:10">
      <c r="A453" s="84"/>
      <c r="B453" s="89"/>
      <c r="C453" s="97"/>
      <c r="D453" s="91"/>
      <c r="E453" s="91"/>
      <c r="F453" s="91"/>
      <c r="G453" s="91" t="s">
        <v>255</v>
      </c>
      <c r="H453" s="91"/>
      <c r="I453" s="91"/>
      <c r="J453" s="99">
        <f>+SUBTOTAL(9,J446:J452)</f>
        <v>84.16</v>
      </c>
    </row>
    <row r="454" spans="1:10">
      <c r="A454" s="84"/>
      <c r="B454" s="89"/>
      <c r="C454" s="97"/>
      <c r="D454" s="91"/>
      <c r="E454" s="91"/>
      <c r="F454" s="91" t="s">
        <v>256</v>
      </c>
      <c r="G454" s="91"/>
      <c r="H454" s="91"/>
      <c r="I454" s="91">
        <v>0</v>
      </c>
      <c r="J454" s="99">
        <f>+ROUND(I454*J453,2)</f>
        <v>0</v>
      </c>
    </row>
    <row r="455" spans="1:10">
      <c r="A455" s="84"/>
      <c r="B455" s="89"/>
      <c r="C455" s="97"/>
      <c r="D455" s="91"/>
      <c r="E455" s="91"/>
      <c r="F455" s="91" t="s">
        <v>257</v>
      </c>
      <c r="G455" s="91"/>
      <c r="H455" s="91"/>
      <c r="I455" s="91"/>
      <c r="J455" s="99">
        <f>+SUBTOTAL(9,J446:J454)</f>
        <v>84.16</v>
      </c>
    </row>
    <row r="456" spans="1:10">
      <c r="A456" s="84"/>
      <c r="B456" s="98"/>
      <c r="C456" s="97"/>
      <c r="D456" s="91"/>
      <c r="E456" s="91"/>
      <c r="F456" s="91"/>
      <c r="G456" s="91" t="s">
        <v>258</v>
      </c>
      <c r="H456" s="91"/>
      <c r="I456" s="91"/>
      <c r="J456" s="275">
        <f>+SUBTOTAL(9,J437:J455)</f>
        <v>115.6</v>
      </c>
    </row>
    <row r="457" spans="1:10">
      <c r="A457" s="84"/>
      <c r="B457" s="98"/>
      <c r="C457" s="97" t="s">
        <v>259</v>
      </c>
      <c r="D457" s="91">
        <v>37.58</v>
      </c>
      <c r="E457" s="91"/>
      <c r="F457" s="91"/>
      <c r="G457" s="91" t="s">
        <v>260</v>
      </c>
      <c r="H457" s="91"/>
      <c r="I457" s="91"/>
      <c r="J457" s="275">
        <f>+ROUND(J456/D457,2)</f>
        <v>3.08</v>
      </c>
    </row>
    <row r="458" spans="1:10">
      <c r="A458" s="84"/>
      <c r="B458" s="89" t="s">
        <v>228</v>
      </c>
      <c r="C458" s="90" t="s">
        <v>261</v>
      </c>
      <c r="D458" s="91"/>
      <c r="E458" s="91"/>
      <c r="F458" s="91"/>
      <c r="G458" s="92" t="s">
        <v>230</v>
      </c>
      <c r="H458" s="92" t="s">
        <v>262</v>
      </c>
      <c r="I458" s="92" t="s">
        <v>263</v>
      </c>
      <c r="J458" s="99" t="s">
        <v>264</v>
      </c>
    </row>
    <row r="459" spans="1:10">
      <c r="A459" s="84"/>
      <c r="B459" s="89" t="s">
        <v>389</v>
      </c>
      <c r="C459" s="90" t="s">
        <v>390</v>
      </c>
      <c r="D459" s="91"/>
      <c r="E459" s="91"/>
      <c r="F459" s="91"/>
      <c r="G459" s="92" t="s">
        <v>332</v>
      </c>
      <c r="H459" s="92">
        <v>107.34</v>
      </c>
      <c r="I459" s="92">
        <v>0.2175</v>
      </c>
      <c r="J459" s="99">
        <f>+ROUND(H459*I459,2)</f>
        <v>23.35</v>
      </c>
    </row>
    <row r="460" spans="1:10">
      <c r="A460" s="84"/>
      <c r="B460" s="93" t="s">
        <v>391</v>
      </c>
      <c r="C460" s="94" t="s">
        <v>392</v>
      </c>
      <c r="D460" s="95"/>
      <c r="E460" s="95"/>
      <c r="F460" s="95"/>
      <c r="G460" s="96" t="s">
        <v>386</v>
      </c>
      <c r="H460" s="96">
        <v>0.25</v>
      </c>
      <c r="I460" s="96">
        <v>1</v>
      </c>
      <c r="J460" s="271">
        <f>+ROUND(H460*I460,2)</f>
        <v>0.25</v>
      </c>
    </row>
    <row r="461" spans="1:10">
      <c r="A461" s="84"/>
      <c r="B461" s="93" t="s">
        <v>265</v>
      </c>
      <c r="C461" s="94" t="s">
        <v>266</v>
      </c>
      <c r="D461" s="95"/>
      <c r="E461" s="95"/>
      <c r="F461" s="95"/>
      <c r="G461" s="96" t="s">
        <v>267</v>
      </c>
      <c r="H461" s="96">
        <v>448.91</v>
      </c>
      <c r="I461" s="96">
        <v>6.6699999999999997E-3</v>
      </c>
      <c r="J461" s="271">
        <f>+ROUND(H461*I461,2)</f>
        <v>2.99</v>
      </c>
    </row>
    <row r="462" spans="1:10">
      <c r="A462" s="84"/>
      <c r="B462" s="93" t="s">
        <v>393</v>
      </c>
      <c r="C462" s="94" t="s">
        <v>394</v>
      </c>
      <c r="D462" s="95"/>
      <c r="E462" s="95"/>
      <c r="F462" s="95"/>
      <c r="G462" s="96" t="s">
        <v>270</v>
      </c>
      <c r="H462" s="96">
        <v>30.45</v>
      </c>
      <c r="I462" s="96">
        <v>2.2000000000000001E-4</v>
      </c>
      <c r="J462" s="271">
        <f>+ROUND(H462*I462,2)</f>
        <v>0.01</v>
      </c>
    </row>
    <row r="463" spans="1:10">
      <c r="A463" s="84"/>
      <c r="B463" s="93" t="s">
        <v>231</v>
      </c>
      <c r="C463" s="94"/>
      <c r="D463" s="95"/>
      <c r="E463" s="95"/>
      <c r="F463" s="95"/>
      <c r="G463" s="96"/>
      <c r="H463" s="96"/>
      <c r="I463" s="96"/>
      <c r="J463" s="271"/>
    </row>
    <row r="464" spans="1:10">
      <c r="A464" s="84"/>
      <c r="B464" s="93" t="s">
        <v>231</v>
      </c>
      <c r="C464" s="94"/>
      <c r="D464" s="95"/>
      <c r="E464" s="95"/>
      <c r="F464" s="95"/>
      <c r="G464" s="96"/>
      <c r="H464" s="96"/>
      <c r="I464" s="96"/>
      <c r="J464" s="271"/>
    </row>
    <row r="465" spans="1:10">
      <c r="A465" s="84"/>
      <c r="B465" s="93" t="s">
        <v>231</v>
      </c>
      <c r="C465" s="94"/>
      <c r="D465" s="95"/>
      <c r="E465" s="95"/>
      <c r="F465" s="95"/>
      <c r="G465" s="96"/>
      <c r="H465" s="96"/>
      <c r="I465" s="96"/>
      <c r="J465" s="271"/>
    </row>
    <row r="466" spans="1:10">
      <c r="A466" s="84"/>
      <c r="B466" s="89"/>
      <c r="C466" s="97"/>
      <c r="D466" s="91"/>
      <c r="E466" s="91"/>
      <c r="F466" s="91"/>
      <c r="G466" s="91" t="s">
        <v>275</v>
      </c>
      <c r="H466" s="91"/>
      <c r="I466" s="91"/>
      <c r="J466" s="99">
        <f>+SUBTOTAL(9,J459:J465)</f>
        <v>26.600000000000005</v>
      </c>
    </row>
    <row r="467" spans="1:10">
      <c r="A467" s="84"/>
      <c r="B467" s="89" t="s">
        <v>228</v>
      </c>
      <c r="C467" s="90" t="s">
        <v>276</v>
      </c>
      <c r="D467" s="91"/>
      <c r="E467" s="91"/>
      <c r="F467" s="91"/>
      <c r="G467" s="92" t="s">
        <v>230</v>
      </c>
      <c r="H467" s="92" t="s">
        <v>262</v>
      </c>
      <c r="I467" s="92" t="s">
        <v>263</v>
      </c>
      <c r="J467" s="99" t="s">
        <v>264</v>
      </c>
    </row>
    <row r="468" spans="1:10">
      <c r="A468" s="84"/>
      <c r="B468" s="89" t="s">
        <v>231</v>
      </c>
      <c r="C468" s="90"/>
      <c r="D468" s="91"/>
      <c r="E468" s="91"/>
      <c r="F468" s="91"/>
      <c r="G468" s="92"/>
      <c r="H468" s="92"/>
      <c r="I468" s="92"/>
      <c r="J468" s="99"/>
    </row>
    <row r="469" spans="1:10">
      <c r="A469" s="84"/>
      <c r="B469" s="93" t="s">
        <v>231</v>
      </c>
      <c r="C469" s="94"/>
      <c r="D469" s="95"/>
      <c r="E469" s="95"/>
      <c r="F469" s="95"/>
      <c r="G469" s="96"/>
      <c r="H469" s="96"/>
      <c r="I469" s="96"/>
      <c r="J469" s="271"/>
    </row>
    <row r="470" spans="1:10">
      <c r="A470" s="84"/>
      <c r="B470" s="93" t="s">
        <v>231</v>
      </c>
      <c r="C470" s="94"/>
      <c r="D470" s="95"/>
      <c r="E470" s="95"/>
      <c r="F470" s="95"/>
      <c r="G470" s="96"/>
      <c r="H470" s="96"/>
      <c r="I470" s="96"/>
      <c r="J470" s="271"/>
    </row>
    <row r="471" spans="1:10">
      <c r="A471" s="84"/>
      <c r="B471" s="93" t="s">
        <v>231</v>
      </c>
      <c r="C471" s="94"/>
      <c r="D471" s="95"/>
      <c r="E471" s="95"/>
      <c r="F471" s="95"/>
      <c r="G471" s="96"/>
      <c r="H471" s="96"/>
      <c r="I471" s="96"/>
      <c r="J471" s="271"/>
    </row>
    <row r="472" spans="1:10">
      <c r="A472" s="84"/>
      <c r="B472" s="93" t="s">
        <v>231</v>
      </c>
      <c r="C472" s="94"/>
      <c r="D472" s="95"/>
      <c r="E472" s="95"/>
      <c r="F472" s="95"/>
      <c r="G472" s="96"/>
      <c r="H472" s="96"/>
      <c r="I472" s="96"/>
      <c r="J472" s="271"/>
    </row>
    <row r="473" spans="1:10">
      <c r="A473" s="84"/>
      <c r="B473" s="89"/>
      <c r="C473" s="97"/>
      <c r="D473" s="91"/>
      <c r="E473" s="91"/>
      <c r="F473" s="91"/>
      <c r="G473" s="91" t="s">
        <v>279</v>
      </c>
      <c r="H473" s="91"/>
      <c r="I473" s="91"/>
      <c r="J473" s="99">
        <f>+SUBTOTAL(9,J468:J472)</f>
        <v>0</v>
      </c>
    </row>
    <row r="474" spans="1:10">
      <c r="A474" s="84"/>
      <c r="B474" s="89" t="s">
        <v>228</v>
      </c>
      <c r="C474" s="90" t="s">
        <v>280</v>
      </c>
      <c r="D474" s="92" t="s">
        <v>281</v>
      </c>
      <c r="E474" s="92" t="s">
        <v>282</v>
      </c>
      <c r="F474" s="92" t="s">
        <v>283</v>
      </c>
      <c r="G474" s="92" t="s">
        <v>284</v>
      </c>
      <c r="H474" s="92" t="s">
        <v>285</v>
      </c>
      <c r="I474" s="92" t="s">
        <v>263</v>
      </c>
      <c r="J474" s="99" t="s">
        <v>286</v>
      </c>
    </row>
    <row r="475" spans="1:10">
      <c r="A475" s="84"/>
      <c r="B475" s="89" t="s">
        <v>395</v>
      </c>
      <c r="C475" s="90" t="s">
        <v>396</v>
      </c>
      <c r="D475" s="92" t="s">
        <v>289</v>
      </c>
      <c r="E475" s="92">
        <v>0</v>
      </c>
      <c r="F475" s="92">
        <v>56.58</v>
      </c>
      <c r="G475" s="92">
        <v>56.58</v>
      </c>
      <c r="H475" s="92">
        <v>1.21</v>
      </c>
      <c r="I475" s="92">
        <v>2.2000000000000001E-4</v>
      </c>
      <c r="J475" s="99">
        <f>+ROUND(G475*H475*I475,2)</f>
        <v>0.02</v>
      </c>
    </row>
    <row r="476" spans="1:10">
      <c r="A476" s="84"/>
      <c r="B476" s="93" t="s">
        <v>231</v>
      </c>
      <c r="C476" s="94"/>
      <c r="D476" s="96"/>
      <c r="E476" s="96"/>
      <c r="F476" s="96"/>
      <c r="G476" s="96"/>
      <c r="H476" s="96"/>
      <c r="I476" s="96"/>
      <c r="J476" s="271"/>
    </row>
    <row r="477" spans="1:10">
      <c r="A477" s="84"/>
      <c r="B477" s="93" t="s">
        <v>231</v>
      </c>
      <c r="C477" s="94"/>
      <c r="D477" s="96"/>
      <c r="E477" s="96"/>
      <c r="F477" s="96"/>
      <c r="G477" s="96"/>
      <c r="H477" s="96"/>
      <c r="I477" s="96"/>
      <c r="J477" s="271"/>
    </row>
    <row r="478" spans="1:10">
      <c r="A478" s="84"/>
      <c r="B478" s="93" t="s">
        <v>231</v>
      </c>
      <c r="C478" s="94"/>
      <c r="D478" s="96"/>
      <c r="E478" s="96"/>
      <c r="F478" s="96"/>
      <c r="G478" s="96"/>
      <c r="H478" s="96"/>
      <c r="I478" s="96"/>
      <c r="J478" s="271"/>
    </row>
    <row r="479" spans="1:10">
      <c r="A479" s="84"/>
      <c r="B479" s="93" t="s">
        <v>231</v>
      </c>
      <c r="C479" s="94"/>
      <c r="D479" s="96"/>
      <c r="E479" s="96"/>
      <c r="F479" s="96"/>
      <c r="G479" s="96"/>
      <c r="H479" s="96"/>
      <c r="I479" s="96"/>
      <c r="J479" s="271"/>
    </row>
    <row r="480" spans="1:10">
      <c r="A480" s="84"/>
      <c r="B480" s="93" t="s">
        <v>231</v>
      </c>
      <c r="C480" s="94"/>
      <c r="D480" s="96"/>
      <c r="E480" s="96"/>
      <c r="F480" s="96"/>
      <c r="G480" s="96"/>
      <c r="H480" s="96"/>
      <c r="I480" s="96"/>
      <c r="J480" s="271"/>
    </row>
    <row r="481" spans="1:10">
      <c r="A481" s="84"/>
      <c r="B481" s="93" t="s">
        <v>231</v>
      </c>
      <c r="C481" s="94"/>
      <c r="D481" s="96"/>
      <c r="E481" s="96"/>
      <c r="F481" s="96"/>
      <c r="G481" s="96"/>
      <c r="H481" s="96"/>
      <c r="I481" s="96"/>
      <c r="J481" s="271"/>
    </row>
    <row r="482" spans="1:10">
      <c r="A482" s="84"/>
      <c r="B482" s="89"/>
      <c r="C482" s="97"/>
      <c r="D482" s="91"/>
      <c r="E482" s="91"/>
      <c r="F482" s="91"/>
      <c r="G482" s="91" t="s">
        <v>290</v>
      </c>
      <c r="H482" s="91"/>
      <c r="I482" s="91"/>
      <c r="J482" s="99">
        <f>+SUBTOTAL(9,J475:J481)</f>
        <v>0.02</v>
      </c>
    </row>
    <row r="483" spans="1:10">
      <c r="A483" s="84"/>
      <c r="B483" s="89" t="s">
        <v>291</v>
      </c>
      <c r="C483" s="97"/>
      <c r="D483" s="91"/>
      <c r="E483" s="91"/>
      <c r="F483" s="91"/>
      <c r="G483" s="91"/>
      <c r="H483" s="91"/>
      <c r="I483" s="91"/>
      <c r="J483" s="99">
        <f>+SUBTOTAL(9,J457:J481)</f>
        <v>29.700000000000003</v>
      </c>
    </row>
    <row r="484" spans="1:10">
      <c r="A484" s="84"/>
      <c r="B484" s="89" t="s">
        <v>292</v>
      </c>
      <c r="C484" s="97"/>
      <c r="D484" s="91">
        <v>0</v>
      </c>
      <c r="E484" s="91"/>
      <c r="F484" s="91"/>
      <c r="G484" s="91"/>
      <c r="H484" s="91"/>
      <c r="I484" s="91"/>
      <c r="J484" s="99">
        <f>+ROUND(J483*D484/100,2)</f>
        <v>0</v>
      </c>
    </row>
    <row r="485" spans="1:10" ht="14.4" thickBot="1">
      <c r="A485" s="84"/>
      <c r="B485" s="89" t="s">
        <v>293</v>
      </c>
      <c r="C485" s="97"/>
      <c r="D485" s="91"/>
      <c r="E485" s="91"/>
      <c r="F485" s="91"/>
      <c r="G485" s="91"/>
      <c r="H485" s="91"/>
      <c r="I485" s="91"/>
      <c r="J485" s="99">
        <f>+J483+ J484</f>
        <v>29.700000000000003</v>
      </c>
    </row>
    <row r="486" spans="1:10">
      <c r="A486" s="84"/>
      <c r="B486" s="85" t="s">
        <v>294</v>
      </c>
      <c r="C486" s="86"/>
      <c r="D486" s="88"/>
      <c r="E486" s="88"/>
      <c r="F486" s="88" t="s">
        <v>295</v>
      </c>
      <c r="G486" s="88"/>
      <c r="H486" s="88"/>
      <c r="I486" s="88" t="s">
        <v>296</v>
      </c>
      <c r="J486" s="270"/>
    </row>
    <row r="487" spans="1:10">
      <c r="A487" s="84"/>
      <c r="B487" s="93" t="s">
        <v>297</v>
      </c>
      <c r="C487" s="84"/>
      <c r="D487" s="95"/>
      <c r="E487" s="95"/>
      <c r="F487" s="95" t="s">
        <v>298</v>
      </c>
      <c r="G487" s="95"/>
      <c r="H487" s="95"/>
      <c r="I487" s="95"/>
      <c r="J487" s="276"/>
    </row>
    <row r="488" spans="1:10">
      <c r="A488" s="84"/>
      <c r="B488" s="93" t="s">
        <v>299</v>
      </c>
      <c r="C488" s="84"/>
      <c r="D488" s="95"/>
      <c r="E488" s="95"/>
      <c r="F488" s="95" t="s">
        <v>300</v>
      </c>
      <c r="G488" s="95"/>
      <c r="H488" s="95"/>
      <c r="I488" s="95"/>
      <c r="J488" s="276"/>
    </row>
    <row r="489" spans="1:10" ht="14.4" thickBot="1">
      <c r="A489" s="84"/>
      <c r="B489" s="100" t="s">
        <v>301</v>
      </c>
      <c r="C489" s="84"/>
      <c r="D489" s="95"/>
      <c r="E489" s="95"/>
      <c r="F489" s="95"/>
      <c r="G489" s="95"/>
      <c r="H489" s="95"/>
      <c r="I489" s="95"/>
      <c r="J489" s="277"/>
    </row>
    <row r="490" spans="1:10">
      <c r="A490" s="84"/>
      <c r="B490" s="86"/>
      <c r="C490" s="86"/>
      <c r="D490" s="88"/>
      <c r="E490" s="88"/>
      <c r="F490" s="88"/>
      <c r="G490" s="88"/>
      <c r="H490" s="88"/>
      <c r="I490" s="88"/>
      <c r="J490" s="88"/>
    </row>
    <row r="491" spans="1:10" ht="14.4" thickBot="1">
      <c r="A491" s="84"/>
      <c r="B491" s="84"/>
      <c r="C491" s="84"/>
      <c r="D491" s="95"/>
      <c r="E491" s="95"/>
      <c r="F491" s="95"/>
      <c r="G491" s="95"/>
      <c r="H491" s="95"/>
      <c r="I491" s="95"/>
      <c r="J491" s="95"/>
    </row>
    <row r="492" spans="1:10">
      <c r="A492" s="84"/>
      <c r="B492" s="85"/>
      <c r="C492" s="86"/>
      <c r="D492" s="87" t="s">
        <v>227</v>
      </c>
      <c r="E492" s="87"/>
      <c r="F492" s="87"/>
      <c r="G492" s="88"/>
      <c r="H492" s="88"/>
      <c r="I492" s="88"/>
      <c r="J492" s="270"/>
    </row>
    <row r="493" spans="1:10">
      <c r="A493" s="84"/>
      <c r="B493" s="89" t="s">
        <v>228</v>
      </c>
      <c r="C493" s="90" t="s">
        <v>92</v>
      </c>
      <c r="D493" s="91"/>
      <c r="E493" s="91"/>
      <c r="F493" s="91"/>
      <c r="G493" s="91"/>
      <c r="H493" s="92" t="s">
        <v>229</v>
      </c>
      <c r="I493" s="91"/>
      <c r="J493" s="99" t="s">
        <v>230</v>
      </c>
    </row>
    <row r="494" spans="1:10">
      <c r="A494" s="84"/>
      <c r="B494" s="93" t="s">
        <v>231</v>
      </c>
      <c r="C494" s="94" t="s">
        <v>397</v>
      </c>
      <c r="D494" s="95"/>
      <c r="E494" s="95"/>
      <c r="F494" s="95"/>
      <c r="G494" s="95"/>
      <c r="H494" s="96" t="s">
        <v>233</v>
      </c>
      <c r="I494" s="95"/>
      <c r="J494" s="271" t="s">
        <v>375</v>
      </c>
    </row>
    <row r="495" spans="1:10">
      <c r="A495" s="84"/>
      <c r="B495" s="89"/>
      <c r="C495" s="90"/>
      <c r="D495" s="91"/>
      <c r="E495" s="92"/>
      <c r="F495" s="92" t="s">
        <v>235</v>
      </c>
      <c r="G495" s="92"/>
      <c r="H495" s="92" t="s">
        <v>236</v>
      </c>
      <c r="I495" s="92"/>
      <c r="J495" s="99" t="s">
        <v>237</v>
      </c>
    </row>
    <row r="496" spans="1:10">
      <c r="A496" s="84"/>
      <c r="B496" s="93" t="s">
        <v>228</v>
      </c>
      <c r="C496" s="94" t="s">
        <v>238</v>
      </c>
      <c r="D496" s="95"/>
      <c r="E496" s="96" t="s">
        <v>239</v>
      </c>
      <c r="F496" s="92" t="s">
        <v>240</v>
      </c>
      <c r="G496" s="92" t="s">
        <v>241</v>
      </c>
      <c r="H496" s="92" t="s">
        <v>240</v>
      </c>
      <c r="I496" s="272" t="s">
        <v>241</v>
      </c>
      <c r="J496" s="271" t="s">
        <v>242</v>
      </c>
    </row>
    <row r="497" spans="1:10">
      <c r="A497" s="84"/>
      <c r="B497" s="273" t="s">
        <v>398</v>
      </c>
      <c r="C497" s="90" t="s">
        <v>399</v>
      </c>
      <c r="D497" s="91"/>
      <c r="E497" s="92">
        <v>1</v>
      </c>
      <c r="F497" s="92">
        <v>1</v>
      </c>
      <c r="G497" s="92">
        <v>0</v>
      </c>
      <c r="H497" s="92">
        <v>34.700000000000003</v>
      </c>
      <c r="I497" s="92">
        <v>25.11</v>
      </c>
      <c r="J497" s="99">
        <f>+ROUND(E497* ((F497*H497) + (G497*I497)),2)</f>
        <v>34.700000000000003</v>
      </c>
    </row>
    <row r="498" spans="1:10">
      <c r="A498" s="84"/>
      <c r="B498" s="274" t="s">
        <v>400</v>
      </c>
      <c r="C498" s="94" t="s">
        <v>401</v>
      </c>
      <c r="D498" s="95"/>
      <c r="E498" s="96">
        <v>1</v>
      </c>
      <c r="F498" s="96">
        <v>0.03</v>
      </c>
      <c r="G498" s="96">
        <v>0.97</v>
      </c>
      <c r="H498" s="96">
        <v>257.73</v>
      </c>
      <c r="I498" s="96">
        <v>71.84</v>
      </c>
      <c r="J498" s="271">
        <f>+ROUND(E498* ((F498*H498) + (G498*I498)),2)</f>
        <v>77.42</v>
      </c>
    </row>
    <row r="499" spans="1:10">
      <c r="A499" s="84"/>
      <c r="B499" s="93" t="s">
        <v>231</v>
      </c>
      <c r="C499" s="94"/>
      <c r="D499" s="95"/>
      <c r="E499" s="96"/>
      <c r="F499" s="96"/>
      <c r="G499" s="96"/>
      <c r="H499" s="96"/>
      <c r="I499" s="96"/>
      <c r="J499" s="271"/>
    </row>
    <row r="500" spans="1:10">
      <c r="A500" s="84"/>
      <c r="B500" s="93" t="s">
        <v>231</v>
      </c>
      <c r="C500" s="94"/>
      <c r="D500" s="95"/>
      <c r="E500" s="96"/>
      <c r="F500" s="96"/>
      <c r="G500" s="96"/>
      <c r="H500" s="96"/>
      <c r="I500" s="96"/>
      <c r="J500" s="271"/>
    </row>
    <row r="501" spans="1:10">
      <c r="A501" s="84"/>
      <c r="B501" s="93" t="s">
        <v>231</v>
      </c>
      <c r="C501" s="94"/>
      <c r="D501" s="95"/>
      <c r="E501" s="96"/>
      <c r="F501" s="96"/>
      <c r="G501" s="96"/>
      <c r="H501" s="96"/>
      <c r="I501" s="96"/>
      <c r="J501" s="271"/>
    </row>
    <row r="502" spans="1:10">
      <c r="A502" s="84"/>
      <c r="B502" s="93" t="s">
        <v>231</v>
      </c>
      <c r="C502" s="94"/>
      <c r="D502" s="95"/>
      <c r="E502" s="96"/>
      <c r="F502" s="96"/>
      <c r="G502" s="96"/>
      <c r="H502" s="96"/>
      <c r="I502" s="96"/>
      <c r="J502" s="271"/>
    </row>
    <row r="503" spans="1:10">
      <c r="A503" s="84"/>
      <c r="B503" s="93" t="s">
        <v>231</v>
      </c>
      <c r="C503" s="94"/>
      <c r="D503" s="95"/>
      <c r="E503" s="96"/>
      <c r="F503" s="96"/>
      <c r="G503" s="96"/>
      <c r="H503" s="96"/>
      <c r="I503" s="96"/>
      <c r="J503" s="271"/>
    </row>
    <row r="504" spans="1:10">
      <c r="A504" s="84"/>
      <c r="B504" s="89"/>
      <c r="C504" s="97"/>
      <c r="D504" s="91"/>
      <c r="E504" s="91"/>
      <c r="F504" s="91"/>
      <c r="G504" s="91" t="s">
        <v>249</v>
      </c>
      <c r="H504" s="91"/>
      <c r="I504" s="91"/>
      <c r="J504" s="99">
        <f>+SUBTOTAL(9,J497:J503)</f>
        <v>112.12</v>
      </c>
    </row>
    <row r="505" spans="1:10">
      <c r="A505" s="84"/>
      <c r="B505" s="89" t="s">
        <v>228</v>
      </c>
      <c r="C505" s="90" t="s">
        <v>250</v>
      </c>
      <c r="D505" s="91"/>
      <c r="E505" s="91"/>
      <c r="F505" s="91"/>
      <c r="G505" s="91"/>
      <c r="H505" s="92" t="s">
        <v>239</v>
      </c>
      <c r="I505" s="92" t="s">
        <v>251</v>
      </c>
      <c r="J505" s="99" t="s">
        <v>252</v>
      </c>
    </row>
    <row r="506" spans="1:10">
      <c r="A506" s="84"/>
      <c r="B506" s="89" t="s">
        <v>253</v>
      </c>
      <c r="C506" s="90" t="s">
        <v>254</v>
      </c>
      <c r="D506" s="91"/>
      <c r="E506" s="91"/>
      <c r="F506" s="91"/>
      <c r="G506" s="91"/>
      <c r="H506" s="92">
        <v>1</v>
      </c>
      <c r="I506" s="92">
        <v>21.04</v>
      </c>
      <c r="J506" s="99">
        <f>+ROUND(H506*I506,2)</f>
        <v>21.04</v>
      </c>
    </row>
    <row r="507" spans="1:10">
      <c r="A507" s="84"/>
      <c r="B507" s="93" t="s">
        <v>231</v>
      </c>
      <c r="C507" s="94"/>
      <c r="D507" s="95"/>
      <c r="E507" s="95"/>
      <c r="F507" s="95"/>
      <c r="G507" s="95"/>
      <c r="H507" s="96"/>
      <c r="I507" s="96"/>
      <c r="J507" s="271"/>
    </row>
    <row r="508" spans="1:10">
      <c r="A508" s="84"/>
      <c r="B508" s="93" t="s">
        <v>231</v>
      </c>
      <c r="C508" s="94"/>
      <c r="D508" s="95"/>
      <c r="E508" s="95"/>
      <c r="F508" s="95"/>
      <c r="G508" s="95"/>
      <c r="H508" s="96"/>
      <c r="I508" s="96"/>
      <c r="J508" s="271"/>
    </row>
    <row r="509" spans="1:10">
      <c r="A509" s="84"/>
      <c r="B509" s="93" t="s">
        <v>231</v>
      </c>
      <c r="C509" s="94"/>
      <c r="D509" s="95"/>
      <c r="E509" s="95"/>
      <c r="F509" s="95"/>
      <c r="G509" s="95"/>
      <c r="H509" s="96"/>
      <c r="I509" s="96"/>
      <c r="J509" s="271"/>
    </row>
    <row r="510" spans="1:10">
      <c r="A510" s="84"/>
      <c r="B510" s="93" t="s">
        <v>231</v>
      </c>
      <c r="C510" s="94"/>
      <c r="D510" s="95"/>
      <c r="E510" s="95"/>
      <c r="F510" s="95"/>
      <c r="G510" s="95"/>
      <c r="H510" s="96"/>
      <c r="I510" s="96"/>
      <c r="J510" s="271"/>
    </row>
    <row r="511" spans="1:10">
      <c r="A511" s="84"/>
      <c r="B511" s="93" t="s">
        <v>231</v>
      </c>
      <c r="C511" s="94"/>
      <c r="D511" s="95"/>
      <c r="E511" s="95"/>
      <c r="F511" s="95"/>
      <c r="G511" s="95"/>
      <c r="H511" s="96"/>
      <c r="I511" s="96"/>
      <c r="J511" s="271"/>
    </row>
    <row r="512" spans="1:10">
      <c r="A512" s="84"/>
      <c r="B512" s="93" t="s">
        <v>231</v>
      </c>
      <c r="C512" s="94"/>
      <c r="D512" s="95"/>
      <c r="E512" s="95"/>
      <c r="F512" s="95"/>
      <c r="G512" s="95"/>
      <c r="H512" s="96"/>
      <c r="I512" s="96"/>
      <c r="J512" s="271"/>
    </row>
    <row r="513" spans="1:10">
      <c r="A513" s="84"/>
      <c r="B513" s="89"/>
      <c r="C513" s="97"/>
      <c r="D513" s="91"/>
      <c r="E513" s="91"/>
      <c r="F513" s="91"/>
      <c r="G513" s="91" t="s">
        <v>255</v>
      </c>
      <c r="H513" s="91"/>
      <c r="I513" s="91"/>
      <c r="J513" s="99">
        <f>+SUBTOTAL(9,J506:J512)</f>
        <v>21.04</v>
      </c>
    </row>
    <row r="514" spans="1:10">
      <c r="A514" s="84"/>
      <c r="B514" s="89"/>
      <c r="C514" s="97"/>
      <c r="D514" s="91"/>
      <c r="E514" s="91"/>
      <c r="F514" s="91" t="s">
        <v>256</v>
      </c>
      <c r="G514" s="91"/>
      <c r="H514" s="91"/>
      <c r="I514" s="91">
        <v>0</v>
      </c>
      <c r="J514" s="99">
        <f>+ROUND(I514*J513,2)</f>
        <v>0</v>
      </c>
    </row>
    <row r="515" spans="1:10">
      <c r="A515" s="84"/>
      <c r="B515" s="89"/>
      <c r="C515" s="97"/>
      <c r="D515" s="91"/>
      <c r="E515" s="91"/>
      <c r="F515" s="91" t="s">
        <v>257</v>
      </c>
      <c r="G515" s="91"/>
      <c r="H515" s="91"/>
      <c r="I515" s="91"/>
      <c r="J515" s="99">
        <f>+SUBTOTAL(9,J506:J514)</f>
        <v>21.04</v>
      </c>
    </row>
    <row r="516" spans="1:10">
      <c r="A516" s="84"/>
      <c r="B516" s="98"/>
      <c r="C516" s="97"/>
      <c r="D516" s="91"/>
      <c r="E516" s="91"/>
      <c r="F516" s="91"/>
      <c r="G516" s="91" t="s">
        <v>258</v>
      </c>
      <c r="H516" s="91"/>
      <c r="I516" s="91"/>
      <c r="J516" s="275">
        <f>+SUBTOTAL(9,J497:J515)</f>
        <v>133.16</v>
      </c>
    </row>
    <row r="517" spans="1:10">
      <c r="A517" s="84"/>
      <c r="B517" s="98"/>
      <c r="C517" s="97" t="s">
        <v>259</v>
      </c>
      <c r="D517" s="91">
        <v>56.27</v>
      </c>
      <c r="E517" s="91"/>
      <c r="F517" s="91"/>
      <c r="G517" s="91" t="s">
        <v>260</v>
      </c>
      <c r="H517" s="91"/>
      <c r="I517" s="91"/>
      <c r="J517" s="275">
        <f>+ROUND(J516/D517,2)</f>
        <v>2.37</v>
      </c>
    </row>
    <row r="518" spans="1:10">
      <c r="A518" s="84"/>
      <c r="B518" s="89" t="s">
        <v>228</v>
      </c>
      <c r="C518" s="90" t="s">
        <v>261</v>
      </c>
      <c r="D518" s="91"/>
      <c r="E518" s="91"/>
      <c r="F518" s="91"/>
      <c r="G518" s="92" t="s">
        <v>230</v>
      </c>
      <c r="H518" s="92" t="s">
        <v>262</v>
      </c>
      <c r="I518" s="92" t="s">
        <v>263</v>
      </c>
      <c r="J518" s="99" t="s">
        <v>264</v>
      </c>
    </row>
    <row r="519" spans="1:10">
      <c r="A519" s="84"/>
      <c r="B519" s="89" t="s">
        <v>231</v>
      </c>
      <c r="C519" s="90"/>
      <c r="D519" s="91"/>
      <c r="E519" s="91"/>
      <c r="F519" s="91"/>
      <c r="G519" s="92"/>
      <c r="H519" s="92"/>
      <c r="I519" s="92"/>
      <c r="J519" s="99"/>
    </row>
    <row r="520" spans="1:10">
      <c r="A520" s="84"/>
      <c r="B520" s="93" t="s">
        <v>231</v>
      </c>
      <c r="C520" s="94"/>
      <c r="D520" s="95"/>
      <c r="E520" s="95"/>
      <c r="F520" s="95"/>
      <c r="G520" s="96"/>
      <c r="H520" s="96"/>
      <c r="I520" s="96"/>
      <c r="J520" s="271"/>
    </row>
    <row r="521" spans="1:10">
      <c r="A521" s="84"/>
      <c r="B521" s="93" t="s">
        <v>231</v>
      </c>
      <c r="C521" s="94"/>
      <c r="D521" s="95"/>
      <c r="E521" s="95"/>
      <c r="F521" s="95"/>
      <c r="G521" s="96"/>
      <c r="H521" s="96"/>
      <c r="I521" s="96"/>
      <c r="J521" s="271"/>
    </row>
    <row r="522" spans="1:10">
      <c r="A522" s="84"/>
      <c r="B522" s="93" t="s">
        <v>231</v>
      </c>
      <c r="C522" s="94"/>
      <c r="D522" s="95"/>
      <c r="E522" s="95"/>
      <c r="F522" s="95"/>
      <c r="G522" s="96"/>
      <c r="H522" s="96"/>
      <c r="I522" s="96"/>
      <c r="J522" s="271"/>
    </row>
    <row r="523" spans="1:10">
      <c r="A523" s="84"/>
      <c r="B523" s="93" t="s">
        <v>231</v>
      </c>
      <c r="C523" s="94"/>
      <c r="D523" s="95"/>
      <c r="E523" s="95"/>
      <c r="F523" s="95"/>
      <c r="G523" s="96"/>
      <c r="H523" s="96"/>
      <c r="I523" s="96"/>
      <c r="J523" s="271"/>
    </row>
    <row r="524" spans="1:10">
      <c r="A524" s="84"/>
      <c r="B524" s="93" t="s">
        <v>231</v>
      </c>
      <c r="C524" s="94"/>
      <c r="D524" s="95"/>
      <c r="E524" s="95"/>
      <c r="F524" s="95"/>
      <c r="G524" s="96"/>
      <c r="H524" s="96"/>
      <c r="I524" s="96"/>
      <c r="J524" s="271"/>
    </row>
    <row r="525" spans="1:10">
      <c r="A525" s="84"/>
      <c r="B525" s="93" t="s">
        <v>231</v>
      </c>
      <c r="C525" s="94"/>
      <c r="D525" s="95"/>
      <c r="E525" s="95"/>
      <c r="F525" s="95"/>
      <c r="G525" s="96"/>
      <c r="H525" s="96"/>
      <c r="I525" s="96"/>
      <c r="J525" s="271"/>
    </row>
    <row r="526" spans="1:10">
      <c r="A526" s="84"/>
      <c r="B526" s="89"/>
      <c r="C526" s="97"/>
      <c r="D526" s="91"/>
      <c r="E526" s="91"/>
      <c r="F526" s="91"/>
      <c r="G526" s="91" t="s">
        <v>275</v>
      </c>
      <c r="H526" s="91"/>
      <c r="I526" s="91"/>
      <c r="J526" s="99">
        <f>+SUBTOTAL(9,J519:J525)</f>
        <v>0</v>
      </c>
    </row>
    <row r="527" spans="1:10">
      <c r="A527" s="84"/>
      <c r="B527" s="89" t="s">
        <v>228</v>
      </c>
      <c r="C527" s="90" t="s">
        <v>276</v>
      </c>
      <c r="D527" s="91"/>
      <c r="E527" s="91"/>
      <c r="F527" s="91"/>
      <c r="G527" s="92" t="s">
        <v>230</v>
      </c>
      <c r="H527" s="92" t="s">
        <v>262</v>
      </c>
      <c r="I527" s="92" t="s">
        <v>263</v>
      </c>
      <c r="J527" s="99" t="s">
        <v>264</v>
      </c>
    </row>
    <row r="528" spans="1:10">
      <c r="A528" s="84"/>
      <c r="B528" s="89" t="s">
        <v>231</v>
      </c>
      <c r="C528" s="90"/>
      <c r="D528" s="91"/>
      <c r="E528" s="91"/>
      <c r="F528" s="91"/>
      <c r="G528" s="92"/>
      <c r="H528" s="92"/>
      <c r="I528" s="92"/>
      <c r="J528" s="99"/>
    </row>
    <row r="529" spans="1:10">
      <c r="A529" s="84"/>
      <c r="B529" s="93" t="s">
        <v>231</v>
      </c>
      <c r="C529" s="94"/>
      <c r="D529" s="95"/>
      <c r="E529" s="95"/>
      <c r="F529" s="95"/>
      <c r="G529" s="96"/>
      <c r="H529" s="96"/>
      <c r="I529" s="96"/>
      <c r="J529" s="271"/>
    </row>
    <row r="530" spans="1:10">
      <c r="A530" s="84"/>
      <c r="B530" s="93" t="s">
        <v>231</v>
      </c>
      <c r="C530" s="94"/>
      <c r="D530" s="95"/>
      <c r="E530" s="95"/>
      <c r="F530" s="95"/>
      <c r="G530" s="96"/>
      <c r="H530" s="96"/>
      <c r="I530" s="96"/>
      <c r="J530" s="271"/>
    </row>
    <row r="531" spans="1:10">
      <c r="A531" s="84"/>
      <c r="B531" s="93" t="s">
        <v>231</v>
      </c>
      <c r="C531" s="94"/>
      <c r="D531" s="95"/>
      <c r="E531" s="95"/>
      <c r="F531" s="95"/>
      <c r="G531" s="96"/>
      <c r="H531" s="96"/>
      <c r="I531" s="96"/>
      <c r="J531" s="271"/>
    </row>
    <row r="532" spans="1:10">
      <c r="A532" s="84"/>
      <c r="B532" s="93" t="s">
        <v>231</v>
      </c>
      <c r="C532" s="94"/>
      <c r="D532" s="95"/>
      <c r="E532" s="95"/>
      <c r="F532" s="95"/>
      <c r="G532" s="96"/>
      <c r="H532" s="96"/>
      <c r="I532" s="96"/>
      <c r="J532" s="271"/>
    </row>
    <row r="533" spans="1:10">
      <c r="A533" s="84"/>
      <c r="B533" s="89"/>
      <c r="C533" s="97"/>
      <c r="D533" s="91"/>
      <c r="E533" s="91"/>
      <c r="F533" s="91"/>
      <c r="G533" s="91" t="s">
        <v>279</v>
      </c>
      <c r="H533" s="91"/>
      <c r="I533" s="91"/>
      <c r="J533" s="99">
        <f>+SUBTOTAL(9,J528:J532)</f>
        <v>0</v>
      </c>
    </row>
    <row r="534" spans="1:10">
      <c r="A534" s="84"/>
      <c r="B534" s="89" t="s">
        <v>228</v>
      </c>
      <c r="C534" s="90" t="s">
        <v>280</v>
      </c>
      <c r="D534" s="92" t="s">
        <v>281</v>
      </c>
      <c r="E534" s="92" t="s">
        <v>282</v>
      </c>
      <c r="F534" s="92" t="s">
        <v>283</v>
      </c>
      <c r="G534" s="92" t="s">
        <v>284</v>
      </c>
      <c r="H534" s="92" t="s">
        <v>285</v>
      </c>
      <c r="I534" s="92" t="s">
        <v>263</v>
      </c>
      <c r="J534" s="99" t="s">
        <v>286</v>
      </c>
    </row>
    <row r="535" spans="1:10">
      <c r="A535" s="84"/>
      <c r="B535" s="89" t="s">
        <v>231</v>
      </c>
      <c r="C535" s="90"/>
      <c r="D535" s="92"/>
      <c r="E535" s="92"/>
      <c r="F535" s="92"/>
      <c r="G535" s="92"/>
      <c r="H535" s="92"/>
      <c r="I535" s="92"/>
      <c r="J535" s="99"/>
    </row>
    <row r="536" spans="1:10">
      <c r="A536" s="84"/>
      <c r="B536" s="93" t="s">
        <v>231</v>
      </c>
      <c r="C536" s="94"/>
      <c r="D536" s="96"/>
      <c r="E536" s="96"/>
      <c r="F536" s="96"/>
      <c r="G536" s="96"/>
      <c r="H536" s="96"/>
      <c r="I536" s="96"/>
      <c r="J536" s="271"/>
    </row>
    <row r="537" spans="1:10">
      <c r="A537" s="84"/>
      <c r="B537" s="93" t="s">
        <v>231</v>
      </c>
      <c r="C537" s="94"/>
      <c r="D537" s="96"/>
      <c r="E537" s="96"/>
      <c r="F537" s="96"/>
      <c r="G537" s="96"/>
      <c r="H537" s="96"/>
      <c r="I537" s="96"/>
      <c r="J537" s="271"/>
    </row>
    <row r="538" spans="1:10">
      <c r="A538" s="84"/>
      <c r="B538" s="93" t="s">
        <v>231</v>
      </c>
      <c r="C538" s="94"/>
      <c r="D538" s="96"/>
      <c r="E538" s="96"/>
      <c r="F538" s="96"/>
      <c r="G538" s="96"/>
      <c r="H538" s="96"/>
      <c r="I538" s="96"/>
      <c r="J538" s="271"/>
    </row>
    <row r="539" spans="1:10">
      <c r="A539" s="84"/>
      <c r="B539" s="93" t="s">
        <v>231</v>
      </c>
      <c r="C539" s="94"/>
      <c r="D539" s="96"/>
      <c r="E539" s="96"/>
      <c r="F539" s="96"/>
      <c r="G539" s="96"/>
      <c r="H539" s="96"/>
      <c r="I539" s="96"/>
      <c r="J539" s="271"/>
    </row>
    <row r="540" spans="1:10">
      <c r="A540" s="84"/>
      <c r="B540" s="93" t="s">
        <v>231</v>
      </c>
      <c r="C540" s="94"/>
      <c r="D540" s="96"/>
      <c r="E540" s="96"/>
      <c r="F540" s="96"/>
      <c r="G540" s="96"/>
      <c r="H540" s="96"/>
      <c r="I540" s="96"/>
      <c r="J540" s="271"/>
    </row>
    <row r="541" spans="1:10">
      <c r="A541" s="84"/>
      <c r="B541" s="93" t="s">
        <v>231</v>
      </c>
      <c r="C541" s="94"/>
      <c r="D541" s="96"/>
      <c r="E541" s="96"/>
      <c r="F541" s="96"/>
      <c r="G541" s="96"/>
      <c r="H541" s="96"/>
      <c r="I541" s="96"/>
      <c r="J541" s="271"/>
    </row>
    <row r="542" spans="1:10">
      <c r="A542" s="84"/>
      <c r="B542" s="89"/>
      <c r="C542" s="97"/>
      <c r="D542" s="91"/>
      <c r="E542" s="91"/>
      <c r="F542" s="91"/>
      <c r="G542" s="91" t="s">
        <v>290</v>
      </c>
      <c r="H542" s="91"/>
      <c r="I542" s="91"/>
      <c r="J542" s="99">
        <f>+SUBTOTAL(9,J535:J541)</f>
        <v>0</v>
      </c>
    </row>
    <row r="543" spans="1:10">
      <c r="A543" s="84"/>
      <c r="B543" s="89" t="s">
        <v>291</v>
      </c>
      <c r="C543" s="97"/>
      <c r="D543" s="91"/>
      <c r="E543" s="91"/>
      <c r="F543" s="91"/>
      <c r="G543" s="91"/>
      <c r="H543" s="91"/>
      <c r="I543" s="91"/>
      <c r="J543" s="99">
        <f>+SUBTOTAL(9,J517:J541)</f>
        <v>2.37</v>
      </c>
    </row>
    <row r="544" spans="1:10">
      <c r="A544" s="84"/>
      <c r="B544" s="89" t="s">
        <v>292</v>
      </c>
      <c r="C544" s="97"/>
      <c r="D544" s="91">
        <v>0</v>
      </c>
      <c r="E544" s="91"/>
      <c r="F544" s="91"/>
      <c r="G544" s="91"/>
      <c r="H544" s="91"/>
      <c r="I544" s="91"/>
      <c r="J544" s="99">
        <f>+ROUND(J543*D544/100,2)</f>
        <v>0</v>
      </c>
    </row>
    <row r="545" spans="1:10" ht="14.4" thickBot="1">
      <c r="A545" s="84"/>
      <c r="B545" s="89" t="s">
        <v>293</v>
      </c>
      <c r="C545" s="97"/>
      <c r="D545" s="91"/>
      <c r="E545" s="91"/>
      <c r="F545" s="91"/>
      <c r="G545" s="91"/>
      <c r="H545" s="91"/>
      <c r="I545" s="91"/>
      <c r="J545" s="99">
        <f>+J543+ J544</f>
        <v>2.37</v>
      </c>
    </row>
    <row r="546" spans="1:10">
      <c r="A546" s="84"/>
      <c r="B546" s="85" t="s">
        <v>294</v>
      </c>
      <c r="C546" s="86"/>
      <c r="D546" s="88"/>
      <c r="E546" s="88"/>
      <c r="F546" s="88" t="s">
        <v>295</v>
      </c>
      <c r="G546" s="88"/>
      <c r="H546" s="88"/>
      <c r="I546" s="88" t="s">
        <v>296</v>
      </c>
      <c r="J546" s="270"/>
    </row>
    <row r="547" spans="1:10">
      <c r="A547" s="84"/>
      <c r="B547" s="93" t="s">
        <v>297</v>
      </c>
      <c r="C547" s="84"/>
      <c r="D547" s="95"/>
      <c r="E547" s="95"/>
      <c r="F547" s="95" t="s">
        <v>298</v>
      </c>
      <c r="G547" s="95"/>
      <c r="H547" s="95"/>
      <c r="I547" s="95"/>
      <c r="J547" s="276"/>
    </row>
    <row r="548" spans="1:10">
      <c r="A548" s="84"/>
      <c r="B548" s="93" t="s">
        <v>299</v>
      </c>
      <c r="C548" s="84"/>
      <c r="D548" s="95"/>
      <c r="E548" s="95"/>
      <c r="F548" s="95" t="s">
        <v>300</v>
      </c>
      <c r="G548" s="95"/>
      <c r="H548" s="95"/>
      <c r="I548" s="95"/>
      <c r="J548" s="276"/>
    </row>
    <row r="549" spans="1:10" ht="14.4" thickBot="1">
      <c r="A549" s="84"/>
      <c r="B549" s="100" t="s">
        <v>301</v>
      </c>
      <c r="C549" s="84"/>
      <c r="D549" s="95"/>
      <c r="E549" s="95"/>
      <c r="F549" s="95"/>
      <c r="G549" s="95"/>
      <c r="H549" s="95"/>
      <c r="I549" s="95"/>
      <c r="J549" s="277"/>
    </row>
    <row r="550" spans="1:10">
      <c r="A550" s="84"/>
      <c r="B550" s="86"/>
      <c r="C550" s="86"/>
      <c r="D550" s="88"/>
      <c r="E550" s="88"/>
      <c r="F550" s="88"/>
      <c r="G550" s="88"/>
      <c r="H550" s="88"/>
      <c r="I550" s="88"/>
      <c r="J550" s="88"/>
    </row>
    <row r="551" spans="1:10" ht="14.4" thickBot="1">
      <c r="A551" s="84"/>
      <c r="B551" s="84"/>
      <c r="C551" s="84"/>
      <c r="D551" s="95"/>
      <c r="E551" s="95"/>
      <c r="F551" s="95"/>
      <c r="G551" s="95"/>
      <c r="H551" s="95"/>
      <c r="I551" s="95"/>
      <c r="J551" s="95"/>
    </row>
    <row r="552" spans="1:10">
      <c r="A552" s="84"/>
      <c r="B552" s="85"/>
      <c r="C552" s="86"/>
      <c r="D552" s="87" t="s">
        <v>227</v>
      </c>
      <c r="E552" s="87"/>
      <c r="F552" s="87"/>
      <c r="G552" s="88"/>
      <c r="H552" s="88"/>
      <c r="I552" s="88"/>
      <c r="J552" s="270"/>
    </row>
    <row r="553" spans="1:10">
      <c r="A553" s="84"/>
      <c r="B553" s="89" t="s">
        <v>228</v>
      </c>
      <c r="C553" s="90" t="s">
        <v>92</v>
      </c>
      <c r="D553" s="91"/>
      <c r="E553" s="91"/>
      <c r="F553" s="91"/>
      <c r="G553" s="91"/>
      <c r="H553" s="92" t="s">
        <v>229</v>
      </c>
      <c r="I553" s="91"/>
      <c r="J553" s="99" t="s">
        <v>230</v>
      </c>
    </row>
    <row r="554" spans="1:10">
      <c r="A554" s="84"/>
      <c r="B554" s="93" t="s">
        <v>231</v>
      </c>
      <c r="C554" s="94" t="s">
        <v>402</v>
      </c>
      <c r="D554" s="95"/>
      <c r="E554" s="95"/>
      <c r="F554" s="95"/>
      <c r="G554" s="95"/>
      <c r="H554" s="96" t="s">
        <v>233</v>
      </c>
      <c r="I554" s="95"/>
      <c r="J554" s="271" t="s">
        <v>375</v>
      </c>
    </row>
    <row r="555" spans="1:10">
      <c r="A555" s="84"/>
      <c r="B555" s="89"/>
      <c r="C555" s="90"/>
      <c r="D555" s="91"/>
      <c r="E555" s="92"/>
      <c r="F555" s="92" t="s">
        <v>235</v>
      </c>
      <c r="G555" s="92"/>
      <c r="H555" s="92" t="s">
        <v>236</v>
      </c>
      <c r="I555" s="92"/>
      <c r="J555" s="99" t="s">
        <v>237</v>
      </c>
    </row>
    <row r="556" spans="1:10">
      <c r="A556" s="84"/>
      <c r="B556" s="93" t="s">
        <v>228</v>
      </c>
      <c r="C556" s="94" t="s">
        <v>238</v>
      </c>
      <c r="D556" s="95"/>
      <c r="E556" s="96" t="s">
        <v>239</v>
      </c>
      <c r="F556" s="92" t="s">
        <v>240</v>
      </c>
      <c r="G556" s="92" t="s">
        <v>241</v>
      </c>
      <c r="H556" s="92" t="s">
        <v>240</v>
      </c>
      <c r="I556" s="272" t="s">
        <v>241</v>
      </c>
      <c r="J556" s="271" t="s">
        <v>242</v>
      </c>
    </row>
    <row r="557" spans="1:10">
      <c r="A557" s="84"/>
      <c r="B557" s="273" t="s">
        <v>403</v>
      </c>
      <c r="C557" s="90" t="s">
        <v>404</v>
      </c>
      <c r="D557" s="91"/>
      <c r="E557" s="92">
        <v>1</v>
      </c>
      <c r="F557" s="92">
        <v>1</v>
      </c>
      <c r="G557" s="92">
        <v>0</v>
      </c>
      <c r="H557" s="92">
        <v>385.07</v>
      </c>
      <c r="I557" s="92">
        <v>160.05000000000001</v>
      </c>
      <c r="J557" s="99">
        <f>+ROUND(E557* ((F557*H557) + (G557*I557)),2)</f>
        <v>385.07</v>
      </c>
    </row>
    <row r="558" spans="1:10">
      <c r="A558" s="84"/>
      <c r="B558" s="93" t="s">
        <v>231</v>
      </c>
      <c r="C558" s="94"/>
      <c r="D558" s="95"/>
      <c r="E558" s="96"/>
      <c r="F558" s="96"/>
      <c r="G558" s="96"/>
      <c r="H558" s="96"/>
      <c r="I558" s="96"/>
      <c r="J558" s="271"/>
    </row>
    <row r="559" spans="1:10">
      <c r="A559" s="84"/>
      <c r="B559" s="93" t="s">
        <v>231</v>
      </c>
      <c r="C559" s="94"/>
      <c r="D559" s="95"/>
      <c r="E559" s="96"/>
      <c r="F559" s="96"/>
      <c r="G559" s="96"/>
      <c r="H559" s="96"/>
      <c r="I559" s="96"/>
      <c r="J559" s="271"/>
    </row>
    <row r="560" spans="1:10">
      <c r="A560" s="84"/>
      <c r="B560" s="93" t="s">
        <v>231</v>
      </c>
      <c r="C560" s="94"/>
      <c r="D560" s="95"/>
      <c r="E560" s="96"/>
      <c r="F560" s="96"/>
      <c r="G560" s="96"/>
      <c r="H560" s="96"/>
      <c r="I560" s="96"/>
      <c r="J560" s="271"/>
    </row>
    <row r="561" spans="1:10">
      <c r="A561" s="84"/>
      <c r="B561" s="93" t="s">
        <v>231</v>
      </c>
      <c r="C561" s="94"/>
      <c r="D561" s="95"/>
      <c r="E561" s="96"/>
      <c r="F561" s="96"/>
      <c r="G561" s="96"/>
      <c r="H561" s="96"/>
      <c r="I561" s="96"/>
      <c r="J561" s="271"/>
    </row>
    <row r="562" spans="1:10">
      <c r="A562" s="84"/>
      <c r="B562" s="93" t="s">
        <v>231</v>
      </c>
      <c r="C562" s="94"/>
      <c r="D562" s="95"/>
      <c r="E562" s="96"/>
      <c r="F562" s="96"/>
      <c r="G562" s="96"/>
      <c r="H562" s="96"/>
      <c r="I562" s="96"/>
      <c r="J562" s="271"/>
    </row>
    <row r="563" spans="1:10">
      <c r="A563" s="84"/>
      <c r="B563" s="93" t="s">
        <v>231</v>
      </c>
      <c r="C563" s="94"/>
      <c r="D563" s="95"/>
      <c r="E563" s="96"/>
      <c r="F563" s="96"/>
      <c r="G563" s="96"/>
      <c r="H563" s="96"/>
      <c r="I563" s="96"/>
      <c r="J563" s="271"/>
    </row>
    <row r="564" spans="1:10">
      <c r="A564" s="84"/>
      <c r="B564" s="89"/>
      <c r="C564" s="97"/>
      <c r="D564" s="91"/>
      <c r="E564" s="91"/>
      <c r="F564" s="91"/>
      <c r="G564" s="91" t="s">
        <v>249</v>
      </c>
      <c r="H564" s="91"/>
      <c r="I564" s="91"/>
      <c r="J564" s="99">
        <f>+SUBTOTAL(9,J557:J563)</f>
        <v>385.07</v>
      </c>
    </row>
    <row r="565" spans="1:10">
      <c r="A565" s="84"/>
      <c r="B565" s="89" t="s">
        <v>228</v>
      </c>
      <c r="C565" s="90" t="s">
        <v>250</v>
      </c>
      <c r="D565" s="91"/>
      <c r="E565" s="91"/>
      <c r="F565" s="91"/>
      <c r="G565" s="91"/>
      <c r="H565" s="92" t="s">
        <v>239</v>
      </c>
      <c r="I565" s="92" t="s">
        <v>251</v>
      </c>
      <c r="J565" s="99" t="s">
        <v>252</v>
      </c>
    </row>
    <row r="566" spans="1:10">
      <c r="A566" s="84"/>
      <c r="B566" s="89" t="s">
        <v>253</v>
      </c>
      <c r="C566" s="90" t="s">
        <v>254</v>
      </c>
      <c r="D566" s="91"/>
      <c r="E566" s="91"/>
      <c r="F566" s="91"/>
      <c r="G566" s="91"/>
      <c r="H566" s="92">
        <v>3</v>
      </c>
      <c r="I566" s="92">
        <v>21.04</v>
      </c>
      <c r="J566" s="99">
        <f>+ROUND(H566*I566,2)</f>
        <v>63.12</v>
      </c>
    </row>
    <row r="567" spans="1:10">
      <c r="A567" s="84"/>
      <c r="B567" s="93" t="s">
        <v>231</v>
      </c>
      <c r="C567" s="94"/>
      <c r="D567" s="95"/>
      <c r="E567" s="95"/>
      <c r="F567" s="95"/>
      <c r="G567" s="95"/>
      <c r="H567" s="96"/>
      <c r="I567" s="96"/>
      <c r="J567" s="271"/>
    </row>
    <row r="568" spans="1:10">
      <c r="A568" s="84"/>
      <c r="B568" s="93" t="s">
        <v>231</v>
      </c>
      <c r="C568" s="94"/>
      <c r="D568" s="95"/>
      <c r="E568" s="95"/>
      <c r="F568" s="95"/>
      <c r="G568" s="95"/>
      <c r="H568" s="96"/>
      <c r="I568" s="96"/>
      <c r="J568" s="271"/>
    </row>
    <row r="569" spans="1:10">
      <c r="A569" s="84"/>
      <c r="B569" s="93" t="s">
        <v>231</v>
      </c>
      <c r="C569" s="94"/>
      <c r="D569" s="95"/>
      <c r="E569" s="95"/>
      <c r="F569" s="95"/>
      <c r="G569" s="95"/>
      <c r="H569" s="96"/>
      <c r="I569" s="96"/>
      <c r="J569" s="271"/>
    </row>
    <row r="570" spans="1:10">
      <c r="A570" s="84"/>
      <c r="B570" s="93" t="s">
        <v>231</v>
      </c>
      <c r="C570" s="94"/>
      <c r="D570" s="95"/>
      <c r="E570" s="95"/>
      <c r="F570" s="95"/>
      <c r="G570" s="95"/>
      <c r="H570" s="96"/>
      <c r="I570" s="96"/>
      <c r="J570" s="271"/>
    </row>
    <row r="571" spans="1:10">
      <c r="A571" s="84"/>
      <c r="B571" s="93" t="s">
        <v>231</v>
      </c>
      <c r="C571" s="94"/>
      <c r="D571" s="95"/>
      <c r="E571" s="95"/>
      <c r="F571" s="95"/>
      <c r="G571" s="95"/>
      <c r="H571" s="96"/>
      <c r="I571" s="96"/>
      <c r="J571" s="271"/>
    </row>
    <row r="572" spans="1:10">
      <c r="A572" s="84"/>
      <c r="B572" s="93" t="s">
        <v>231</v>
      </c>
      <c r="C572" s="94"/>
      <c r="D572" s="95"/>
      <c r="E572" s="95"/>
      <c r="F572" s="95"/>
      <c r="G572" s="95"/>
      <c r="H572" s="96"/>
      <c r="I572" s="96"/>
      <c r="J572" s="271"/>
    </row>
    <row r="573" spans="1:10">
      <c r="A573" s="84"/>
      <c r="B573" s="89"/>
      <c r="C573" s="97"/>
      <c r="D573" s="91"/>
      <c r="E573" s="91"/>
      <c r="F573" s="91"/>
      <c r="G573" s="91" t="s">
        <v>255</v>
      </c>
      <c r="H573" s="91"/>
      <c r="I573" s="91"/>
      <c r="J573" s="99">
        <f>+SUBTOTAL(9,J566:J572)</f>
        <v>63.12</v>
      </c>
    </row>
    <row r="574" spans="1:10">
      <c r="A574" s="84"/>
      <c r="B574" s="89"/>
      <c r="C574" s="97"/>
      <c r="D574" s="91"/>
      <c r="E574" s="91"/>
      <c r="F574" s="91" t="s">
        <v>256</v>
      </c>
      <c r="G574" s="91"/>
      <c r="H574" s="91"/>
      <c r="I574" s="91">
        <v>0</v>
      </c>
      <c r="J574" s="99">
        <f>+ROUND(I574*J573,2)</f>
        <v>0</v>
      </c>
    </row>
    <row r="575" spans="1:10">
      <c r="A575" s="84"/>
      <c r="B575" s="89"/>
      <c r="C575" s="97"/>
      <c r="D575" s="91"/>
      <c r="E575" s="91"/>
      <c r="F575" s="91" t="s">
        <v>257</v>
      </c>
      <c r="G575" s="91"/>
      <c r="H575" s="91"/>
      <c r="I575" s="91"/>
      <c r="J575" s="99">
        <f>+SUBTOTAL(9,J566:J574)</f>
        <v>63.12</v>
      </c>
    </row>
    <row r="576" spans="1:10">
      <c r="A576" s="84"/>
      <c r="B576" s="98"/>
      <c r="C576" s="97"/>
      <c r="D576" s="91"/>
      <c r="E576" s="91"/>
      <c r="F576" s="91"/>
      <c r="G576" s="91" t="s">
        <v>258</v>
      </c>
      <c r="H576" s="91"/>
      <c r="I576" s="91"/>
      <c r="J576" s="275">
        <f>+SUBTOTAL(9,J557:J575)</f>
        <v>448.19</v>
      </c>
    </row>
    <row r="577" spans="1:10">
      <c r="A577" s="84"/>
      <c r="B577" s="98"/>
      <c r="C577" s="97" t="s">
        <v>259</v>
      </c>
      <c r="D577" s="91">
        <v>190.9</v>
      </c>
      <c r="E577" s="91"/>
      <c r="F577" s="91"/>
      <c r="G577" s="91" t="s">
        <v>260</v>
      </c>
      <c r="H577" s="91"/>
      <c r="I577" s="91"/>
      <c r="J577" s="275">
        <f>+ROUND(J576/D577,2)</f>
        <v>2.35</v>
      </c>
    </row>
    <row r="578" spans="1:10">
      <c r="A578" s="84"/>
      <c r="B578" s="89" t="s">
        <v>228</v>
      </c>
      <c r="C578" s="90" t="s">
        <v>261</v>
      </c>
      <c r="D578" s="91"/>
      <c r="E578" s="91"/>
      <c r="F578" s="91"/>
      <c r="G578" s="92" t="s">
        <v>230</v>
      </c>
      <c r="H578" s="92" t="s">
        <v>262</v>
      </c>
      <c r="I578" s="92" t="s">
        <v>263</v>
      </c>
      <c r="J578" s="99" t="s">
        <v>264</v>
      </c>
    </row>
    <row r="579" spans="1:10">
      <c r="A579" s="84"/>
      <c r="B579" s="89" t="s">
        <v>405</v>
      </c>
      <c r="C579" s="90" t="s">
        <v>406</v>
      </c>
      <c r="D579" s="91"/>
      <c r="E579" s="91"/>
      <c r="F579" s="91"/>
      <c r="G579" s="92" t="s">
        <v>337</v>
      </c>
      <c r="H579" s="92">
        <v>21.78</v>
      </c>
      <c r="I579" s="92">
        <v>0.3</v>
      </c>
      <c r="J579" s="99">
        <f t="shared" ref="J579:J584" si="2">+ROUND(H579*I579,2)</f>
        <v>6.53</v>
      </c>
    </row>
    <row r="580" spans="1:10">
      <c r="A580" s="84"/>
      <c r="B580" s="93" t="s">
        <v>407</v>
      </c>
      <c r="C580" s="94" t="s">
        <v>408</v>
      </c>
      <c r="D580" s="95"/>
      <c r="E580" s="95"/>
      <c r="F580" s="95"/>
      <c r="G580" s="96" t="s">
        <v>332</v>
      </c>
      <c r="H580" s="96">
        <v>10.64</v>
      </c>
      <c r="I580" s="96">
        <v>0.06</v>
      </c>
      <c r="J580" s="271">
        <f t="shared" si="2"/>
        <v>0.64</v>
      </c>
    </row>
    <row r="581" spans="1:10">
      <c r="A581" s="84"/>
      <c r="B581" s="93" t="s">
        <v>409</v>
      </c>
      <c r="C581" s="94" t="s">
        <v>410</v>
      </c>
      <c r="D581" s="95"/>
      <c r="E581" s="95"/>
      <c r="F581" s="95"/>
      <c r="G581" s="96" t="s">
        <v>332</v>
      </c>
      <c r="H581" s="96">
        <v>11</v>
      </c>
      <c r="I581" s="96">
        <v>0.35</v>
      </c>
      <c r="J581" s="271">
        <f t="shared" si="2"/>
        <v>3.85</v>
      </c>
    </row>
    <row r="582" spans="1:10">
      <c r="A582" s="84"/>
      <c r="B582" s="93" t="s">
        <v>411</v>
      </c>
      <c r="C582" s="94" t="s">
        <v>412</v>
      </c>
      <c r="D582" s="95"/>
      <c r="E582" s="95"/>
      <c r="F582" s="95"/>
      <c r="G582" s="96" t="s">
        <v>270</v>
      </c>
      <c r="H582" s="96">
        <v>33.81</v>
      </c>
      <c r="I582" s="96">
        <v>4.8000000000000001E-4</v>
      </c>
      <c r="J582" s="271">
        <f t="shared" si="2"/>
        <v>0.02</v>
      </c>
    </row>
    <row r="583" spans="1:10">
      <c r="A583" s="84"/>
      <c r="B583" s="93" t="s">
        <v>413</v>
      </c>
      <c r="C583" s="94" t="s">
        <v>414</v>
      </c>
      <c r="D583" s="95"/>
      <c r="E583" s="95"/>
      <c r="F583" s="95"/>
      <c r="G583" s="96" t="s">
        <v>270</v>
      </c>
      <c r="H583" s="96">
        <v>33.81</v>
      </c>
      <c r="I583" s="96">
        <v>6.0000000000000002E-5</v>
      </c>
      <c r="J583" s="271">
        <f t="shared" si="2"/>
        <v>0</v>
      </c>
    </row>
    <row r="584" spans="1:10">
      <c r="A584" s="84"/>
      <c r="B584" s="93" t="s">
        <v>415</v>
      </c>
      <c r="C584" s="94" t="s">
        <v>416</v>
      </c>
      <c r="D584" s="95"/>
      <c r="E584" s="95"/>
      <c r="F584" s="95"/>
      <c r="G584" s="96" t="s">
        <v>270</v>
      </c>
      <c r="H584" s="96">
        <v>33.81</v>
      </c>
      <c r="I584" s="96">
        <v>3.5E-4</v>
      </c>
      <c r="J584" s="271">
        <f t="shared" si="2"/>
        <v>0.01</v>
      </c>
    </row>
    <row r="585" spans="1:10">
      <c r="A585" s="84"/>
      <c r="B585" s="93" t="s">
        <v>231</v>
      </c>
      <c r="C585" s="94"/>
      <c r="D585" s="95"/>
      <c r="E585" s="95"/>
      <c r="F585" s="95"/>
      <c r="G585" s="96"/>
      <c r="H585" s="96"/>
      <c r="I585" s="96"/>
      <c r="J585" s="271"/>
    </row>
    <row r="586" spans="1:10">
      <c r="A586" s="84"/>
      <c r="B586" s="89"/>
      <c r="C586" s="97"/>
      <c r="D586" s="91"/>
      <c r="E586" s="91"/>
      <c r="F586" s="91"/>
      <c r="G586" s="91" t="s">
        <v>275</v>
      </c>
      <c r="H586" s="91"/>
      <c r="I586" s="91"/>
      <c r="J586" s="99">
        <f>+SUBTOTAL(9,J579:J585)</f>
        <v>11.049999999999999</v>
      </c>
    </row>
    <row r="587" spans="1:10">
      <c r="A587" s="84"/>
      <c r="B587" s="89" t="s">
        <v>228</v>
      </c>
      <c r="C587" s="90" t="s">
        <v>276</v>
      </c>
      <c r="D587" s="91"/>
      <c r="E587" s="91"/>
      <c r="F587" s="91"/>
      <c r="G587" s="92" t="s">
        <v>230</v>
      </c>
      <c r="H587" s="92" t="s">
        <v>262</v>
      </c>
      <c r="I587" s="92" t="s">
        <v>263</v>
      </c>
      <c r="J587" s="99" t="s">
        <v>264</v>
      </c>
    </row>
    <row r="588" spans="1:10">
      <c r="A588" s="84"/>
      <c r="B588" s="89" t="s">
        <v>231</v>
      </c>
      <c r="C588" s="90"/>
      <c r="D588" s="91"/>
      <c r="E588" s="91"/>
      <c r="F588" s="91"/>
      <c r="G588" s="92"/>
      <c r="H588" s="92"/>
      <c r="I588" s="92"/>
      <c r="J588" s="99"/>
    </row>
    <row r="589" spans="1:10">
      <c r="A589" s="84"/>
      <c r="B589" s="93" t="s">
        <v>231</v>
      </c>
      <c r="C589" s="94"/>
      <c r="D589" s="95"/>
      <c r="E589" s="95"/>
      <c r="F589" s="95"/>
      <c r="G589" s="96"/>
      <c r="H589" s="96"/>
      <c r="I589" s="96"/>
      <c r="J589" s="271"/>
    </row>
    <row r="590" spans="1:10">
      <c r="A590" s="84"/>
      <c r="B590" s="93" t="s">
        <v>231</v>
      </c>
      <c r="C590" s="94"/>
      <c r="D590" s="95"/>
      <c r="E590" s="95"/>
      <c r="F590" s="95"/>
      <c r="G590" s="96"/>
      <c r="H590" s="96"/>
      <c r="I590" s="96"/>
      <c r="J590" s="271"/>
    </row>
    <row r="591" spans="1:10">
      <c r="A591" s="84"/>
      <c r="B591" s="93" t="s">
        <v>231</v>
      </c>
      <c r="C591" s="94"/>
      <c r="D591" s="95"/>
      <c r="E591" s="95"/>
      <c r="F591" s="95"/>
      <c r="G591" s="96"/>
      <c r="H591" s="96"/>
      <c r="I591" s="96"/>
      <c r="J591" s="271"/>
    </row>
    <row r="592" spans="1:10">
      <c r="A592" s="84"/>
      <c r="B592" s="93" t="s">
        <v>231</v>
      </c>
      <c r="C592" s="94"/>
      <c r="D592" s="95"/>
      <c r="E592" s="95"/>
      <c r="F592" s="95"/>
      <c r="G592" s="96"/>
      <c r="H592" s="96"/>
      <c r="I592" s="96"/>
      <c r="J592" s="271"/>
    </row>
    <row r="593" spans="1:10">
      <c r="A593" s="84"/>
      <c r="B593" s="89"/>
      <c r="C593" s="97"/>
      <c r="D593" s="91"/>
      <c r="E593" s="91"/>
      <c r="F593" s="91"/>
      <c r="G593" s="91" t="s">
        <v>279</v>
      </c>
      <c r="H593" s="91"/>
      <c r="I593" s="91"/>
      <c r="J593" s="99">
        <f>+SUBTOTAL(9,J588:J592)</f>
        <v>0</v>
      </c>
    </row>
    <row r="594" spans="1:10">
      <c r="A594" s="84"/>
      <c r="B594" s="89" t="s">
        <v>228</v>
      </c>
      <c r="C594" s="90" t="s">
        <v>280</v>
      </c>
      <c r="D594" s="92" t="s">
        <v>281</v>
      </c>
      <c r="E594" s="92" t="s">
        <v>282</v>
      </c>
      <c r="F594" s="92" t="s">
        <v>283</v>
      </c>
      <c r="G594" s="92" t="s">
        <v>284</v>
      </c>
      <c r="H594" s="92" t="s">
        <v>285</v>
      </c>
      <c r="I594" s="92" t="s">
        <v>263</v>
      </c>
      <c r="J594" s="99" t="s">
        <v>286</v>
      </c>
    </row>
    <row r="595" spans="1:10">
      <c r="A595" s="84"/>
      <c r="B595" s="89" t="s">
        <v>417</v>
      </c>
      <c r="C595" s="90" t="s">
        <v>418</v>
      </c>
      <c r="D595" s="92" t="s">
        <v>289</v>
      </c>
      <c r="E595" s="92">
        <v>0</v>
      </c>
      <c r="F595" s="92">
        <v>56.58</v>
      </c>
      <c r="G595" s="92">
        <v>56.58</v>
      </c>
      <c r="H595" s="92">
        <v>0.74</v>
      </c>
      <c r="I595" s="92">
        <v>4.8000000000000001E-4</v>
      </c>
      <c r="J595" s="99">
        <f>+ROUND(G595*H595*I595,2)</f>
        <v>0.02</v>
      </c>
    </row>
    <row r="596" spans="1:10">
      <c r="A596" s="84"/>
      <c r="B596" s="93" t="s">
        <v>419</v>
      </c>
      <c r="C596" s="94" t="s">
        <v>420</v>
      </c>
      <c r="D596" s="96" t="s">
        <v>289</v>
      </c>
      <c r="E596" s="96">
        <v>0</v>
      </c>
      <c r="F596" s="96">
        <v>56.58</v>
      </c>
      <c r="G596" s="96">
        <v>56.58</v>
      </c>
      <c r="H596" s="96">
        <v>0.74</v>
      </c>
      <c r="I596" s="96">
        <v>6.0000000000000002E-5</v>
      </c>
      <c r="J596" s="271">
        <f>+ROUND(G596*H596*I596,2)</f>
        <v>0</v>
      </c>
    </row>
    <row r="597" spans="1:10">
      <c r="A597" s="84"/>
      <c r="B597" s="93" t="s">
        <v>421</v>
      </c>
      <c r="C597" s="94" t="s">
        <v>422</v>
      </c>
      <c r="D597" s="96" t="s">
        <v>289</v>
      </c>
      <c r="E597" s="96">
        <v>0</v>
      </c>
      <c r="F597" s="96">
        <v>56.58</v>
      </c>
      <c r="G597" s="96">
        <v>56.58</v>
      </c>
      <c r="H597" s="96">
        <v>0.74</v>
      </c>
      <c r="I597" s="96">
        <v>3.5E-4</v>
      </c>
      <c r="J597" s="271">
        <f>+ROUND(G597*H597*I597,2)</f>
        <v>0.01</v>
      </c>
    </row>
    <row r="598" spans="1:10">
      <c r="A598" s="84"/>
      <c r="B598" s="93" t="s">
        <v>231</v>
      </c>
      <c r="C598" s="94"/>
      <c r="D598" s="96"/>
      <c r="E598" s="96"/>
      <c r="F598" s="96"/>
      <c r="G598" s="96"/>
      <c r="H598" s="96"/>
      <c r="I598" s="96"/>
      <c r="J598" s="271"/>
    </row>
    <row r="599" spans="1:10">
      <c r="A599" s="84"/>
      <c r="B599" s="93" t="s">
        <v>231</v>
      </c>
      <c r="C599" s="94"/>
      <c r="D599" s="96"/>
      <c r="E599" s="96"/>
      <c r="F599" s="96"/>
      <c r="G599" s="96"/>
      <c r="H599" s="96"/>
      <c r="I599" s="96"/>
      <c r="J599" s="271"/>
    </row>
    <row r="600" spans="1:10">
      <c r="A600" s="84"/>
      <c r="B600" s="93" t="s">
        <v>231</v>
      </c>
      <c r="C600" s="94"/>
      <c r="D600" s="96"/>
      <c r="E600" s="96"/>
      <c r="F600" s="96"/>
      <c r="G600" s="96"/>
      <c r="H600" s="96"/>
      <c r="I600" s="96"/>
      <c r="J600" s="271"/>
    </row>
    <row r="601" spans="1:10">
      <c r="A601" s="84"/>
      <c r="B601" s="93" t="s">
        <v>231</v>
      </c>
      <c r="C601" s="94"/>
      <c r="D601" s="96"/>
      <c r="E601" s="96"/>
      <c r="F601" s="96"/>
      <c r="G601" s="96"/>
      <c r="H601" s="96"/>
      <c r="I601" s="96"/>
      <c r="J601" s="271"/>
    </row>
    <row r="602" spans="1:10">
      <c r="A602" s="84"/>
      <c r="B602" s="89"/>
      <c r="C602" s="97"/>
      <c r="D602" s="91"/>
      <c r="E602" s="91"/>
      <c r="F602" s="91"/>
      <c r="G602" s="91" t="s">
        <v>290</v>
      </c>
      <c r="H602" s="91"/>
      <c r="I602" s="91"/>
      <c r="J602" s="99">
        <f>+SUBTOTAL(9,J595:J601)</f>
        <v>0.03</v>
      </c>
    </row>
    <row r="603" spans="1:10">
      <c r="A603" s="84"/>
      <c r="B603" s="89" t="s">
        <v>291</v>
      </c>
      <c r="C603" s="97"/>
      <c r="D603" s="91"/>
      <c r="E603" s="91"/>
      <c r="F603" s="91"/>
      <c r="G603" s="91"/>
      <c r="H603" s="91"/>
      <c r="I603" s="91"/>
      <c r="J603" s="99">
        <f>+SUBTOTAL(9,J577:J601)</f>
        <v>13.43</v>
      </c>
    </row>
    <row r="604" spans="1:10">
      <c r="A604" s="84"/>
      <c r="B604" s="89" t="s">
        <v>292</v>
      </c>
      <c r="C604" s="97"/>
      <c r="D604" s="91">
        <v>0</v>
      </c>
      <c r="E604" s="91"/>
      <c r="F604" s="91"/>
      <c r="G604" s="91"/>
      <c r="H604" s="91"/>
      <c r="I604" s="91"/>
      <c r="J604" s="99">
        <f>+ROUND(J603*D604/100,2)</f>
        <v>0</v>
      </c>
    </row>
    <row r="605" spans="1:10" ht="14.4" thickBot="1">
      <c r="A605" s="84"/>
      <c r="B605" s="89" t="s">
        <v>293</v>
      </c>
      <c r="C605" s="97"/>
      <c r="D605" s="91"/>
      <c r="E605" s="91"/>
      <c r="F605" s="91"/>
      <c r="G605" s="91"/>
      <c r="H605" s="91"/>
      <c r="I605" s="91"/>
      <c r="J605" s="99">
        <f>+J603+ J604</f>
        <v>13.43</v>
      </c>
    </row>
    <row r="606" spans="1:10">
      <c r="A606" s="84"/>
      <c r="B606" s="85" t="s">
        <v>294</v>
      </c>
      <c r="C606" s="86"/>
      <c r="D606" s="88"/>
      <c r="E606" s="88"/>
      <c r="F606" s="88" t="s">
        <v>295</v>
      </c>
      <c r="G606" s="88"/>
      <c r="H606" s="88"/>
      <c r="I606" s="88" t="s">
        <v>296</v>
      </c>
      <c r="J606" s="270"/>
    </row>
    <row r="607" spans="1:10">
      <c r="A607" s="84"/>
      <c r="B607" s="93" t="s">
        <v>297</v>
      </c>
      <c r="C607" s="84"/>
      <c r="D607" s="95"/>
      <c r="E607" s="95"/>
      <c r="F607" s="95" t="s">
        <v>298</v>
      </c>
      <c r="G607" s="95"/>
      <c r="H607" s="95"/>
      <c r="I607" s="95"/>
      <c r="J607" s="276"/>
    </row>
    <row r="608" spans="1:10">
      <c r="A608" s="84"/>
      <c r="B608" s="93" t="s">
        <v>299</v>
      </c>
      <c r="C608" s="84"/>
      <c r="D608" s="95"/>
      <c r="E608" s="95"/>
      <c r="F608" s="95" t="s">
        <v>300</v>
      </c>
      <c r="G608" s="95"/>
      <c r="H608" s="95"/>
      <c r="I608" s="95"/>
      <c r="J608" s="276"/>
    </row>
    <row r="609" spans="1:10" ht="14.4" thickBot="1">
      <c r="A609" s="84"/>
      <c r="B609" s="100" t="s">
        <v>301</v>
      </c>
      <c r="C609" s="84"/>
      <c r="D609" s="95"/>
      <c r="E609" s="95"/>
      <c r="F609" s="95"/>
      <c r="G609" s="95"/>
      <c r="H609" s="95"/>
      <c r="I609" s="95"/>
      <c r="J609" s="277"/>
    </row>
    <row r="610" spans="1:10">
      <c r="A610" s="84"/>
      <c r="B610" s="86"/>
      <c r="C610" s="86"/>
      <c r="D610" s="88"/>
      <c r="E610" s="88"/>
      <c r="F610" s="88"/>
      <c r="G610" s="88"/>
      <c r="H610" s="88"/>
      <c r="I610" s="88"/>
      <c r="J610" s="88"/>
    </row>
    <row r="611" spans="1:10" ht="14.4" thickBot="1">
      <c r="A611" s="84"/>
      <c r="B611" s="84"/>
      <c r="C611" s="84"/>
      <c r="D611" s="95"/>
      <c r="E611" s="95"/>
      <c r="F611" s="95"/>
      <c r="G611" s="95"/>
      <c r="H611" s="95"/>
      <c r="I611" s="95"/>
      <c r="J611" s="95"/>
    </row>
    <row r="612" spans="1:10">
      <c r="A612" s="84"/>
      <c r="B612" s="85"/>
      <c r="C612" s="86"/>
      <c r="D612" s="87" t="s">
        <v>227</v>
      </c>
      <c r="E612" s="87"/>
      <c r="F612" s="87"/>
      <c r="G612" s="88"/>
      <c r="H612" s="88"/>
      <c r="I612" s="88"/>
      <c r="J612" s="270"/>
    </row>
    <row r="613" spans="1:10">
      <c r="A613" s="84"/>
      <c r="B613" s="89" t="s">
        <v>228</v>
      </c>
      <c r="C613" s="90" t="s">
        <v>92</v>
      </c>
      <c r="D613" s="91"/>
      <c r="E613" s="91"/>
      <c r="F613" s="91"/>
      <c r="G613" s="91"/>
      <c r="H613" s="92" t="s">
        <v>229</v>
      </c>
      <c r="I613" s="91"/>
      <c r="J613" s="99" t="s">
        <v>230</v>
      </c>
    </row>
    <row r="614" spans="1:10">
      <c r="A614" s="84"/>
      <c r="B614" s="93" t="s">
        <v>231</v>
      </c>
      <c r="C614" s="94" t="s">
        <v>423</v>
      </c>
      <c r="D614" s="95"/>
      <c r="E614" s="95"/>
      <c r="F614" s="95"/>
      <c r="G614" s="95"/>
      <c r="H614" s="96" t="s">
        <v>233</v>
      </c>
      <c r="I614" s="95"/>
      <c r="J614" s="271" t="s">
        <v>424</v>
      </c>
    </row>
    <row r="615" spans="1:10">
      <c r="A615" s="84"/>
      <c r="B615" s="89"/>
      <c r="C615" s="90"/>
      <c r="D615" s="91"/>
      <c r="E615" s="92"/>
      <c r="F615" s="92" t="s">
        <v>235</v>
      </c>
      <c r="G615" s="92"/>
      <c r="H615" s="92" t="s">
        <v>236</v>
      </c>
      <c r="I615" s="92"/>
      <c r="J615" s="99" t="s">
        <v>237</v>
      </c>
    </row>
    <row r="616" spans="1:10">
      <c r="A616" s="84"/>
      <c r="B616" s="93" t="s">
        <v>228</v>
      </c>
      <c r="C616" s="94" t="s">
        <v>238</v>
      </c>
      <c r="D616" s="95"/>
      <c r="E616" s="96" t="s">
        <v>239</v>
      </c>
      <c r="F616" s="92" t="s">
        <v>240</v>
      </c>
      <c r="G616" s="92" t="s">
        <v>241</v>
      </c>
      <c r="H616" s="92" t="s">
        <v>240</v>
      </c>
      <c r="I616" s="272" t="s">
        <v>241</v>
      </c>
      <c r="J616" s="271" t="s">
        <v>242</v>
      </c>
    </row>
    <row r="617" spans="1:10">
      <c r="A617" s="84"/>
      <c r="B617" s="273" t="s">
        <v>425</v>
      </c>
      <c r="C617" s="90" t="s">
        <v>426</v>
      </c>
      <c r="D617" s="91"/>
      <c r="E617" s="92">
        <v>1</v>
      </c>
      <c r="F617" s="92">
        <v>1</v>
      </c>
      <c r="G617" s="92">
        <v>0</v>
      </c>
      <c r="H617" s="92">
        <v>0.87</v>
      </c>
      <c r="I617" s="92">
        <v>0.48</v>
      </c>
      <c r="J617" s="99">
        <f>+ROUND(E617* ((F617*H617) + (G617*I617)),2)</f>
        <v>0.87</v>
      </c>
    </row>
    <row r="618" spans="1:10">
      <c r="A618" s="84"/>
      <c r="B618" s="274" t="s">
        <v>427</v>
      </c>
      <c r="C618" s="94" t="s">
        <v>428</v>
      </c>
      <c r="D618" s="95"/>
      <c r="E618" s="96">
        <v>1</v>
      </c>
      <c r="F618" s="96">
        <v>1</v>
      </c>
      <c r="G618" s="96">
        <v>0</v>
      </c>
      <c r="H618" s="96">
        <v>152.22</v>
      </c>
      <c r="I618" s="96">
        <v>58.52</v>
      </c>
      <c r="J618" s="271">
        <f>+ROUND(E618* ((F618*H618) + (G618*I618)),2)</f>
        <v>152.22</v>
      </c>
    </row>
    <row r="619" spans="1:10">
      <c r="A619" s="84"/>
      <c r="B619" s="274" t="s">
        <v>429</v>
      </c>
      <c r="C619" s="94" t="s">
        <v>430</v>
      </c>
      <c r="D619" s="95"/>
      <c r="E619" s="96">
        <v>1</v>
      </c>
      <c r="F619" s="96">
        <v>1</v>
      </c>
      <c r="G619" s="96">
        <v>0</v>
      </c>
      <c r="H619" s="96">
        <v>10.18</v>
      </c>
      <c r="I619" s="96">
        <v>0.48</v>
      </c>
      <c r="J619" s="271">
        <f>+ROUND(E619* ((F619*H619) + (G619*I619)),2)</f>
        <v>10.18</v>
      </c>
    </row>
    <row r="620" spans="1:10">
      <c r="A620" s="84"/>
      <c r="B620" s="93" t="s">
        <v>231</v>
      </c>
      <c r="C620" s="94"/>
      <c r="D620" s="95"/>
      <c r="E620" s="96"/>
      <c r="F620" s="96"/>
      <c r="G620" s="96"/>
      <c r="H620" s="96"/>
      <c r="I620" s="96"/>
      <c r="J620" s="271"/>
    </row>
    <row r="621" spans="1:10">
      <c r="A621" s="84"/>
      <c r="B621" s="93" t="s">
        <v>231</v>
      </c>
      <c r="C621" s="94"/>
      <c r="D621" s="95"/>
      <c r="E621" s="96"/>
      <c r="F621" s="96"/>
      <c r="G621" s="96"/>
      <c r="H621" s="96"/>
      <c r="I621" s="96"/>
      <c r="J621" s="271"/>
    </row>
    <row r="622" spans="1:10">
      <c r="A622" s="84"/>
      <c r="B622" s="93" t="s">
        <v>231</v>
      </c>
      <c r="C622" s="94"/>
      <c r="D622" s="95"/>
      <c r="E622" s="96"/>
      <c r="F622" s="96"/>
      <c r="G622" s="96"/>
      <c r="H622" s="96"/>
      <c r="I622" s="96"/>
      <c r="J622" s="271"/>
    </row>
    <row r="623" spans="1:10">
      <c r="A623" s="84"/>
      <c r="B623" s="93" t="s">
        <v>231</v>
      </c>
      <c r="C623" s="94"/>
      <c r="D623" s="95"/>
      <c r="E623" s="96"/>
      <c r="F623" s="96"/>
      <c r="G623" s="96"/>
      <c r="H623" s="96"/>
      <c r="I623" s="96"/>
      <c r="J623" s="271"/>
    </row>
    <row r="624" spans="1:10">
      <c r="A624" s="84"/>
      <c r="B624" s="89"/>
      <c r="C624" s="97"/>
      <c r="D624" s="91"/>
      <c r="E624" s="91"/>
      <c r="F624" s="91"/>
      <c r="G624" s="91" t="s">
        <v>249</v>
      </c>
      <c r="H624" s="91"/>
      <c r="I624" s="91"/>
      <c r="J624" s="99">
        <f>+SUBTOTAL(9,J617:J623)</f>
        <v>163.27000000000001</v>
      </c>
    </row>
    <row r="625" spans="1:10">
      <c r="A625" s="84"/>
      <c r="B625" s="89" t="s">
        <v>228</v>
      </c>
      <c r="C625" s="90" t="s">
        <v>250</v>
      </c>
      <c r="D625" s="91"/>
      <c r="E625" s="91"/>
      <c r="F625" s="91"/>
      <c r="G625" s="91"/>
      <c r="H625" s="92" t="s">
        <v>239</v>
      </c>
      <c r="I625" s="92" t="s">
        <v>251</v>
      </c>
      <c r="J625" s="99" t="s">
        <v>252</v>
      </c>
    </row>
    <row r="626" spans="1:10">
      <c r="A626" s="84"/>
      <c r="B626" s="89" t="s">
        <v>253</v>
      </c>
      <c r="C626" s="90" t="s">
        <v>254</v>
      </c>
      <c r="D626" s="91"/>
      <c r="E626" s="91"/>
      <c r="F626" s="91"/>
      <c r="G626" s="91"/>
      <c r="H626" s="92">
        <v>5</v>
      </c>
      <c r="I626" s="92">
        <v>21.04</v>
      </c>
      <c r="J626" s="99">
        <f>+ROUND(H626*I626,2)</f>
        <v>105.2</v>
      </c>
    </row>
    <row r="627" spans="1:10">
      <c r="A627" s="84"/>
      <c r="B627" s="93" t="s">
        <v>431</v>
      </c>
      <c r="C627" s="94" t="s">
        <v>432</v>
      </c>
      <c r="D627" s="95"/>
      <c r="E627" s="95"/>
      <c r="F627" s="95"/>
      <c r="G627" s="95"/>
      <c r="H627" s="96">
        <v>1</v>
      </c>
      <c r="I627" s="96">
        <v>29.27</v>
      </c>
      <c r="J627" s="271">
        <f>+ROUND(H627*I627,2)</f>
        <v>29.27</v>
      </c>
    </row>
    <row r="628" spans="1:10">
      <c r="A628" s="84"/>
      <c r="B628" s="93" t="s">
        <v>231</v>
      </c>
      <c r="C628" s="94"/>
      <c r="D628" s="95"/>
      <c r="E628" s="95"/>
      <c r="F628" s="95"/>
      <c r="G628" s="95"/>
      <c r="H628" s="96"/>
      <c r="I628" s="96"/>
      <c r="J628" s="271"/>
    </row>
    <row r="629" spans="1:10">
      <c r="A629" s="84"/>
      <c r="B629" s="93" t="s">
        <v>231</v>
      </c>
      <c r="C629" s="94"/>
      <c r="D629" s="95"/>
      <c r="E629" s="95"/>
      <c r="F629" s="95"/>
      <c r="G629" s="95"/>
      <c r="H629" s="96"/>
      <c r="I629" s="96"/>
      <c r="J629" s="271"/>
    </row>
    <row r="630" spans="1:10">
      <c r="A630" s="84"/>
      <c r="B630" s="93" t="s">
        <v>231</v>
      </c>
      <c r="C630" s="94"/>
      <c r="D630" s="95"/>
      <c r="E630" s="95"/>
      <c r="F630" s="95"/>
      <c r="G630" s="95"/>
      <c r="H630" s="96"/>
      <c r="I630" s="96"/>
      <c r="J630" s="271"/>
    </row>
    <row r="631" spans="1:10">
      <c r="A631" s="84"/>
      <c r="B631" s="93" t="s">
        <v>231</v>
      </c>
      <c r="C631" s="94"/>
      <c r="D631" s="95"/>
      <c r="E631" s="95"/>
      <c r="F631" s="95"/>
      <c r="G631" s="95"/>
      <c r="H631" s="96"/>
      <c r="I631" s="96"/>
      <c r="J631" s="271"/>
    </row>
    <row r="632" spans="1:10">
      <c r="A632" s="84"/>
      <c r="B632" s="93" t="s">
        <v>231</v>
      </c>
      <c r="C632" s="94"/>
      <c r="D632" s="95"/>
      <c r="E632" s="95"/>
      <c r="F632" s="95"/>
      <c r="G632" s="95"/>
      <c r="H632" s="96"/>
      <c r="I632" s="96"/>
      <c r="J632" s="271"/>
    </row>
    <row r="633" spans="1:10">
      <c r="A633" s="84"/>
      <c r="B633" s="89"/>
      <c r="C633" s="97"/>
      <c r="D633" s="91"/>
      <c r="E633" s="91"/>
      <c r="F633" s="91"/>
      <c r="G633" s="91" t="s">
        <v>255</v>
      </c>
      <c r="H633" s="91"/>
      <c r="I633" s="91"/>
      <c r="J633" s="99">
        <f>+SUBTOTAL(9,J626:J632)</f>
        <v>134.47</v>
      </c>
    </row>
    <row r="634" spans="1:10">
      <c r="A634" s="84"/>
      <c r="B634" s="89"/>
      <c r="C634" s="97"/>
      <c r="D634" s="91"/>
      <c r="E634" s="91"/>
      <c r="F634" s="91" t="s">
        <v>256</v>
      </c>
      <c r="G634" s="91"/>
      <c r="H634" s="91"/>
      <c r="I634" s="91">
        <v>0</v>
      </c>
      <c r="J634" s="99">
        <f>+ROUND(I634*J633,2)</f>
        <v>0</v>
      </c>
    </row>
    <row r="635" spans="1:10">
      <c r="A635" s="84"/>
      <c r="B635" s="89"/>
      <c r="C635" s="97"/>
      <c r="D635" s="91"/>
      <c r="E635" s="91"/>
      <c r="F635" s="91" t="s">
        <v>257</v>
      </c>
      <c r="G635" s="91"/>
      <c r="H635" s="91"/>
      <c r="I635" s="91"/>
      <c r="J635" s="99">
        <f>+SUBTOTAL(9,J626:J634)</f>
        <v>134.47</v>
      </c>
    </row>
    <row r="636" spans="1:10">
      <c r="A636" s="84"/>
      <c r="B636" s="98"/>
      <c r="C636" s="97"/>
      <c r="D636" s="91"/>
      <c r="E636" s="91"/>
      <c r="F636" s="91"/>
      <c r="G636" s="91" t="s">
        <v>258</v>
      </c>
      <c r="H636" s="91"/>
      <c r="I636" s="91"/>
      <c r="J636" s="275">
        <f>+SUBTOTAL(9,J617:J635)</f>
        <v>297.74</v>
      </c>
    </row>
    <row r="637" spans="1:10">
      <c r="A637" s="84"/>
      <c r="B637" s="98"/>
      <c r="C637" s="97" t="s">
        <v>259</v>
      </c>
      <c r="D637" s="91">
        <v>36</v>
      </c>
      <c r="E637" s="91"/>
      <c r="F637" s="91"/>
      <c r="G637" s="91" t="s">
        <v>260</v>
      </c>
      <c r="H637" s="91"/>
      <c r="I637" s="91"/>
      <c r="J637" s="275">
        <f>+ROUND(J636/D637,2)</f>
        <v>8.27</v>
      </c>
    </row>
    <row r="638" spans="1:10">
      <c r="A638" s="84"/>
      <c r="B638" s="89" t="s">
        <v>228</v>
      </c>
      <c r="C638" s="90" t="s">
        <v>261</v>
      </c>
      <c r="D638" s="91"/>
      <c r="E638" s="91"/>
      <c r="F638" s="91"/>
      <c r="G638" s="92" t="s">
        <v>230</v>
      </c>
      <c r="H638" s="92" t="s">
        <v>262</v>
      </c>
      <c r="I638" s="92" t="s">
        <v>263</v>
      </c>
      <c r="J638" s="99" t="s">
        <v>264</v>
      </c>
    </row>
    <row r="639" spans="1:10">
      <c r="A639" s="84"/>
      <c r="B639" s="89" t="s">
        <v>433</v>
      </c>
      <c r="C639" s="90" t="s">
        <v>434</v>
      </c>
      <c r="D639" s="91"/>
      <c r="E639" s="91"/>
      <c r="F639" s="91"/>
      <c r="G639" s="92" t="s">
        <v>267</v>
      </c>
      <c r="H639" s="92">
        <v>21.32</v>
      </c>
      <c r="I639" s="92">
        <v>3.4099999999999998E-3</v>
      </c>
      <c r="J639" s="99">
        <f>+ROUND(H639*I639,2)</f>
        <v>7.0000000000000007E-2</v>
      </c>
    </row>
    <row r="640" spans="1:10">
      <c r="A640" s="84"/>
      <c r="B640" s="93" t="s">
        <v>435</v>
      </c>
      <c r="C640" s="94" t="s">
        <v>436</v>
      </c>
      <c r="D640" s="95"/>
      <c r="E640" s="95"/>
      <c r="F640" s="95"/>
      <c r="G640" s="96" t="s">
        <v>332</v>
      </c>
      <c r="H640" s="96">
        <v>35.93</v>
      </c>
      <c r="I640" s="96">
        <v>0.10292</v>
      </c>
      <c r="J640" s="271">
        <f>+ROUND(H640*I640,2)</f>
        <v>3.7</v>
      </c>
    </row>
    <row r="641" spans="1:10">
      <c r="A641" s="84"/>
      <c r="B641" s="93" t="s">
        <v>437</v>
      </c>
      <c r="C641" s="94" t="s">
        <v>438</v>
      </c>
      <c r="D641" s="95"/>
      <c r="E641" s="95"/>
      <c r="F641" s="95"/>
      <c r="G641" s="96" t="s">
        <v>267</v>
      </c>
      <c r="H641" s="96">
        <v>21.62</v>
      </c>
      <c r="I641" s="96">
        <v>1</v>
      </c>
      <c r="J641" s="271">
        <f>+ROUND(H641*I641,2)</f>
        <v>21.62</v>
      </c>
    </row>
    <row r="642" spans="1:10">
      <c r="A642" s="84"/>
      <c r="B642" s="93" t="s">
        <v>439</v>
      </c>
      <c r="C642" s="94" t="s">
        <v>440</v>
      </c>
      <c r="D642" s="95"/>
      <c r="E642" s="95"/>
      <c r="F642" s="95"/>
      <c r="G642" s="96" t="s">
        <v>270</v>
      </c>
      <c r="H642" s="96">
        <v>33.81</v>
      </c>
      <c r="I642" s="96">
        <v>1E-4</v>
      </c>
      <c r="J642" s="271">
        <f>+ROUND(H642*I642,2)</f>
        <v>0</v>
      </c>
    </row>
    <row r="643" spans="1:10">
      <c r="A643" s="84"/>
      <c r="B643" s="93" t="s">
        <v>441</v>
      </c>
      <c r="C643" s="94" t="s">
        <v>442</v>
      </c>
      <c r="D643" s="95"/>
      <c r="E643" s="95"/>
      <c r="F643" s="95"/>
      <c r="G643" s="96" t="s">
        <v>270</v>
      </c>
      <c r="H643" s="96">
        <v>33.81</v>
      </c>
      <c r="I643" s="96">
        <v>1.6000000000000001E-4</v>
      </c>
      <c r="J643" s="271">
        <f>+ROUND(H643*I643,2)</f>
        <v>0.01</v>
      </c>
    </row>
    <row r="644" spans="1:10">
      <c r="A644" s="84"/>
      <c r="B644" s="93" t="s">
        <v>231</v>
      </c>
      <c r="C644" s="94"/>
      <c r="D644" s="95"/>
      <c r="E644" s="95"/>
      <c r="F644" s="95"/>
      <c r="G644" s="96"/>
      <c r="H644" s="96"/>
      <c r="I644" s="96"/>
      <c r="J644" s="271"/>
    </row>
    <row r="645" spans="1:10">
      <c r="A645" s="84"/>
      <c r="B645" s="93" t="s">
        <v>231</v>
      </c>
      <c r="C645" s="94"/>
      <c r="D645" s="95"/>
      <c r="E645" s="95"/>
      <c r="F645" s="95"/>
      <c r="G645" s="96"/>
      <c r="H645" s="96"/>
      <c r="I645" s="96"/>
      <c r="J645" s="271"/>
    </row>
    <row r="646" spans="1:10">
      <c r="A646" s="84"/>
      <c r="B646" s="89"/>
      <c r="C646" s="97"/>
      <c r="D646" s="91"/>
      <c r="E646" s="91"/>
      <c r="F646" s="91"/>
      <c r="G646" s="91" t="s">
        <v>275</v>
      </c>
      <c r="H646" s="91"/>
      <c r="I646" s="91"/>
      <c r="J646" s="99">
        <f>+SUBTOTAL(9,J639:J645)</f>
        <v>25.400000000000002</v>
      </c>
    </row>
    <row r="647" spans="1:10">
      <c r="A647" s="84"/>
      <c r="B647" s="89" t="s">
        <v>228</v>
      </c>
      <c r="C647" s="90" t="s">
        <v>276</v>
      </c>
      <c r="D647" s="91"/>
      <c r="E647" s="91"/>
      <c r="F647" s="91"/>
      <c r="G647" s="92" t="s">
        <v>230</v>
      </c>
      <c r="H647" s="92" t="s">
        <v>262</v>
      </c>
      <c r="I647" s="92" t="s">
        <v>263</v>
      </c>
      <c r="J647" s="99" t="s">
        <v>264</v>
      </c>
    </row>
    <row r="648" spans="1:10">
      <c r="A648" s="84"/>
      <c r="B648" s="89" t="s">
        <v>231</v>
      </c>
      <c r="C648" s="90"/>
      <c r="D648" s="91"/>
      <c r="E648" s="91"/>
      <c r="F648" s="91"/>
      <c r="G648" s="92"/>
      <c r="H648" s="92"/>
      <c r="I648" s="92"/>
      <c r="J648" s="99"/>
    </row>
    <row r="649" spans="1:10">
      <c r="A649" s="84"/>
      <c r="B649" s="93" t="s">
        <v>231</v>
      </c>
      <c r="C649" s="94"/>
      <c r="D649" s="95"/>
      <c r="E649" s="95"/>
      <c r="F649" s="95"/>
      <c r="G649" s="96"/>
      <c r="H649" s="96"/>
      <c r="I649" s="96"/>
      <c r="J649" s="271"/>
    </row>
    <row r="650" spans="1:10">
      <c r="A650" s="84"/>
      <c r="B650" s="93" t="s">
        <v>231</v>
      </c>
      <c r="C650" s="94"/>
      <c r="D650" s="95"/>
      <c r="E650" s="95"/>
      <c r="F650" s="95"/>
      <c r="G650" s="96"/>
      <c r="H650" s="96"/>
      <c r="I650" s="96"/>
      <c r="J650" s="271"/>
    </row>
    <row r="651" spans="1:10">
      <c r="A651" s="84"/>
      <c r="B651" s="93" t="s">
        <v>231</v>
      </c>
      <c r="C651" s="94"/>
      <c r="D651" s="95"/>
      <c r="E651" s="95"/>
      <c r="F651" s="95"/>
      <c r="G651" s="96"/>
      <c r="H651" s="96"/>
      <c r="I651" s="96"/>
      <c r="J651" s="271"/>
    </row>
    <row r="652" spans="1:10">
      <c r="A652" s="84"/>
      <c r="B652" s="93" t="s">
        <v>231</v>
      </c>
      <c r="C652" s="94"/>
      <c r="D652" s="95"/>
      <c r="E652" s="95"/>
      <c r="F652" s="95"/>
      <c r="G652" s="96"/>
      <c r="H652" s="96"/>
      <c r="I652" s="96"/>
      <c r="J652" s="271"/>
    </row>
    <row r="653" spans="1:10">
      <c r="A653" s="84"/>
      <c r="B653" s="89"/>
      <c r="C653" s="97"/>
      <c r="D653" s="91"/>
      <c r="E653" s="91"/>
      <c r="F653" s="91"/>
      <c r="G653" s="91" t="s">
        <v>279</v>
      </c>
      <c r="H653" s="91"/>
      <c r="I653" s="91"/>
      <c r="J653" s="99">
        <f>+SUBTOTAL(9,J648:J652)</f>
        <v>0</v>
      </c>
    </row>
    <row r="654" spans="1:10">
      <c r="A654" s="84"/>
      <c r="B654" s="89" t="s">
        <v>228</v>
      </c>
      <c r="C654" s="90" t="s">
        <v>280</v>
      </c>
      <c r="D654" s="92" t="s">
        <v>281</v>
      </c>
      <c r="E654" s="92" t="s">
        <v>282</v>
      </c>
      <c r="F654" s="92" t="s">
        <v>283</v>
      </c>
      <c r="G654" s="92" t="s">
        <v>284</v>
      </c>
      <c r="H654" s="92" t="s">
        <v>285</v>
      </c>
      <c r="I654" s="92" t="s">
        <v>263</v>
      </c>
      <c r="J654" s="99" t="s">
        <v>286</v>
      </c>
    </row>
    <row r="655" spans="1:10">
      <c r="A655" s="84"/>
      <c r="B655" s="89" t="s">
        <v>443</v>
      </c>
      <c r="C655" s="90" t="s">
        <v>444</v>
      </c>
      <c r="D655" s="92" t="s">
        <v>289</v>
      </c>
      <c r="E655" s="92">
        <v>0</v>
      </c>
      <c r="F655" s="92">
        <v>56.58</v>
      </c>
      <c r="G655" s="92">
        <v>56.58</v>
      </c>
      <c r="H655" s="92">
        <v>0.74</v>
      </c>
      <c r="I655" s="92">
        <v>1E-4</v>
      </c>
      <c r="J655" s="99">
        <f>+ROUND(G655*H655*I655,2)</f>
        <v>0</v>
      </c>
    </row>
    <row r="656" spans="1:10">
      <c r="A656" s="84"/>
      <c r="B656" s="93" t="s">
        <v>445</v>
      </c>
      <c r="C656" s="94" t="s">
        <v>446</v>
      </c>
      <c r="D656" s="96" t="s">
        <v>289</v>
      </c>
      <c r="E656" s="96">
        <v>0</v>
      </c>
      <c r="F656" s="96">
        <v>56.58</v>
      </c>
      <c r="G656" s="96">
        <v>56.58</v>
      </c>
      <c r="H656" s="96">
        <v>0.74</v>
      </c>
      <c r="I656" s="96">
        <v>1.6000000000000001E-4</v>
      </c>
      <c r="J656" s="271">
        <f>+ROUND(G656*H656*I656,2)</f>
        <v>0.01</v>
      </c>
    </row>
    <row r="657" spans="1:10">
      <c r="A657" s="84"/>
      <c r="B657" s="93" t="s">
        <v>231</v>
      </c>
      <c r="C657" s="94"/>
      <c r="D657" s="96"/>
      <c r="E657" s="96"/>
      <c r="F657" s="96"/>
      <c r="G657" s="96"/>
      <c r="H657" s="96"/>
      <c r="I657" s="96"/>
      <c r="J657" s="271"/>
    </row>
    <row r="658" spans="1:10">
      <c r="A658" s="84"/>
      <c r="B658" s="93" t="s">
        <v>231</v>
      </c>
      <c r="C658" s="94"/>
      <c r="D658" s="96"/>
      <c r="E658" s="96"/>
      <c r="F658" s="96"/>
      <c r="G658" s="96"/>
      <c r="H658" s="96"/>
      <c r="I658" s="96"/>
      <c r="J658" s="271"/>
    </row>
    <row r="659" spans="1:10">
      <c r="A659" s="84"/>
      <c r="B659" s="93" t="s">
        <v>231</v>
      </c>
      <c r="C659" s="94"/>
      <c r="D659" s="96"/>
      <c r="E659" s="96"/>
      <c r="F659" s="96"/>
      <c r="G659" s="96"/>
      <c r="H659" s="96"/>
      <c r="I659" s="96"/>
      <c r="J659" s="271"/>
    </row>
    <row r="660" spans="1:10">
      <c r="A660" s="84"/>
      <c r="B660" s="93" t="s">
        <v>231</v>
      </c>
      <c r="C660" s="94"/>
      <c r="D660" s="96"/>
      <c r="E660" s="96"/>
      <c r="F660" s="96"/>
      <c r="G660" s="96"/>
      <c r="H660" s="96"/>
      <c r="I660" s="96"/>
      <c r="J660" s="271"/>
    </row>
    <row r="661" spans="1:10">
      <c r="A661" s="84"/>
      <c r="B661" s="93" t="s">
        <v>231</v>
      </c>
      <c r="C661" s="94"/>
      <c r="D661" s="96"/>
      <c r="E661" s="96"/>
      <c r="F661" s="96"/>
      <c r="G661" s="96"/>
      <c r="H661" s="96"/>
      <c r="I661" s="96"/>
      <c r="J661" s="271"/>
    </row>
    <row r="662" spans="1:10">
      <c r="A662" s="84"/>
      <c r="B662" s="89"/>
      <c r="C662" s="97"/>
      <c r="D662" s="91"/>
      <c r="E662" s="91"/>
      <c r="F662" s="91"/>
      <c r="G662" s="91" t="s">
        <v>290</v>
      </c>
      <c r="H662" s="91"/>
      <c r="I662" s="91"/>
      <c r="J662" s="99">
        <f>+SUBTOTAL(9,J655:J661)</f>
        <v>0.01</v>
      </c>
    </row>
    <row r="663" spans="1:10">
      <c r="A663" s="84"/>
      <c r="B663" s="89" t="s">
        <v>291</v>
      </c>
      <c r="C663" s="97"/>
      <c r="D663" s="91"/>
      <c r="E663" s="91"/>
      <c r="F663" s="91"/>
      <c r="G663" s="91"/>
      <c r="H663" s="91"/>
      <c r="I663" s="91"/>
      <c r="J663" s="99">
        <f>+SUBTOTAL(9,J637:J661)</f>
        <v>33.679999999999993</v>
      </c>
    </row>
    <row r="664" spans="1:10">
      <c r="A664" s="84"/>
      <c r="B664" s="89" t="s">
        <v>292</v>
      </c>
      <c r="C664" s="97"/>
      <c r="D664" s="91">
        <v>0</v>
      </c>
      <c r="E664" s="91"/>
      <c r="F664" s="91"/>
      <c r="G664" s="91"/>
      <c r="H664" s="91"/>
      <c r="I664" s="91"/>
      <c r="J664" s="99">
        <f>+ROUND(J663*D664/100,2)</f>
        <v>0</v>
      </c>
    </row>
    <row r="665" spans="1:10" ht="14.4" thickBot="1">
      <c r="A665" s="84"/>
      <c r="B665" s="89" t="s">
        <v>293</v>
      </c>
      <c r="C665" s="97"/>
      <c r="D665" s="91"/>
      <c r="E665" s="91"/>
      <c r="F665" s="91"/>
      <c r="G665" s="91"/>
      <c r="H665" s="91"/>
      <c r="I665" s="91"/>
      <c r="J665" s="99">
        <f>+J663+ J664</f>
        <v>33.679999999999993</v>
      </c>
    </row>
    <row r="666" spans="1:10">
      <c r="A666" s="84"/>
      <c r="B666" s="85" t="s">
        <v>294</v>
      </c>
      <c r="C666" s="86"/>
      <c r="D666" s="88"/>
      <c r="E666" s="88"/>
      <c r="F666" s="88" t="s">
        <v>295</v>
      </c>
      <c r="G666" s="88"/>
      <c r="H666" s="88"/>
      <c r="I666" s="88" t="s">
        <v>296</v>
      </c>
      <c r="J666" s="270"/>
    </row>
    <row r="667" spans="1:10">
      <c r="A667" s="84"/>
      <c r="B667" s="93" t="s">
        <v>297</v>
      </c>
      <c r="C667" s="84"/>
      <c r="D667" s="95"/>
      <c r="E667" s="95"/>
      <c r="F667" s="95" t="s">
        <v>298</v>
      </c>
      <c r="G667" s="95"/>
      <c r="H667" s="95"/>
      <c r="I667" s="95"/>
      <c r="J667" s="276"/>
    </row>
    <row r="668" spans="1:10">
      <c r="A668" s="84"/>
      <c r="B668" s="93" t="s">
        <v>299</v>
      </c>
      <c r="C668" s="84"/>
      <c r="D668" s="95"/>
      <c r="E668" s="95"/>
      <c r="F668" s="95" t="s">
        <v>300</v>
      </c>
      <c r="G668" s="95"/>
      <c r="H668" s="95"/>
      <c r="I668" s="95"/>
      <c r="J668" s="276"/>
    </row>
    <row r="669" spans="1:10" ht="14.4" thickBot="1">
      <c r="A669" s="84"/>
      <c r="B669" s="100" t="s">
        <v>301</v>
      </c>
      <c r="C669" s="84"/>
      <c r="D669" s="95"/>
      <c r="E669" s="95"/>
      <c r="F669" s="95"/>
      <c r="G669" s="95"/>
      <c r="H669" s="95"/>
      <c r="I669" s="95"/>
      <c r="J669" s="277"/>
    </row>
    <row r="670" spans="1:10">
      <c r="A670" s="84"/>
      <c r="B670" s="86"/>
      <c r="C670" s="86"/>
      <c r="D670" s="88"/>
      <c r="E670" s="88"/>
      <c r="F670" s="88"/>
      <c r="G670" s="88"/>
      <c r="H670" s="88"/>
      <c r="I670" s="88"/>
      <c r="J670" s="88"/>
    </row>
    <row r="671" spans="1:10" ht="14.4" thickBot="1">
      <c r="A671" s="84"/>
      <c r="B671" s="84"/>
      <c r="C671" s="84"/>
      <c r="D671" s="95"/>
      <c r="E671" s="95"/>
      <c r="F671" s="95"/>
      <c r="G671" s="95"/>
      <c r="H671" s="95"/>
      <c r="I671" s="95"/>
      <c r="J671" s="95"/>
    </row>
    <row r="672" spans="1:10">
      <c r="A672" s="84"/>
      <c r="B672" s="85"/>
      <c r="C672" s="86"/>
      <c r="D672" s="87" t="s">
        <v>227</v>
      </c>
      <c r="E672" s="87"/>
      <c r="F672" s="87"/>
      <c r="G672" s="88"/>
      <c r="H672" s="88"/>
      <c r="I672" s="88"/>
      <c r="J672" s="270"/>
    </row>
    <row r="673" spans="1:10">
      <c r="A673" s="84"/>
      <c r="B673" s="89" t="s">
        <v>228</v>
      </c>
      <c r="C673" s="90" t="s">
        <v>92</v>
      </c>
      <c r="D673" s="91"/>
      <c r="E673" s="91"/>
      <c r="F673" s="91"/>
      <c r="G673" s="91"/>
      <c r="H673" s="92" t="s">
        <v>229</v>
      </c>
      <c r="I673" s="91"/>
      <c r="J673" s="99" t="s">
        <v>230</v>
      </c>
    </row>
    <row r="674" spans="1:10">
      <c r="A674" s="84"/>
      <c r="B674" s="93" t="s">
        <v>231</v>
      </c>
      <c r="C674" s="94" t="s">
        <v>447</v>
      </c>
      <c r="D674" s="95"/>
      <c r="E674" s="95"/>
      <c r="F674" s="95"/>
      <c r="G674" s="95"/>
      <c r="H674" s="96" t="s">
        <v>233</v>
      </c>
      <c r="I674" s="95"/>
      <c r="J674" s="271" t="s">
        <v>424</v>
      </c>
    </row>
    <row r="675" spans="1:10">
      <c r="A675" s="84"/>
      <c r="B675" s="89"/>
      <c r="C675" s="90"/>
      <c r="D675" s="91"/>
      <c r="E675" s="92"/>
      <c r="F675" s="92" t="s">
        <v>235</v>
      </c>
      <c r="G675" s="92"/>
      <c r="H675" s="92" t="s">
        <v>236</v>
      </c>
      <c r="I675" s="92"/>
      <c r="J675" s="99" t="s">
        <v>237</v>
      </c>
    </row>
    <row r="676" spans="1:10">
      <c r="A676" s="84"/>
      <c r="B676" s="93" t="s">
        <v>228</v>
      </c>
      <c r="C676" s="94" t="s">
        <v>238</v>
      </c>
      <c r="D676" s="95"/>
      <c r="E676" s="96" t="s">
        <v>239</v>
      </c>
      <c r="F676" s="92" t="s">
        <v>240</v>
      </c>
      <c r="G676" s="92" t="s">
        <v>241</v>
      </c>
      <c r="H676" s="92" t="s">
        <v>240</v>
      </c>
      <c r="I676" s="272" t="s">
        <v>241</v>
      </c>
      <c r="J676" s="271" t="s">
        <v>242</v>
      </c>
    </row>
    <row r="677" spans="1:10">
      <c r="A677" s="84"/>
      <c r="B677" s="273" t="s">
        <v>427</v>
      </c>
      <c r="C677" s="90" t="s">
        <v>428</v>
      </c>
      <c r="D677" s="91"/>
      <c r="E677" s="92">
        <v>1</v>
      </c>
      <c r="F677" s="92">
        <v>0.3</v>
      </c>
      <c r="G677" s="92">
        <v>0.7</v>
      </c>
      <c r="H677" s="92">
        <v>152.22</v>
      </c>
      <c r="I677" s="92">
        <v>58.52</v>
      </c>
      <c r="J677" s="99">
        <f>+ROUND(E677* ((F677*H677) + (G677*I677)),2)</f>
        <v>86.63</v>
      </c>
    </row>
    <row r="678" spans="1:10">
      <c r="A678" s="84"/>
      <c r="B678" s="93" t="s">
        <v>231</v>
      </c>
      <c r="C678" s="94"/>
      <c r="D678" s="95"/>
      <c r="E678" s="96"/>
      <c r="F678" s="96"/>
      <c r="G678" s="96"/>
      <c r="H678" s="96"/>
      <c r="I678" s="96"/>
      <c r="J678" s="271"/>
    </row>
    <row r="679" spans="1:10">
      <c r="A679" s="84"/>
      <c r="B679" s="93" t="s">
        <v>231</v>
      </c>
      <c r="C679" s="94"/>
      <c r="D679" s="95"/>
      <c r="E679" s="96"/>
      <c r="F679" s="96"/>
      <c r="G679" s="96"/>
      <c r="H679" s="96"/>
      <c r="I679" s="96"/>
      <c r="J679" s="271"/>
    </row>
    <row r="680" spans="1:10">
      <c r="A680" s="84"/>
      <c r="B680" s="93" t="s">
        <v>231</v>
      </c>
      <c r="C680" s="94"/>
      <c r="D680" s="95"/>
      <c r="E680" s="96"/>
      <c r="F680" s="96"/>
      <c r="G680" s="96"/>
      <c r="H680" s="96"/>
      <c r="I680" s="96"/>
      <c r="J680" s="271"/>
    </row>
    <row r="681" spans="1:10">
      <c r="A681" s="84"/>
      <c r="B681" s="93" t="s">
        <v>231</v>
      </c>
      <c r="C681" s="94"/>
      <c r="D681" s="95"/>
      <c r="E681" s="96"/>
      <c r="F681" s="96"/>
      <c r="G681" s="96"/>
      <c r="H681" s="96"/>
      <c r="I681" s="96"/>
      <c r="J681" s="271"/>
    </row>
    <row r="682" spans="1:10">
      <c r="A682" s="84"/>
      <c r="B682" s="93" t="s">
        <v>231</v>
      </c>
      <c r="C682" s="94"/>
      <c r="D682" s="95"/>
      <c r="E682" s="96"/>
      <c r="F682" s="96"/>
      <c r="G682" s="96"/>
      <c r="H682" s="96"/>
      <c r="I682" s="96"/>
      <c r="J682" s="271"/>
    </row>
    <row r="683" spans="1:10">
      <c r="A683" s="84"/>
      <c r="B683" s="93" t="s">
        <v>231</v>
      </c>
      <c r="C683" s="94"/>
      <c r="D683" s="95"/>
      <c r="E683" s="96"/>
      <c r="F683" s="96"/>
      <c r="G683" s="96"/>
      <c r="H683" s="96"/>
      <c r="I683" s="96"/>
      <c r="J683" s="271"/>
    </row>
    <row r="684" spans="1:10">
      <c r="A684" s="84"/>
      <c r="B684" s="89"/>
      <c r="C684" s="97"/>
      <c r="D684" s="91"/>
      <c r="E684" s="91"/>
      <c r="F684" s="91"/>
      <c r="G684" s="91" t="s">
        <v>249</v>
      </c>
      <c r="H684" s="91"/>
      <c r="I684" s="91"/>
      <c r="J684" s="99">
        <f>+SUBTOTAL(9,J677:J683)</f>
        <v>86.63</v>
      </c>
    </row>
    <row r="685" spans="1:10">
      <c r="A685" s="84"/>
      <c r="B685" s="89" t="s">
        <v>228</v>
      </c>
      <c r="C685" s="90" t="s">
        <v>250</v>
      </c>
      <c r="D685" s="91"/>
      <c r="E685" s="91"/>
      <c r="F685" s="91"/>
      <c r="G685" s="91"/>
      <c r="H685" s="92" t="s">
        <v>239</v>
      </c>
      <c r="I685" s="92" t="s">
        <v>251</v>
      </c>
      <c r="J685" s="99" t="s">
        <v>252</v>
      </c>
    </row>
    <row r="686" spans="1:10">
      <c r="A686" s="84"/>
      <c r="B686" s="89" t="s">
        <v>253</v>
      </c>
      <c r="C686" s="90" t="s">
        <v>254</v>
      </c>
      <c r="D686" s="91"/>
      <c r="E686" s="91"/>
      <c r="F686" s="91"/>
      <c r="G686" s="91"/>
      <c r="H686" s="92">
        <v>2</v>
      </c>
      <c r="I686" s="92">
        <v>21.04</v>
      </c>
      <c r="J686" s="99">
        <f>+ROUND(H686*I686,2)</f>
        <v>42.08</v>
      </c>
    </row>
    <row r="687" spans="1:10">
      <c r="A687" s="84"/>
      <c r="B687" s="93" t="s">
        <v>431</v>
      </c>
      <c r="C687" s="94" t="s">
        <v>432</v>
      </c>
      <c r="D687" s="95"/>
      <c r="E687" s="95"/>
      <c r="F687" s="95"/>
      <c r="G687" s="95"/>
      <c r="H687" s="96">
        <v>1</v>
      </c>
      <c r="I687" s="96">
        <v>29.27</v>
      </c>
      <c r="J687" s="271">
        <f>+ROUND(H687*I687,2)</f>
        <v>29.27</v>
      </c>
    </row>
    <row r="688" spans="1:10">
      <c r="A688" s="84"/>
      <c r="B688" s="93" t="s">
        <v>231</v>
      </c>
      <c r="C688" s="94"/>
      <c r="D688" s="95"/>
      <c r="E688" s="95"/>
      <c r="F688" s="95"/>
      <c r="G688" s="95"/>
      <c r="H688" s="96"/>
      <c r="I688" s="96"/>
      <c r="J688" s="271"/>
    </row>
    <row r="689" spans="1:10">
      <c r="A689" s="84"/>
      <c r="B689" s="93" t="s">
        <v>231</v>
      </c>
      <c r="C689" s="94"/>
      <c r="D689" s="95"/>
      <c r="E689" s="95"/>
      <c r="F689" s="95"/>
      <c r="G689" s="95"/>
      <c r="H689" s="96"/>
      <c r="I689" s="96"/>
      <c r="J689" s="271"/>
    </row>
    <row r="690" spans="1:10">
      <c r="A690" s="84"/>
      <c r="B690" s="93" t="s">
        <v>231</v>
      </c>
      <c r="C690" s="94"/>
      <c r="D690" s="95"/>
      <c r="E690" s="95"/>
      <c r="F690" s="95"/>
      <c r="G690" s="95"/>
      <c r="H690" s="96"/>
      <c r="I690" s="96"/>
      <c r="J690" s="271"/>
    </row>
    <row r="691" spans="1:10">
      <c r="A691" s="84"/>
      <c r="B691" s="93" t="s">
        <v>231</v>
      </c>
      <c r="C691" s="94"/>
      <c r="D691" s="95"/>
      <c r="E691" s="95"/>
      <c r="F691" s="95"/>
      <c r="G691" s="95"/>
      <c r="H691" s="96"/>
      <c r="I691" s="96"/>
      <c r="J691" s="271"/>
    </row>
    <row r="692" spans="1:10">
      <c r="A692" s="84"/>
      <c r="B692" s="93" t="s">
        <v>231</v>
      </c>
      <c r="C692" s="94"/>
      <c r="D692" s="95"/>
      <c r="E692" s="95"/>
      <c r="F692" s="95"/>
      <c r="G692" s="95"/>
      <c r="H692" s="96"/>
      <c r="I692" s="96"/>
      <c r="J692" s="271"/>
    </row>
    <row r="693" spans="1:10">
      <c r="A693" s="84"/>
      <c r="B693" s="89"/>
      <c r="C693" s="97"/>
      <c r="D693" s="91"/>
      <c r="E693" s="91"/>
      <c r="F693" s="91"/>
      <c r="G693" s="91" t="s">
        <v>255</v>
      </c>
      <c r="H693" s="91"/>
      <c r="I693" s="91"/>
      <c r="J693" s="99">
        <f>+SUBTOTAL(9,J686:J692)</f>
        <v>71.349999999999994</v>
      </c>
    </row>
    <row r="694" spans="1:10">
      <c r="A694" s="84"/>
      <c r="B694" s="89"/>
      <c r="C694" s="97"/>
      <c r="D694" s="91"/>
      <c r="E694" s="91"/>
      <c r="F694" s="91" t="s">
        <v>256</v>
      </c>
      <c r="G694" s="91"/>
      <c r="H694" s="91"/>
      <c r="I694" s="91">
        <v>0</v>
      </c>
      <c r="J694" s="99">
        <f>+ROUND(I694*J693,2)</f>
        <v>0</v>
      </c>
    </row>
    <row r="695" spans="1:10">
      <c r="A695" s="84"/>
      <c r="B695" s="89"/>
      <c r="C695" s="97"/>
      <c r="D695" s="91"/>
      <c r="E695" s="91"/>
      <c r="F695" s="91" t="s">
        <v>257</v>
      </c>
      <c r="G695" s="91"/>
      <c r="H695" s="91"/>
      <c r="I695" s="91"/>
      <c r="J695" s="99">
        <f>+SUBTOTAL(9,J686:J694)</f>
        <v>71.349999999999994</v>
      </c>
    </row>
    <row r="696" spans="1:10">
      <c r="A696" s="84"/>
      <c r="B696" s="98"/>
      <c r="C696" s="97"/>
      <c r="D696" s="91"/>
      <c r="E696" s="91"/>
      <c r="F696" s="91"/>
      <c r="G696" s="91" t="s">
        <v>258</v>
      </c>
      <c r="H696" s="91"/>
      <c r="I696" s="91"/>
      <c r="J696" s="275">
        <f>+SUBTOTAL(9,J677:J695)</f>
        <v>157.97999999999999</v>
      </c>
    </row>
    <row r="697" spans="1:10">
      <c r="A697" s="84"/>
      <c r="B697" s="98"/>
      <c r="C697" s="97" t="s">
        <v>259</v>
      </c>
      <c r="D697" s="91">
        <v>3</v>
      </c>
      <c r="E697" s="91"/>
      <c r="F697" s="91"/>
      <c r="G697" s="91" t="s">
        <v>260</v>
      </c>
      <c r="H697" s="91"/>
      <c r="I697" s="91"/>
      <c r="J697" s="275">
        <f>+ROUND(J696/D697,2)</f>
        <v>52.66</v>
      </c>
    </row>
    <row r="698" spans="1:10">
      <c r="A698" s="84"/>
      <c r="B698" s="89" t="s">
        <v>228</v>
      </c>
      <c r="C698" s="90" t="s">
        <v>261</v>
      </c>
      <c r="D698" s="91"/>
      <c r="E698" s="91"/>
      <c r="F698" s="91"/>
      <c r="G698" s="92" t="s">
        <v>230</v>
      </c>
      <c r="H698" s="92" t="s">
        <v>262</v>
      </c>
      <c r="I698" s="92" t="s">
        <v>263</v>
      </c>
      <c r="J698" s="99" t="s">
        <v>264</v>
      </c>
    </row>
    <row r="699" spans="1:10">
      <c r="A699" s="84"/>
      <c r="B699" s="89" t="s">
        <v>231</v>
      </c>
      <c r="C699" s="90"/>
      <c r="D699" s="91"/>
      <c r="E699" s="91"/>
      <c r="F699" s="91"/>
      <c r="G699" s="92"/>
      <c r="H699" s="92"/>
      <c r="I699" s="92"/>
      <c r="J699" s="99"/>
    </row>
    <row r="700" spans="1:10">
      <c r="A700" s="84"/>
      <c r="B700" s="93" t="s">
        <v>231</v>
      </c>
      <c r="C700" s="94"/>
      <c r="D700" s="95"/>
      <c r="E700" s="95"/>
      <c r="F700" s="95"/>
      <c r="G700" s="96"/>
      <c r="H700" s="96"/>
      <c r="I700" s="96"/>
      <c r="J700" s="271"/>
    </row>
    <row r="701" spans="1:10">
      <c r="A701" s="84"/>
      <c r="B701" s="93" t="s">
        <v>231</v>
      </c>
      <c r="C701" s="94"/>
      <c r="D701" s="95"/>
      <c r="E701" s="95"/>
      <c r="F701" s="95"/>
      <c r="G701" s="96"/>
      <c r="H701" s="96"/>
      <c r="I701" s="96"/>
      <c r="J701" s="271"/>
    </row>
    <row r="702" spans="1:10">
      <c r="A702" s="84"/>
      <c r="B702" s="93" t="s">
        <v>231</v>
      </c>
      <c r="C702" s="94"/>
      <c r="D702" s="95"/>
      <c r="E702" s="95"/>
      <c r="F702" s="95"/>
      <c r="G702" s="96"/>
      <c r="H702" s="96"/>
      <c r="I702" s="96"/>
      <c r="J702" s="271"/>
    </row>
    <row r="703" spans="1:10">
      <c r="A703" s="84"/>
      <c r="B703" s="93" t="s">
        <v>231</v>
      </c>
      <c r="C703" s="94"/>
      <c r="D703" s="95"/>
      <c r="E703" s="95"/>
      <c r="F703" s="95"/>
      <c r="G703" s="96"/>
      <c r="H703" s="96"/>
      <c r="I703" s="96"/>
      <c r="J703" s="271"/>
    </row>
    <row r="704" spans="1:10">
      <c r="A704" s="84"/>
      <c r="B704" s="93" t="s">
        <v>231</v>
      </c>
      <c r="C704" s="94"/>
      <c r="D704" s="95"/>
      <c r="E704" s="95"/>
      <c r="F704" s="95"/>
      <c r="G704" s="96"/>
      <c r="H704" s="96"/>
      <c r="I704" s="96"/>
      <c r="J704" s="271"/>
    </row>
    <row r="705" spans="1:10">
      <c r="A705" s="84"/>
      <c r="B705" s="93" t="s">
        <v>231</v>
      </c>
      <c r="C705" s="94"/>
      <c r="D705" s="95"/>
      <c r="E705" s="95"/>
      <c r="F705" s="95"/>
      <c r="G705" s="96"/>
      <c r="H705" s="96"/>
      <c r="I705" s="96"/>
      <c r="J705" s="271"/>
    </row>
    <row r="706" spans="1:10">
      <c r="A706" s="84"/>
      <c r="B706" s="89"/>
      <c r="C706" s="97"/>
      <c r="D706" s="91"/>
      <c r="E706" s="91"/>
      <c r="F706" s="91"/>
      <c r="G706" s="91" t="s">
        <v>275</v>
      </c>
      <c r="H706" s="91"/>
      <c r="I706" s="91"/>
      <c r="J706" s="99">
        <f>+SUBTOTAL(9,J699:J705)</f>
        <v>0</v>
      </c>
    </row>
    <row r="707" spans="1:10">
      <c r="A707" s="84"/>
      <c r="B707" s="89" t="s">
        <v>228</v>
      </c>
      <c r="C707" s="90" t="s">
        <v>276</v>
      </c>
      <c r="D707" s="91"/>
      <c r="E707" s="91"/>
      <c r="F707" s="91"/>
      <c r="G707" s="92" t="s">
        <v>230</v>
      </c>
      <c r="H707" s="92" t="s">
        <v>262</v>
      </c>
      <c r="I707" s="92" t="s">
        <v>263</v>
      </c>
      <c r="J707" s="99" t="s">
        <v>264</v>
      </c>
    </row>
    <row r="708" spans="1:10">
      <c r="A708" s="84"/>
      <c r="B708" s="89" t="s">
        <v>448</v>
      </c>
      <c r="C708" s="90" t="s">
        <v>449</v>
      </c>
      <c r="D708" s="91"/>
      <c r="E708" s="91"/>
      <c r="F708" s="91"/>
      <c r="G708" s="92" t="s">
        <v>375</v>
      </c>
      <c r="H708" s="92">
        <v>416.03</v>
      </c>
      <c r="I708" s="92">
        <v>0.27</v>
      </c>
      <c r="J708" s="99">
        <f>+ROUND(H708*I708,2)</f>
        <v>112.33</v>
      </c>
    </row>
    <row r="709" spans="1:10">
      <c r="A709" s="84"/>
      <c r="B709" s="93" t="s">
        <v>231</v>
      </c>
      <c r="C709" s="94"/>
      <c r="D709" s="95"/>
      <c r="E709" s="95"/>
      <c r="F709" s="95"/>
      <c r="G709" s="96"/>
      <c r="H709" s="96"/>
      <c r="I709" s="96"/>
      <c r="J709" s="271"/>
    </row>
    <row r="710" spans="1:10">
      <c r="A710" s="84"/>
      <c r="B710" s="93" t="s">
        <v>231</v>
      </c>
      <c r="C710" s="94"/>
      <c r="D710" s="95"/>
      <c r="E710" s="95"/>
      <c r="F710" s="95"/>
      <c r="G710" s="96"/>
      <c r="H710" s="96"/>
      <c r="I710" s="96"/>
      <c r="J710" s="271"/>
    </row>
    <row r="711" spans="1:10">
      <c r="A711" s="84"/>
      <c r="B711" s="93" t="s">
        <v>231</v>
      </c>
      <c r="C711" s="94"/>
      <c r="D711" s="95"/>
      <c r="E711" s="95"/>
      <c r="F711" s="95"/>
      <c r="G711" s="96"/>
      <c r="H711" s="96"/>
      <c r="I711" s="96"/>
      <c r="J711" s="271"/>
    </row>
    <row r="712" spans="1:10">
      <c r="A712" s="84"/>
      <c r="B712" s="93" t="s">
        <v>231</v>
      </c>
      <c r="C712" s="94"/>
      <c r="D712" s="95"/>
      <c r="E712" s="95"/>
      <c r="F712" s="95"/>
      <c r="G712" s="96"/>
      <c r="H712" s="96"/>
      <c r="I712" s="96"/>
      <c r="J712" s="271"/>
    </row>
    <row r="713" spans="1:10">
      <c r="A713" s="84"/>
      <c r="B713" s="89"/>
      <c r="C713" s="97"/>
      <c r="D713" s="91"/>
      <c r="E713" s="91"/>
      <c r="F713" s="91"/>
      <c r="G713" s="91" t="s">
        <v>279</v>
      </c>
      <c r="H713" s="91"/>
      <c r="I713" s="91"/>
      <c r="J713" s="99">
        <f>+SUBTOTAL(9,J708:J712)</f>
        <v>112.33</v>
      </c>
    </row>
    <row r="714" spans="1:10">
      <c r="A714" s="84"/>
      <c r="B714" s="89" t="s">
        <v>228</v>
      </c>
      <c r="C714" s="90" t="s">
        <v>280</v>
      </c>
      <c r="D714" s="92" t="s">
        <v>281</v>
      </c>
      <c r="E714" s="92" t="s">
        <v>282</v>
      </c>
      <c r="F714" s="92" t="s">
        <v>283</v>
      </c>
      <c r="G714" s="92" t="s">
        <v>284</v>
      </c>
      <c r="H714" s="92" t="s">
        <v>285</v>
      </c>
      <c r="I714" s="92" t="s">
        <v>263</v>
      </c>
      <c r="J714" s="99" t="s">
        <v>286</v>
      </c>
    </row>
    <row r="715" spans="1:10">
      <c r="A715" s="84"/>
      <c r="B715" s="89" t="s">
        <v>231</v>
      </c>
      <c r="C715" s="90"/>
      <c r="D715" s="92"/>
      <c r="E715" s="92"/>
      <c r="F715" s="92"/>
      <c r="G715" s="92"/>
      <c r="H715" s="92"/>
      <c r="I715" s="92"/>
      <c r="J715" s="99"/>
    </row>
    <row r="716" spans="1:10">
      <c r="A716" s="84"/>
      <c r="B716" s="93" t="s">
        <v>231</v>
      </c>
      <c r="C716" s="94"/>
      <c r="D716" s="96"/>
      <c r="E716" s="96"/>
      <c r="F716" s="96"/>
      <c r="G716" s="96"/>
      <c r="H716" s="96"/>
      <c r="I716" s="96"/>
      <c r="J716" s="271"/>
    </row>
    <row r="717" spans="1:10">
      <c r="A717" s="84"/>
      <c r="B717" s="93" t="s">
        <v>231</v>
      </c>
      <c r="C717" s="94"/>
      <c r="D717" s="96"/>
      <c r="E717" s="96"/>
      <c r="F717" s="96"/>
      <c r="G717" s="96"/>
      <c r="H717" s="96"/>
      <c r="I717" s="96"/>
      <c r="J717" s="271"/>
    </row>
    <row r="718" spans="1:10">
      <c r="A718" s="84"/>
      <c r="B718" s="93" t="s">
        <v>231</v>
      </c>
      <c r="C718" s="94"/>
      <c r="D718" s="96"/>
      <c r="E718" s="96"/>
      <c r="F718" s="96"/>
      <c r="G718" s="96"/>
      <c r="H718" s="96"/>
      <c r="I718" s="96"/>
      <c r="J718" s="271"/>
    </row>
    <row r="719" spans="1:10">
      <c r="A719" s="84"/>
      <c r="B719" s="93" t="s">
        <v>231</v>
      </c>
      <c r="C719" s="94"/>
      <c r="D719" s="96"/>
      <c r="E719" s="96"/>
      <c r="F719" s="96"/>
      <c r="G719" s="96"/>
      <c r="H719" s="96"/>
      <c r="I719" s="96"/>
      <c r="J719" s="271"/>
    </row>
    <row r="720" spans="1:10">
      <c r="A720" s="84"/>
      <c r="B720" s="93" t="s">
        <v>231</v>
      </c>
      <c r="C720" s="94"/>
      <c r="D720" s="96"/>
      <c r="E720" s="96"/>
      <c r="F720" s="96"/>
      <c r="G720" s="96"/>
      <c r="H720" s="96"/>
      <c r="I720" s="96"/>
      <c r="J720" s="271"/>
    </row>
    <row r="721" spans="1:10">
      <c r="A721" s="84"/>
      <c r="B721" s="93" t="s">
        <v>231</v>
      </c>
      <c r="C721" s="94"/>
      <c r="D721" s="96"/>
      <c r="E721" s="96"/>
      <c r="F721" s="96"/>
      <c r="G721" s="96"/>
      <c r="H721" s="96"/>
      <c r="I721" s="96"/>
      <c r="J721" s="271"/>
    </row>
    <row r="722" spans="1:10">
      <c r="A722" s="84"/>
      <c r="B722" s="89"/>
      <c r="C722" s="97"/>
      <c r="D722" s="91"/>
      <c r="E722" s="91"/>
      <c r="F722" s="91"/>
      <c r="G722" s="91" t="s">
        <v>290</v>
      </c>
      <c r="H722" s="91"/>
      <c r="I722" s="91"/>
      <c r="J722" s="99">
        <f>+SUBTOTAL(9,J715:J721)</f>
        <v>0</v>
      </c>
    </row>
    <row r="723" spans="1:10">
      <c r="A723" s="84"/>
      <c r="B723" s="89" t="s">
        <v>291</v>
      </c>
      <c r="C723" s="97"/>
      <c r="D723" s="91"/>
      <c r="E723" s="91"/>
      <c r="F723" s="91"/>
      <c r="G723" s="91"/>
      <c r="H723" s="91"/>
      <c r="I723" s="91"/>
      <c r="J723" s="99">
        <f>+SUBTOTAL(9,J697:J721)</f>
        <v>164.99</v>
      </c>
    </row>
    <row r="724" spans="1:10">
      <c r="A724" s="84"/>
      <c r="B724" s="89" t="s">
        <v>292</v>
      </c>
      <c r="C724" s="97"/>
      <c r="D724" s="91">
        <v>0</v>
      </c>
      <c r="E724" s="91"/>
      <c r="F724" s="91"/>
      <c r="G724" s="91"/>
      <c r="H724" s="91"/>
      <c r="I724" s="91"/>
      <c r="J724" s="99">
        <f>+ROUND(J723*D724/100,2)</f>
        <v>0</v>
      </c>
    </row>
    <row r="725" spans="1:10" ht="14.4" thickBot="1">
      <c r="A725" s="84"/>
      <c r="B725" s="89" t="s">
        <v>293</v>
      </c>
      <c r="C725" s="97"/>
      <c r="D725" s="91"/>
      <c r="E725" s="91"/>
      <c r="F725" s="91"/>
      <c r="G725" s="91"/>
      <c r="H725" s="91"/>
      <c r="I725" s="91"/>
      <c r="J725" s="99">
        <f>+J723+ J724</f>
        <v>164.99</v>
      </c>
    </row>
    <row r="726" spans="1:10">
      <c r="A726" s="84"/>
      <c r="B726" s="85" t="s">
        <v>294</v>
      </c>
      <c r="C726" s="86"/>
      <c r="D726" s="88"/>
      <c r="E726" s="88"/>
      <c r="F726" s="88" t="s">
        <v>295</v>
      </c>
      <c r="G726" s="88"/>
      <c r="H726" s="88"/>
      <c r="I726" s="88" t="s">
        <v>296</v>
      </c>
      <c r="J726" s="270"/>
    </row>
    <row r="727" spans="1:10">
      <c r="A727" s="84"/>
      <c r="B727" s="93" t="s">
        <v>297</v>
      </c>
      <c r="C727" s="84"/>
      <c r="D727" s="95"/>
      <c r="E727" s="95"/>
      <c r="F727" s="95" t="s">
        <v>298</v>
      </c>
      <c r="G727" s="95"/>
      <c r="H727" s="95"/>
      <c r="I727" s="95"/>
      <c r="J727" s="276"/>
    </row>
    <row r="728" spans="1:10">
      <c r="A728" s="84"/>
      <c r="B728" s="93" t="s">
        <v>299</v>
      </c>
      <c r="C728" s="84"/>
      <c r="D728" s="95"/>
      <c r="E728" s="95"/>
      <c r="F728" s="95" t="s">
        <v>300</v>
      </c>
      <c r="G728" s="95"/>
      <c r="H728" s="95"/>
      <c r="I728" s="95"/>
      <c r="J728" s="276"/>
    </row>
    <row r="729" spans="1:10" ht="14.4" thickBot="1">
      <c r="A729" s="84"/>
      <c r="B729" s="100" t="s">
        <v>301</v>
      </c>
      <c r="C729" s="84"/>
      <c r="D729" s="95"/>
      <c r="E729" s="95"/>
      <c r="F729" s="95"/>
      <c r="G729" s="95"/>
      <c r="H729" s="95"/>
      <c r="I729" s="95"/>
      <c r="J729" s="277"/>
    </row>
    <row r="730" spans="1:10">
      <c r="A730" s="84"/>
      <c r="B730" s="86"/>
      <c r="C730" s="86"/>
      <c r="D730" s="88"/>
      <c r="E730" s="88"/>
      <c r="F730" s="88"/>
      <c r="G730" s="88"/>
      <c r="H730" s="88"/>
      <c r="I730" s="88"/>
      <c r="J730" s="88"/>
    </row>
    <row r="731" spans="1:10" ht="14.4" thickBot="1">
      <c r="A731" s="84"/>
      <c r="B731" s="84"/>
      <c r="C731" s="84"/>
      <c r="D731" s="95"/>
      <c r="E731" s="95"/>
      <c r="F731" s="95"/>
      <c r="G731" s="95"/>
      <c r="H731" s="95"/>
      <c r="I731" s="95"/>
      <c r="J731" s="95"/>
    </row>
    <row r="732" spans="1:10">
      <c r="A732" s="84"/>
      <c r="B732" s="85"/>
      <c r="C732" s="86"/>
      <c r="D732" s="87" t="s">
        <v>227</v>
      </c>
      <c r="E732" s="87"/>
      <c r="F732" s="87"/>
      <c r="G732" s="88"/>
      <c r="H732" s="88"/>
      <c r="I732" s="88"/>
      <c r="J732" s="270"/>
    </row>
    <row r="733" spans="1:10">
      <c r="A733" s="84"/>
      <c r="B733" s="89" t="s">
        <v>228</v>
      </c>
      <c r="C733" s="90" t="s">
        <v>92</v>
      </c>
      <c r="D733" s="91"/>
      <c r="E733" s="91"/>
      <c r="F733" s="91"/>
      <c r="G733" s="91"/>
      <c r="H733" s="92" t="s">
        <v>229</v>
      </c>
      <c r="I733" s="91"/>
      <c r="J733" s="99" t="s">
        <v>230</v>
      </c>
    </row>
    <row r="734" spans="1:10">
      <c r="A734" s="84"/>
      <c r="B734" s="93" t="s">
        <v>448</v>
      </c>
      <c r="C734" s="94" t="s">
        <v>450</v>
      </c>
      <c r="D734" s="95"/>
      <c r="E734" s="95"/>
      <c r="F734" s="95"/>
      <c r="G734" s="95"/>
      <c r="H734" s="96" t="s">
        <v>233</v>
      </c>
      <c r="I734" s="95"/>
      <c r="J734" s="271" t="s">
        <v>375</v>
      </c>
    </row>
    <row r="735" spans="1:10">
      <c r="A735" s="84"/>
      <c r="B735" s="89"/>
      <c r="C735" s="90"/>
      <c r="D735" s="91"/>
      <c r="E735" s="92"/>
      <c r="F735" s="92" t="s">
        <v>235</v>
      </c>
      <c r="G735" s="92"/>
      <c r="H735" s="92" t="s">
        <v>236</v>
      </c>
      <c r="I735" s="92"/>
      <c r="J735" s="99" t="s">
        <v>237</v>
      </c>
    </row>
    <row r="736" spans="1:10">
      <c r="A736" s="84"/>
      <c r="B736" s="93" t="s">
        <v>228</v>
      </c>
      <c r="C736" s="94" t="s">
        <v>238</v>
      </c>
      <c r="D736" s="95"/>
      <c r="E736" s="96" t="s">
        <v>239</v>
      </c>
      <c r="F736" s="92" t="s">
        <v>240</v>
      </c>
      <c r="G736" s="92" t="s">
        <v>241</v>
      </c>
      <c r="H736" s="92" t="s">
        <v>240</v>
      </c>
      <c r="I736" s="272" t="s">
        <v>241</v>
      </c>
      <c r="J736" s="271" t="s">
        <v>242</v>
      </c>
    </row>
    <row r="737" spans="1:10">
      <c r="A737" s="84"/>
      <c r="B737" s="273" t="s">
        <v>451</v>
      </c>
      <c r="C737" s="90" t="s">
        <v>452</v>
      </c>
      <c r="D737" s="91"/>
      <c r="E737" s="92">
        <v>0.48193000000000003</v>
      </c>
      <c r="F737" s="92">
        <v>1</v>
      </c>
      <c r="G737" s="92">
        <v>0</v>
      </c>
      <c r="H737" s="92">
        <v>23.65</v>
      </c>
      <c r="I737" s="92">
        <v>14.91</v>
      </c>
      <c r="J737" s="99">
        <f>+ROUND(E737* ((F737*H737) + (G737*I737)),2)</f>
        <v>11.4</v>
      </c>
    </row>
    <row r="738" spans="1:10">
      <c r="A738" s="84"/>
      <c r="B738" s="274" t="s">
        <v>453</v>
      </c>
      <c r="C738" s="94" t="s">
        <v>454</v>
      </c>
      <c r="D738" s="95"/>
      <c r="E738" s="96">
        <v>0.15060000000000001</v>
      </c>
      <c r="F738" s="96">
        <v>1</v>
      </c>
      <c r="G738" s="96">
        <v>0</v>
      </c>
      <c r="H738" s="96">
        <v>0.21</v>
      </c>
      <c r="I738" s="96">
        <v>0.14000000000000001</v>
      </c>
      <c r="J738" s="271">
        <f>+ROUND(E738* ((F738*H738) + (G738*I738)),2)</f>
        <v>0.03</v>
      </c>
    </row>
    <row r="739" spans="1:10">
      <c r="A739" s="84"/>
      <c r="B739" s="274" t="s">
        <v>455</v>
      </c>
      <c r="C739" s="94" t="s">
        <v>456</v>
      </c>
      <c r="D739" s="95"/>
      <c r="E739" s="96">
        <v>0.48193000000000003</v>
      </c>
      <c r="F739" s="96">
        <v>1</v>
      </c>
      <c r="G739" s="96">
        <v>0</v>
      </c>
      <c r="H739" s="96">
        <v>13.6</v>
      </c>
      <c r="I739" s="96">
        <v>8.65</v>
      </c>
      <c r="J739" s="271">
        <f>+ROUND(E739* ((F739*H739) + (G739*I739)),2)</f>
        <v>6.55</v>
      </c>
    </row>
    <row r="740" spans="1:10">
      <c r="A740" s="84"/>
      <c r="B740" s="274" t="s">
        <v>457</v>
      </c>
      <c r="C740" s="94" t="s">
        <v>458</v>
      </c>
      <c r="D740" s="95"/>
      <c r="E740" s="96">
        <v>0.20080000000000001</v>
      </c>
      <c r="F740" s="96">
        <v>1</v>
      </c>
      <c r="G740" s="96">
        <v>0</v>
      </c>
      <c r="H740" s="96">
        <v>14.77</v>
      </c>
      <c r="I740" s="96">
        <v>9.39</v>
      </c>
      <c r="J740" s="271">
        <f>+ROUND(E740* ((F740*H740) + (G740*I740)),2)</f>
        <v>2.97</v>
      </c>
    </row>
    <row r="741" spans="1:10">
      <c r="A741" s="84"/>
      <c r="B741" s="274" t="s">
        <v>459</v>
      </c>
      <c r="C741" s="94" t="s">
        <v>460</v>
      </c>
      <c r="D741" s="95"/>
      <c r="E741" s="96">
        <v>0.48193000000000003</v>
      </c>
      <c r="F741" s="96">
        <v>1</v>
      </c>
      <c r="G741" s="96">
        <v>0</v>
      </c>
      <c r="H741" s="96">
        <v>27.45</v>
      </c>
      <c r="I741" s="96">
        <v>5.41</v>
      </c>
      <c r="J741" s="271">
        <f>+ROUND(E741* ((F741*H741) + (G741*I741)),2)</f>
        <v>13.23</v>
      </c>
    </row>
    <row r="742" spans="1:10">
      <c r="A742" s="84"/>
      <c r="B742" s="93" t="s">
        <v>231</v>
      </c>
      <c r="C742" s="94"/>
      <c r="D742" s="95"/>
      <c r="E742" s="96"/>
      <c r="F742" s="96"/>
      <c r="G742" s="96"/>
      <c r="H742" s="96"/>
      <c r="I742" s="96"/>
      <c r="J742" s="271"/>
    </row>
    <row r="743" spans="1:10">
      <c r="A743" s="84"/>
      <c r="B743" s="93" t="s">
        <v>231</v>
      </c>
      <c r="C743" s="94"/>
      <c r="D743" s="95"/>
      <c r="E743" s="96"/>
      <c r="F743" s="96"/>
      <c r="G743" s="96"/>
      <c r="H743" s="96"/>
      <c r="I743" s="96"/>
      <c r="J743" s="271"/>
    </row>
    <row r="744" spans="1:10">
      <c r="A744" s="84"/>
      <c r="B744" s="89"/>
      <c r="C744" s="97"/>
      <c r="D744" s="91"/>
      <c r="E744" s="91"/>
      <c r="F744" s="91"/>
      <c r="G744" s="91" t="s">
        <v>249</v>
      </c>
      <c r="H744" s="91"/>
      <c r="I744" s="91"/>
      <c r="J744" s="99">
        <f>+SUBTOTAL(9,J737:J743)</f>
        <v>34.18</v>
      </c>
    </row>
    <row r="745" spans="1:10">
      <c r="A745" s="84"/>
      <c r="B745" s="89" t="s">
        <v>228</v>
      </c>
      <c r="C745" s="90" t="s">
        <v>250</v>
      </c>
      <c r="D745" s="91"/>
      <c r="E745" s="91"/>
      <c r="F745" s="91"/>
      <c r="G745" s="91"/>
      <c r="H745" s="92" t="s">
        <v>239</v>
      </c>
      <c r="I745" s="92" t="s">
        <v>251</v>
      </c>
      <c r="J745" s="99" t="s">
        <v>252</v>
      </c>
    </row>
    <row r="746" spans="1:10">
      <c r="A746" s="84"/>
      <c r="B746" s="89" t="s">
        <v>461</v>
      </c>
      <c r="C746" s="90" t="s">
        <v>462</v>
      </c>
      <c r="D746" s="91"/>
      <c r="E746" s="91"/>
      <c r="F746" s="91"/>
      <c r="G746" s="91"/>
      <c r="H746" s="92">
        <v>2</v>
      </c>
      <c r="I746" s="92">
        <v>22.84</v>
      </c>
      <c r="J746" s="99">
        <f>+ROUND(H746*I746,2)</f>
        <v>45.68</v>
      </c>
    </row>
    <row r="747" spans="1:10">
      <c r="A747" s="84"/>
      <c r="B747" s="93" t="s">
        <v>463</v>
      </c>
      <c r="C747" s="94" t="s">
        <v>464</v>
      </c>
      <c r="D747" s="95"/>
      <c r="E747" s="95"/>
      <c r="F747" s="95"/>
      <c r="G747" s="95"/>
      <c r="H747" s="96">
        <v>1</v>
      </c>
      <c r="I747" s="96">
        <v>31.59</v>
      </c>
      <c r="J747" s="271">
        <f>+ROUND(H747*I747,2)</f>
        <v>31.59</v>
      </c>
    </row>
    <row r="748" spans="1:10">
      <c r="A748" s="84"/>
      <c r="B748" s="93" t="s">
        <v>253</v>
      </c>
      <c r="C748" s="94" t="s">
        <v>254</v>
      </c>
      <c r="D748" s="95"/>
      <c r="E748" s="95"/>
      <c r="F748" s="95"/>
      <c r="G748" s="95"/>
      <c r="H748" s="96">
        <v>2</v>
      </c>
      <c r="I748" s="96">
        <v>21.04</v>
      </c>
      <c r="J748" s="271">
        <f>+ROUND(H748*I748,2)</f>
        <v>42.08</v>
      </c>
    </row>
    <row r="749" spans="1:10">
      <c r="A749" s="84"/>
      <c r="B749" s="93" t="s">
        <v>431</v>
      </c>
      <c r="C749" s="94" t="s">
        <v>432</v>
      </c>
      <c r="D749" s="95"/>
      <c r="E749" s="95"/>
      <c r="F749" s="95"/>
      <c r="G749" s="95"/>
      <c r="H749" s="96">
        <v>1</v>
      </c>
      <c r="I749" s="96">
        <v>29.27</v>
      </c>
      <c r="J749" s="271">
        <f>+ROUND(H749*I749,2)</f>
        <v>29.27</v>
      </c>
    </row>
    <row r="750" spans="1:10">
      <c r="A750" s="84"/>
      <c r="B750" s="93" t="s">
        <v>231</v>
      </c>
      <c r="C750" s="94"/>
      <c r="D750" s="95"/>
      <c r="E750" s="95"/>
      <c r="F750" s="95"/>
      <c r="G750" s="95"/>
      <c r="H750" s="96"/>
      <c r="I750" s="96"/>
      <c r="J750" s="271"/>
    </row>
    <row r="751" spans="1:10">
      <c r="A751" s="84"/>
      <c r="B751" s="93" t="s">
        <v>231</v>
      </c>
      <c r="C751" s="94"/>
      <c r="D751" s="95"/>
      <c r="E751" s="95"/>
      <c r="F751" s="95"/>
      <c r="G751" s="95"/>
      <c r="H751" s="96"/>
      <c r="I751" s="96"/>
      <c r="J751" s="271"/>
    </row>
    <row r="752" spans="1:10">
      <c r="A752" s="84"/>
      <c r="B752" s="93" t="s">
        <v>231</v>
      </c>
      <c r="C752" s="94"/>
      <c r="D752" s="95"/>
      <c r="E752" s="95"/>
      <c r="F752" s="95"/>
      <c r="G752" s="95"/>
      <c r="H752" s="96"/>
      <c r="I752" s="96"/>
      <c r="J752" s="271"/>
    </row>
    <row r="753" spans="1:10">
      <c r="A753" s="84"/>
      <c r="B753" s="89"/>
      <c r="C753" s="97"/>
      <c r="D753" s="91"/>
      <c r="E753" s="91"/>
      <c r="F753" s="91"/>
      <c r="G753" s="91" t="s">
        <v>255</v>
      </c>
      <c r="H753" s="91"/>
      <c r="I753" s="91"/>
      <c r="J753" s="99">
        <f>+SUBTOTAL(9,J746:J752)</f>
        <v>148.62</v>
      </c>
    </row>
    <row r="754" spans="1:10">
      <c r="A754" s="84"/>
      <c r="B754" s="89"/>
      <c r="C754" s="97"/>
      <c r="D754" s="91"/>
      <c r="E754" s="91"/>
      <c r="F754" s="91" t="s">
        <v>256</v>
      </c>
      <c r="G754" s="91"/>
      <c r="H754" s="91"/>
      <c r="I754" s="91">
        <v>0</v>
      </c>
      <c r="J754" s="99">
        <f>+ROUND(I754*J753,2)</f>
        <v>0</v>
      </c>
    </row>
    <row r="755" spans="1:10">
      <c r="A755" s="84"/>
      <c r="B755" s="89"/>
      <c r="C755" s="97"/>
      <c r="D755" s="91"/>
      <c r="E755" s="91"/>
      <c r="F755" s="91" t="s">
        <v>257</v>
      </c>
      <c r="G755" s="91"/>
      <c r="H755" s="91"/>
      <c r="I755" s="91"/>
      <c r="J755" s="99">
        <f>+SUBTOTAL(9,J746:J754)</f>
        <v>148.62</v>
      </c>
    </row>
    <row r="756" spans="1:10">
      <c r="A756" s="84"/>
      <c r="B756" s="98"/>
      <c r="C756" s="97"/>
      <c r="D756" s="91"/>
      <c r="E756" s="91"/>
      <c r="F756" s="91"/>
      <c r="G756" s="91" t="s">
        <v>258</v>
      </c>
      <c r="H756" s="91"/>
      <c r="I756" s="91"/>
      <c r="J756" s="275">
        <f>+SUBTOTAL(9,J737:J755)</f>
        <v>182.8</v>
      </c>
    </row>
    <row r="757" spans="1:10">
      <c r="A757" s="84"/>
      <c r="B757" s="98"/>
      <c r="C757" s="97" t="s">
        <v>259</v>
      </c>
      <c r="D757" s="91">
        <v>4</v>
      </c>
      <c r="E757" s="91"/>
      <c r="F757" s="91"/>
      <c r="G757" s="91" t="s">
        <v>260</v>
      </c>
      <c r="H757" s="91"/>
      <c r="I757" s="91"/>
      <c r="J757" s="275">
        <f>+ROUND(J756/D757,2)</f>
        <v>45.7</v>
      </c>
    </row>
    <row r="758" spans="1:10">
      <c r="A758" s="84"/>
      <c r="B758" s="89" t="s">
        <v>228</v>
      </c>
      <c r="C758" s="90" t="s">
        <v>261</v>
      </c>
      <c r="D758" s="91"/>
      <c r="E758" s="91"/>
      <c r="F758" s="91"/>
      <c r="G758" s="92" t="s">
        <v>230</v>
      </c>
      <c r="H758" s="92" t="s">
        <v>262</v>
      </c>
      <c r="I758" s="92" t="s">
        <v>263</v>
      </c>
      <c r="J758" s="99" t="s">
        <v>264</v>
      </c>
    </row>
    <row r="759" spans="1:10">
      <c r="A759" s="84"/>
      <c r="B759" s="89" t="s">
        <v>465</v>
      </c>
      <c r="C759" s="90" t="s">
        <v>466</v>
      </c>
      <c r="D759" s="91"/>
      <c r="E759" s="91"/>
      <c r="F759" s="91"/>
      <c r="G759" s="92" t="s">
        <v>332</v>
      </c>
      <c r="H759" s="92">
        <v>11.49</v>
      </c>
      <c r="I759" s="92">
        <v>11.775</v>
      </c>
      <c r="J759" s="99">
        <f t="shared" ref="J759:J764" si="3">+ROUND(H759*I759,2)</f>
        <v>135.29</v>
      </c>
    </row>
    <row r="760" spans="1:10">
      <c r="A760" s="84"/>
      <c r="B760" s="93" t="s">
        <v>467</v>
      </c>
      <c r="C760" s="94" t="s">
        <v>468</v>
      </c>
      <c r="D760" s="95"/>
      <c r="E760" s="95"/>
      <c r="F760" s="95"/>
      <c r="G760" s="96" t="s">
        <v>375</v>
      </c>
      <c r="H760" s="96">
        <v>149.24</v>
      </c>
      <c r="I760" s="96">
        <v>1</v>
      </c>
      <c r="J760" s="271">
        <f t="shared" si="3"/>
        <v>149.24</v>
      </c>
    </row>
    <row r="761" spans="1:10">
      <c r="A761" s="84"/>
      <c r="B761" s="93" t="s">
        <v>469</v>
      </c>
      <c r="C761" s="94" t="s">
        <v>470</v>
      </c>
      <c r="D761" s="95"/>
      <c r="E761" s="95"/>
      <c r="F761" s="95"/>
      <c r="G761" s="96" t="s">
        <v>375</v>
      </c>
      <c r="H761" s="96">
        <v>172.53</v>
      </c>
      <c r="I761" s="96">
        <v>0.4</v>
      </c>
      <c r="J761" s="271">
        <f t="shared" si="3"/>
        <v>69.010000000000005</v>
      </c>
    </row>
    <row r="762" spans="1:10">
      <c r="A762" s="84"/>
      <c r="B762" s="93" t="s">
        <v>471</v>
      </c>
      <c r="C762" s="94" t="s">
        <v>472</v>
      </c>
      <c r="D762" s="95"/>
      <c r="E762" s="95"/>
      <c r="F762" s="95"/>
      <c r="G762" s="96" t="s">
        <v>270</v>
      </c>
      <c r="H762" s="96">
        <v>33.99</v>
      </c>
      <c r="I762" s="96">
        <v>1.1780000000000001E-2</v>
      </c>
      <c r="J762" s="271">
        <f t="shared" si="3"/>
        <v>0.4</v>
      </c>
    </row>
    <row r="763" spans="1:10">
      <c r="A763" s="84"/>
      <c r="B763" s="93" t="s">
        <v>473</v>
      </c>
      <c r="C763" s="94" t="s">
        <v>474</v>
      </c>
      <c r="D763" s="95"/>
      <c r="E763" s="95"/>
      <c r="F763" s="95"/>
      <c r="G763" s="96" t="s">
        <v>270</v>
      </c>
      <c r="H763" s="96">
        <v>33.81</v>
      </c>
      <c r="I763" s="96">
        <v>4.4000000000000002E-4</v>
      </c>
      <c r="J763" s="271">
        <f t="shared" si="3"/>
        <v>0.01</v>
      </c>
    </row>
    <row r="764" spans="1:10">
      <c r="A764" s="84"/>
      <c r="B764" s="93" t="s">
        <v>475</v>
      </c>
      <c r="C764" s="94" t="s">
        <v>476</v>
      </c>
      <c r="D764" s="95"/>
      <c r="E764" s="95"/>
      <c r="F764" s="95"/>
      <c r="G764" s="96" t="s">
        <v>270</v>
      </c>
      <c r="H764" s="96">
        <v>33.81</v>
      </c>
      <c r="I764" s="96">
        <v>1.2E-4</v>
      </c>
      <c r="J764" s="271">
        <f t="shared" si="3"/>
        <v>0</v>
      </c>
    </row>
    <row r="765" spans="1:10">
      <c r="A765" s="84"/>
      <c r="B765" s="93" t="s">
        <v>231</v>
      </c>
      <c r="C765" s="94"/>
      <c r="D765" s="95"/>
      <c r="E765" s="95"/>
      <c r="F765" s="95"/>
      <c r="G765" s="96"/>
      <c r="H765" s="96"/>
      <c r="I765" s="96"/>
      <c r="J765" s="271"/>
    </row>
    <row r="766" spans="1:10">
      <c r="A766" s="84"/>
      <c r="B766" s="89"/>
      <c r="C766" s="97"/>
      <c r="D766" s="91"/>
      <c r="E766" s="91"/>
      <c r="F766" s="91"/>
      <c r="G766" s="91" t="s">
        <v>275</v>
      </c>
      <c r="H766" s="91"/>
      <c r="I766" s="91"/>
      <c r="J766" s="99">
        <f>+SUBTOTAL(9,J759:J765)</f>
        <v>353.94999999999993</v>
      </c>
    </row>
    <row r="767" spans="1:10">
      <c r="A767" s="84"/>
      <c r="B767" s="89" t="s">
        <v>228</v>
      </c>
      <c r="C767" s="90" t="s">
        <v>276</v>
      </c>
      <c r="D767" s="91"/>
      <c r="E767" s="91"/>
      <c r="F767" s="91"/>
      <c r="G767" s="92" t="s">
        <v>230</v>
      </c>
      <c r="H767" s="92" t="s">
        <v>262</v>
      </c>
      <c r="I767" s="92" t="s">
        <v>263</v>
      </c>
      <c r="J767" s="99" t="s">
        <v>264</v>
      </c>
    </row>
    <row r="768" spans="1:10">
      <c r="A768" s="84"/>
      <c r="B768" s="89" t="s">
        <v>477</v>
      </c>
      <c r="C768" s="90" t="s">
        <v>478</v>
      </c>
      <c r="D768" s="91"/>
      <c r="E768" s="91"/>
      <c r="F768" s="91"/>
      <c r="G768" s="92" t="s">
        <v>375</v>
      </c>
      <c r="H768" s="92">
        <v>15.83</v>
      </c>
      <c r="I768" s="92">
        <v>1</v>
      </c>
      <c r="J768" s="99">
        <f>+ROUND(H768*I768,2)</f>
        <v>15.83</v>
      </c>
    </row>
    <row r="769" spans="1:10">
      <c r="A769" s="84"/>
      <c r="B769" s="93" t="s">
        <v>231</v>
      </c>
      <c r="C769" s="94"/>
      <c r="D769" s="95"/>
      <c r="E769" s="95"/>
      <c r="F769" s="95"/>
      <c r="G769" s="96"/>
      <c r="H769" s="96"/>
      <c r="I769" s="96"/>
      <c r="J769" s="271"/>
    </row>
    <row r="770" spans="1:10">
      <c r="A770" s="84"/>
      <c r="B770" s="93" t="s">
        <v>231</v>
      </c>
      <c r="C770" s="94"/>
      <c r="D770" s="95"/>
      <c r="E770" s="95"/>
      <c r="F770" s="95"/>
      <c r="G770" s="96"/>
      <c r="H770" s="96"/>
      <c r="I770" s="96"/>
      <c r="J770" s="271"/>
    </row>
    <row r="771" spans="1:10">
      <c r="A771" s="84"/>
      <c r="B771" s="93" t="s">
        <v>231</v>
      </c>
      <c r="C771" s="94"/>
      <c r="D771" s="95"/>
      <c r="E771" s="95"/>
      <c r="F771" s="95"/>
      <c r="G771" s="96"/>
      <c r="H771" s="96"/>
      <c r="I771" s="96"/>
      <c r="J771" s="271"/>
    </row>
    <row r="772" spans="1:10">
      <c r="A772" s="84"/>
      <c r="B772" s="93" t="s">
        <v>231</v>
      </c>
      <c r="C772" s="94"/>
      <c r="D772" s="95"/>
      <c r="E772" s="95"/>
      <c r="F772" s="95"/>
      <c r="G772" s="96"/>
      <c r="H772" s="96"/>
      <c r="I772" s="96"/>
      <c r="J772" s="271"/>
    </row>
    <row r="773" spans="1:10">
      <c r="A773" s="84"/>
      <c r="B773" s="89"/>
      <c r="C773" s="97"/>
      <c r="D773" s="91"/>
      <c r="E773" s="91"/>
      <c r="F773" s="91"/>
      <c r="G773" s="91" t="s">
        <v>279</v>
      </c>
      <c r="H773" s="91"/>
      <c r="I773" s="91"/>
      <c r="J773" s="99">
        <f>+SUBTOTAL(9,J768:J772)</f>
        <v>15.83</v>
      </c>
    </row>
    <row r="774" spans="1:10">
      <c r="A774" s="84"/>
      <c r="B774" s="89" t="s">
        <v>228</v>
      </c>
      <c r="C774" s="90" t="s">
        <v>280</v>
      </c>
      <c r="D774" s="92" t="s">
        <v>281</v>
      </c>
      <c r="E774" s="92" t="s">
        <v>282</v>
      </c>
      <c r="F774" s="92" t="s">
        <v>283</v>
      </c>
      <c r="G774" s="92" t="s">
        <v>284</v>
      </c>
      <c r="H774" s="92" t="s">
        <v>285</v>
      </c>
      <c r="I774" s="92" t="s">
        <v>263</v>
      </c>
      <c r="J774" s="99" t="s">
        <v>286</v>
      </c>
    </row>
    <row r="775" spans="1:10">
      <c r="A775" s="84"/>
      <c r="B775" s="89" t="s">
        <v>479</v>
      </c>
      <c r="C775" s="90" t="s">
        <v>480</v>
      </c>
      <c r="D775" s="92" t="s">
        <v>289</v>
      </c>
      <c r="E775" s="92">
        <v>0</v>
      </c>
      <c r="F775" s="92">
        <v>56.58</v>
      </c>
      <c r="G775" s="92">
        <v>56.58</v>
      </c>
      <c r="H775" s="92">
        <v>0.74</v>
      </c>
      <c r="I775" s="92">
        <v>1.1780000000000001E-2</v>
      </c>
      <c r="J775" s="99">
        <f>+ROUND(G775*H775*I775,2)</f>
        <v>0.49</v>
      </c>
    </row>
    <row r="776" spans="1:10">
      <c r="A776" s="84"/>
      <c r="B776" s="93" t="s">
        <v>481</v>
      </c>
      <c r="C776" s="94" t="s">
        <v>482</v>
      </c>
      <c r="D776" s="96" t="s">
        <v>289</v>
      </c>
      <c r="E776" s="96">
        <v>0</v>
      </c>
      <c r="F776" s="96">
        <v>56.58</v>
      </c>
      <c r="G776" s="96">
        <v>56.58</v>
      </c>
      <c r="H776" s="96">
        <v>0.74</v>
      </c>
      <c r="I776" s="96">
        <v>4.4000000000000002E-4</v>
      </c>
      <c r="J776" s="271">
        <f>+ROUND(G776*H776*I776,2)</f>
        <v>0.02</v>
      </c>
    </row>
    <row r="777" spans="1:10">
      <c r="A777" s="84"/>
      <c r="B777" s="93" t="s">
        <v>483</v>
      </c>
      <c r="C777" s="94" t="s">
        <v>484</v>
      </c>
      <c r="D777" s="96" t="s">
        <v>289</v>
      </c>
      <c r="E777" s="96">
        <v>0</v>
      </c>
      <c r="F777" s="96">
        <v>56.58</v>
      </c>
      <c r="G777" s="96">
        <v>56.58</v>
      </c>
      <c r="H777" s="96">
        <v>0.74</v>
      </c>
      <c r="I777" s="96">
        <v>1.2E-4</v>
      </c>
      <c r="J777" s="271">
        <f>+ROUND(G777*H777*I777,2)</f>
        <v>0.01</v>
      </c>
    </row>
    <row r="778" spans="1:10">
      <c r="A778" s="84"/>
      <c r="B778" s="93" t="s">
        <v>231</v>
      </c>
      <c r="C778" s="94"/>
      <c r="D778" s="96"/>
      <c r="E778" s="96"/>
      <c r="F778" s="96"/>
      <c r="G778" s="96"/>
      <c r="H778" s="96"/>
      <c r="I778" s="96"/>
      <c r="J778" s="271"/>
    </row>
    <row r="779" spans="1:10">
      <c r="A779" s="84"/>
      <c r="B779" s="93" t="s">
        <v>231</v>
      </c>
      <c r="C779" s="94"/>
      <c r="D779" s="96"/>
      <c r="E779" s="96"/>
      <c r="F779" s="96"/>
      <c r="G779" s="96"/>
      <c r="H779" s="96"/>
      <c r="I779" s="96"/>
      <c r="J779" s="271"/>
    </row>
    <row r="780" spans="1:10">
      <c r="A780" s="84"/>
      <c r="B780" s="93" t="s">
        <v>231</v>
      </c>
      <c r="C780" s="94"/>
      <c r="D780" s="96"/>
      <c r="E780" s="96"/>
      <c r="F780" s="96"/>
      <c r="G780" s="96"/>
      <c r="H780" s="96"/>
      <c r="I780" s="96"/>
      <c r="J780" s="271"/>
    </row>
    <row r="781" spans="1:10">
      <c r="A781" s="84"/>
      <c r="B781" s="93" t="s">
        <v>231</v>
      </c>
      <c r="C781" s="94"/>
      <c r="D781" s="96"/>
      <c r="E781" s="96"/>
      <c r="F781" s="96"/>
      <c r="G781" s="96"/>
      <c r="H781" s="96"/>
      <c r="I781" s="96"/>
      <c r="J781" s="271"/>
    </row>
    <row r="782" spans="1:10">
      <c r="A782" s="84"/>
      <c r="B782" s="89"/>
      <c r="C782" s="97"/>
      <c r="D782" s="91"/>
      <c r="E782" s="91"/>
      <c r="F782" s="91"/>
      <c r="G782" s="91" t="s">
        <v>290</v>
      </c>
      <c r="H782" s="91"/>
      <c r="I782" s="91"/>
      <c r="J782" s="99">
        <f>+SUBTOTAL(9,J775:J781)</f>
        <v>0.52</v>
      </c>
    </row>
    <row r="783" spans="1:10">
      <c r="A783" s="84"/>
      <c r="B783" s="89" t="s">
        <v>291</v>
      </c>
      <c r="C783" s="97"/>
      <c r="D783" s="91"/>
      <c r="E783" s="91"/>
      <c r="F783" s="91"/>
      <c r="G783" s="91"/>
      <c r="H783" s="91"/>
      <c r="I783" s="91"/>
      <c r="J783" s="99">
        <f>+SUBTOTAL(9,J757:J781)</f>
        <v>415.99999999999994</v>
      </c>
    </row>
    <row r="784" spans="1:10">
      <c r="A784" s="84"/>
      <c r="B784" s="89" t="s">
        <v>292</v>
      </c>
      <c r="C784" s="97"/>
      <c r="D784" s="91">
        <v>0</v>
      </c>
      <c r="E784" s="91"/>
      <c r="F784" s="91"/>
      <c r="G784" s="91"/>
      <c r="H784" s="91"/>
      <c r="I784" s="91"/>
      <c r="J784" s="99">
        <f>+ROUND(J783*D784/100,2)</f>
        <v>0</v>
      </c>
    </row>
    <row r="785" spans="1:10" ht="14.4" thickBot="1">
      <c r="A785" s="84"/>
      <c r="B785" s="89" t="s">
        <v>293</v>
      </c>
      <c r="C785" s="97"/>
      <c r="D785" s="91"/>
      <c r="E785" s="91"/>
      <c r="F785" s="91"/>
      <c r="G785" s="91"/>
      <c r="H785" s="91"/>
      <c r="I785" s="91"/>
      <c r="J785" s="99">
        <f>+J783+ J784</f>
        <v>415.99999999999994</v>
      </c>
    </row>
    <row r="786" spans="1:10">
      <c r="A786" s="84"/>
      <c r="B786" s="85" t="s">
        <v>294</v>
      </c>
      <c r="C786" s="86"/>
      <c r="D786" s="88"/>
      <c r="E786" s="88"/>
      <c r="F786" s="88" t="s">
        <v>295</v>
      </c>
      <c r="G786" s="88"/>
      <c r="H786" s="88"/>
      <c r="I786" s="88" t="s">
        <v>296</v>
      </c>
      <c r="J786" s="270"/>
    </row>
    <row r="787" spans="1:10">
      <c r="A787" s="84"/>
      <c r="B787" s="93" t="s">
        <v>297</v>
      </c>
      <c r="C787" s="84"/>
      <c r="D787" s="95"/>
      <c r="E787" s="95"/>
      <c r="F787" s="95" t="s">
        <v>298</v>
      </c>
      <c r="G787" s="95"/>
      <c r="H787" s="95"/>
      <c r="I787" s="95"/>
      <c r="J787" s="276"/>
    </row>
    <row r="788" spans="1:10">
      <c r="A788" s="84"/>
      <c r="B788" s="93" t="s">
        <v>299</v>
      </c>
      <c r="C788" s="84"/>
      <c r="D788" s="95"/>
      <c r="E788" s="95"/>
      <c r="F788" s="95" t="s">
        <v>300</v>
      </c>
      <c r="G788" s="95"/>
      <c r="H788" s="95"/>
      <c r="I788" s="95"/>
      <c r="J788" s="276"/>
    </row>
    <row r="789" spans="1:10" ht="14.4" thickBot="1">
      <c r="A789" s="84"/>
      <c r="B789" s="100" t="s">
        <v>301</v>
      </c>
      <c r="C789" s="84"/>
      <c r="D789" s="95"/>
      <c r="E789" s="95"/>
      <c r="F789" s="95"/>
      <c r="G789" s="95"/>
      <c r="H789" s="95"/>
      <c r="I789" s="95"/>
      <c r="J789" s="277"/>
    </row>
    <row r="790" spans="1:10">
      <c r="A790" s="84"/>
      <c r="B790" s="86"/>
      <c r="C790" s="86"/>
      <c r="D790" s="88"/>
      <c r="E790" s="88"/>
      <c r="F790" s="88"/>
      <c r="G790" s="88"/>
      <c r="H790" s="88"/>
      <c r="I790" s="88"/>
      <c r="J790" s="88"/>
    </row>
    <row r="791" spans="1:10" ht="14.4" thickBot="1">
      <c r="A791" s="84"/>
      <c r="B791" s="84"/>
      <c r="C791" s="84"/>
      <c r="D791" s="95"/>
      <c r="E791" s="95"/>
      <c r="F791" s="95"/>
      <c r="G791" s="95"/>
      <c r="H791" s="95"/>
      <c r="I791" s="95"/>
      <c r="J791" s="95"/>
    </row>
    <row r="792" spans="1:10">
      <c r="A792" s="84"/>
      <c r="B792" s="85"/>
      <c r="C792" s="86"/>
      <c r="D792" s="87" t="s">
        <v>227</v>
      </c>
      <c r="E792" s="87"/>
      <c r="F792" s="87"/>
      <c r="G792" s="88"/>
      <c r="H792" s="88"/>
      <c r="I792" s="88"/>
      <c r="J792" s="270"/>
    </row>
    <row r="793" spans="1:10">
      <c r="A793" s="84"/>
      <c r="B793" s="89" t="s">
        <v>228</v>
      </c>
      <c r="C793" s="90" t="s">
        <v>92</v>
      </c>
      <c r="D793" s="91"/>
      <c r="E793" s="91"/>
      <c r="F793" s="91"/>
      <c r="G793" s="91"/>
      <c r="H793" s="92" t="s">
        <v>229</v>
      </c>
      <c r="I793" s="91"/>
      <c r="J793" s="99" t="s">
        <v>230</v>
      </c>
    </row>
    <row r="794" spans="1:10">
      <c r="A794" s="84"/>
      <c r="B794" s="93" t="s">
        <v>477</v>
      </c>
      <c r="C794" s="94" t="s">
        <v>485</v>
      </c>
      <c r="D794" s="95"/>
      <c r="E794" s="95"/>
      <c r="F794" s="95"/>
      <c r="G794" s="95"/>
      <c r="H794" s="96" t="s">
        <v>233</v>
      </c>
      <c r="I794" s="95"/>
      <c r="J794" s="271" t="s">
        <v>375</v>
      </c>
    </row>
    <row r="795" spans="1:10">
      <c r="A795" s="84"/>
      <c r="B795" s="89"/>
      <c r="C795" s="90"/>
      <c r="D795" s="91"/>
      <c r="E795" s="92"/>
      <c r="F795" s="92" t="s">
        <v>235</v>
      </c>
      <c r="G795" s="92"/>
      <c r="H795" s="92" t="s">
        <v>236</v>
      </c>
      <c r="I795" s="92"/>
      <c r="J795" s="99" t="s">
        <v>237</v>
      </c>
    </row>
    <row r="796" spans="1:10">
      <c r="A796" s="84"/>
      <c r="B796" s="93" t="s">
        <v>228</v>
      </c>
      <c r="C796" s="94" t="s">
        <v>238</v>
      </c>
      <c r="D796" s="95"/>
      <c r="E796" s="96" t="s">
        <v>239</v>
      </c>
      <c r="F796" s="92" t="s">
        <v>240</v>
      </c>
      <c r="G796" s="92" t="s">
        <v>241</v>
      </c>
      <c r="H796" s="92" t="s">
        <v>240</v>
      </c>
      <c r="I796" s="272" t="s">
        <v>241</v>
      </c>
      <c r="J796" s="271" t="s">
        <v>242</v>
      </c>
    </row>
    <row r="797" spans="1:10">
      <c r="A797" s="84"/>
      <c r="B797" s="273" t="s">
        <v>486</v>
      </c>
      <c r="C797" s="90" t="s">
        <v>487</v>
      </c>
      <c r="D797" s="91"/>
      <c r="E797" s="92">
        <v>1</v>
      </c>
      <c r="F797" s="92">
        <v>1</v>
      </c>
      <c r="G797" s="92">
        <v>0</v>
      </c>
      <c r="H797" s="92">
        <v>43.84</v>
      </c>
      <c r="I797" s="92">
        <v>38.01</v>
      </c>
      <c r="J797" s="99">
        <f>+ROUND(E797* ((F797*H797) + (G797*I797)),2)</f>
        <v>43.84</v>
      </c>
    </row>
    <row r="798" spans="1:10">
      <c r="A798" s="84"/>
      <c r="B798" s="274" t="s">
        <v>459</v>
      </c>
      <c r="C798" s="94" t="s">
        <v>460</v>
      </c>
      <c r="D798" s="95"/>
      <c r="E798" s="96">
        <v>1</v>
      </c>
      <c r="F798" s="96">
        <v>1</v>
      </c>
      <c r="G798" s="96">
        <v>0</v>
      </c>
      <c r="H798" s="96">
        <v>27.45</v>
      </c>
      <c r="I798" s="96">
        <v>5.41</v>
      </c>
      <c r="J798" s="271">
        <f>+ROUND(E798* ((F798*H798) + (G798*I798)),2)</f>
        <v>27.45</v>
      </c>
    </row>
    <row r="799" spans="1:10">
      <c r="A799" s="84"/>
      <c r="B799" s="93" t="s">
        <v>231</v>
      </c>
      <c r="C799" s="94"/>
      <c r="D799" s="95"/>
      <c r="E799" s="96"/>
      <c r="F799" s="96"/>
      <c r="G799" s="96"/>
      <c r="H799" s="96"/>
      <c r="I799" s="96"/>
      <c r="J799" s="271"/>
    </row>
    <row r="800" spans="1:10">
      <c r="A800" s="84"/>
      <c r="B800" s="93" t="s">
        <v>231</v>
      </c>
      <c r="C800" s="94"/>
      <c r="D800" s="95"/>
      <c r="E800" s="96"/>
      <c r="F800" s="96"/>
      <c r="G800" s="96"/>
      <c r="H800" s="96"/>
      <c r="I800" s="96"/>
      <c r="J800" s="271"/>
    </row>
    <row r="801" spans="1:10">
      <c r="A801" s="84"/>
      <c r="B801" s="93" t="s">
        <v>231</v>
      </c>
      <c r="C801" s="94"/>
      <c r="D801" s="95"/>
      <c r="E801" s="96"/>
      <c r="F801" s="96"/>
      <c r="G801" s="96"/>
      <c r="H801" s="96"/>
      <c r="I801" s="96"/>
      <c r="J801" s="271"/>
    </row>
    <row r="802" spans="1:10">
      <c r="A802" s="84"/>
      <c r="B802" s="93" t="s">
        <v>231</v>
      </c>
      <c r="C802" s="94"/>
      <c r="D802" s="95"/>
      <c r="E802" s="96"/>
      <c r="F802" s="96"/>
      <c r="G802" s="96"/>
      <c r="H802" s="96"/>
      <c r="I802" s="96"/>
      <c r="J802" s="271"/>
    </row>
    <row r="803" spans="1:10">
      <c r="A803" s="84"/>
      <c r="B803" s="93" t="s">
        <v>231</v>
      </c>
      <c r="C803" s="94"/>
      <c r="D803" s="95"/>
      <c r="E803" s="96"/>
      <c r="F803" s="96"/>
      <c r="G803" s="96"/>
      <c r="H803" s="96"/>
      <c r="I803" s="96"/>
      <c r="J803" s="271"/>
    </row>
    <row r="804" spans="1:10">
      <c r="A804" s="84"/>
      <c r="B804" s="89"/>
      <c r="C804" s="97"/>
      <c r="D804" s="91"/>
      <c r="E804" s="91"/>
      <c r="F804" s="91"/>
      <c r="G804" s="91" t="s">
        <v>249</v>
      </c>
      <c r="H804" s="91"/>
      <c r="I804" s="91"/>
      <c r="J804" s="99">
        <f>+SUBTOTAL(9,J797:J803)</f>
        <v>71.290000000000006</v>
      </c>
    </row>
    <row r="805" spans="1:10">
      <c r="A805" s="84"/>
      <c r="B805" s="89" t="s">
        <v>228</v>
      </c>
      <c r="C805" s="90" t="s">
        <v>250</v>
      </c>
      <c r="D805" s="91"/>
      <c r="E805" s="91"/>
      <c r="F805" s="91"/>
      <c r="G805" s="91"/>
      <c r="H805" s="92" t="s">
        <v>239</v>
      </c>
      <c r="I805" s="92" t="s">
        <v>251</v>
      </c>
      <c r="J805" s="99" t="s">
        <v>252</v>
      </c>
    </row>
    <row r="806" spans="1:10">
      <c r="A806" s="84"/>
      <c r="B806" s="89" t="s">
        <v>461</v>
      </c>
      <c r="C806" s="90" t="s">
        <v>462</v>
      </c>
      <c r="D806" s="91"/>
      <c r="E806" s="91"/>
      <c r="F806" s="91"/>
      <c r="G806" s="91"/>
      <c r="H806" s="92">
        <v>1</v>
      </c>
      <c r="I806" s="92">
        <v>22.84</v>
      </c>
      <c r="J806" s="99">
        <f>+ROUND(H806*I806,2)</f>
        <v>22.84</v>
      </c>
    </row>
    <row r="807" spans="1:10">
      <c r="A807" s="84"/>
      <c r="B807" s="93" t="s">
        <v>488</v>
      </c>
      <c r="C807" s="94" t="s">
        <v>489</v>
      </c>
      <c r="D807" s="95"/>
      <c r="E807" s="95"/>
      <c r="F807" s="95"/>
      <c r="G807" s="95"/>
      <c r="H807" s="96">
        <v>2</v>
      </c>
      <c r="I807" s="96">
        <v>31.71</v>
      </c>
      <c r="J807" s="271">
        <f>+ROUND(H807*I807,2)</f>
        <v>63.42</v>
      </c>
    </row>
    <row r="808" spans="1:10">
      <c r="A808" s="84"/>
      <c r="B808" s="93" t="s">
        <v>231</v>
      </c>
      <c r="C808" s="94"/>
      <c r="D808" s="95"/>
      <c r="E808" s="95"/>
      <c r="F808" s="95"/>
      <c r="G808" s="95"/>
      <c r="H808" s="96"/>
      <c r="I808" s="96"/>
      <c r="J808" s="271"/>
    </row>
    <row r="809" spans="1:10">
      <c r="A809" s="84"/>
      <c r="B809" s="93" t="s">
        <v>231</v>
      </c>
      <c r="C809" s="94"/>
      <c r="D809" s="95"/>
      <c r="E809" s="95"/>
      <c r="F809" s="95"/>
      <c r="G809" s="95"/>
      <c r="H809" s="96"/>
      <c r="I809" s="96"/>
      <c r="J809" s="271"/>
    </row>
    <row r="810" spans="1:10">
      <c r="A810" s="84"/>
      <c r="B810" s="93" t="s">
        <v>231</v>
      </c>
      <c r="C810" s="94"/>
      <c r="D810" s="95"/>
      <c r="E810" s="95"/>
      <c r="F810" s="95"/>
      <c r="G810" s="95"/>
      <c r="H810" s="96"/>
      <c r="I810" s="96"/>
      <c r="J810" s="271"/>
    </row>
    <row r="811" spans="1:10">
      <c r="A811" s="84"/>
      <c r="B811" s="93" t="s">
        <v>231</v>
      </c>
      <c r="C811" s="94"/>
      <c r="D811" s="95"/>
      <c r="E811" s="95"/>
      <c r="F811" s="95"/>
      <c r="G811" s="95"/>
      <c r="H811" s="96"/>
      <c r="I811" s="96"/>
      <c r="J811" s="271"/>
    </row>
    <row r="812" spans="1:10">
      <c r="A812" s="84"/>
      <c r="B812" s="93" t="s">
        <v>231</v>
      </c>
      <c r="C812" s="94"/>
      <c r="D812" s="95"/>
      <c r="E812" s="95"/>
      <c r="F812" s="95"/>
      <c r="G812" s="95"/>
      <c r="H812" s="96"/>
      <c r="I812" s="96"/>
      <c r="J812" s="271"/>
    </row>
    <row r="813" spans="1:10">
      <c r="A813" s="84"/>
      <c r="B813" s="89"/>
      <c r="C813" s="97"/>
      <c r="D813" s="91"/>
      <c r="E813" s="91"/>
      <c r="F813" s="91"/>
      <c r="G813" s="91" t="s">
        <v>255</v>
      </c>
      <c r="H813" s="91"/>
      <c r="I813" s="91"/>
      <c r="J813" s="99">
        <f>+SUBTOTAL(9,J806:J812)</f>
        <v>86.26</v>
      </c>
    </row>
    <row r="814" spans="1:10">
      <c r="A814" s="84"/>
      <c r="B814" s="89"/>
      <c r="C814" s="97"/>
      <c r="D814" s="91"/>
      <c r="E814" s="91"/>
      <c r="F814" s="91" t="s">
        <v>256</v>
      </c>
      <c r="G814" s="91"/>
      <c r="H814" s="91"/>
      <c r="I814" s="91">
        <v>0</v>
      </c>
      <c r="J814" s="99">
        <f>+ROUND(I814*J813,2)</f>
        <v>0</v>
      </c>
    </row>
    <row r="815" spans="1:10">
      <c r="A815" s="84"/>
      <c r="B815" s="89"/>
      <c r="C815" s="97"/>
      <c r="D815" s="91"/>
      <c r="E815" s="91"/>
      <c r="F815" s="91" t="s">
        <v>257</v>
      </c>
      <c r="G815" s="91"/>
      <c r="H815" s="91"/>
      <c r="I815" s="91"/>
      <c r="J815" s="99">
        <f>+SUBTOTAL(9,J806:J814)</f>
        <v>86.26</v>
      </c>
    </row>
    <row r="816" spans="1:10">
      <c r="A816" s="84"/>
      <c r="B816" s="98"/>
      <c r="C816" s="97"/>
      <c r="D816" s="91"/>
      <c r="E816" s="91"/>
      <c r="F816" s="91"/>
      <c r="G816" s="91" t="s">
        <v>258</v>
      </c>
      <c r="H816" s="91"/>
      <c r="I816" s="91"/>
      <c r="J816" s="275">
        <f>+SUBTOTAL(9,J797:J815)</f>
        <v>157.55000000000001</v>
      </c>
    </row>
    <row r="817" spans="1:10">
      <c r="A817" s="84"/>
      <c r="B817" s="98"/>
      <c r="C817" s="97" t="s">
        <v>259</v>
      </c>
      <c r="D817" s="91">
        <v>19.149999999999999</v>
      </c>
      <c r="E817" s="91"/>
      <c r="F817" s="91"/>
      <c r="G817" s="91" t="s">
        <v>260</v>
      </c>
      <c r="H817" s="91"/>
      <c r="I817" s="91"/>
      <c r="J817" s="275">
        <f>+ROUND(J816/D817,2)</f>
        <v>8.23</v>
      </c>
    </row>
    <row r="818" spans="1:10">
      <c r="A818" s="84"/>
      <c r="B818" s="89" t="s">
        <v>228</v>
      </c>
      <c r="C818" s="90" t="s">
        <v>261</v>
      </c>
      <c r="D818" s="91"/>
      <c r="E818" s="91"/>
      <c r="F818" s="91"/>
      <c r="G818" s="92" t="s">
        <v>230</v>
      </c>
      <c r="H818" s="92" t="s">
        <v>262</v>
      </c>
      <c r="I818" s="92" t="s">
        <v>263</v>
      </c>
      <c r="J818" s="99" t="s">
        <v>264</v>
      </c>
    </row>
    <row r="819" spans="1:10">
      <c r="A819" s="84"/>
      <c r="B819" s="89" t="s">
        <v>490</v>
      </c>
      <c r="C819" s="90" t="s">
        <v>491</v>
      </c>
      <c r="D819" s="91"/>
      <c r="E819" s="91"/>
      <c r="F819" s="91"/>
      <c r="G819" s="92" t="s">
        <v>332</v>
      </c>
      <c r="H819" s="92">
        <v>67.849999999999994</v>
      </c>
      <c r="I819" s="92">
        <v>0.112</v>
      </c>
      <c r="J819" s="99">
        <f>+ROUND(H819*I819,2)</f>
        <v>7.6</v>
      </c>
    </row>
    <row r="820" spans="1:10">
      <c r="A820" s="84"/>
      <c r="B820" s="93" t="s">
        <v>492</v>
      </c>
      <c r="C820" s="94" t="s">
        <v>493</v>
      </c>
      <c r="D820" s="95"/>
      <c r="E820" s="95"/>
      <c r="F820" s="95"/>
      <c r="G820" s="96" t="s">
        <v>270</v>
      </c>
      <c r="H820" s="96">
        <v>33.81</v>
      </c>
      <c r="I820" s="96">
        <v>1.1E-4</v>
      </c>
      <c r="J820" s="271">
        <f>+ROUND(H820*I820,2)</f>
        <v>0</v>
      </c>
    </row>
    <row r="821" spans="1:10">
      <c r="A821" s="84"/>
      <c r="B821" s="93" t="s">
        <v>231</v>
      </c>
      <c r="C821" s="94"/>
      <c r="D821" s="95"/>
      <c r="E821" s="95"/>
      <c r="F821" s="95"/>
      <c r="G821" s="96"/>
      <c r="H821" s="96"/>
      <c r="I821" s="96"/>
      <c r="J821" s="271"/>
    </row>
    <row r="822" spans="1:10">
      <c r="A822" s="84"/>
      <c r="B822" s="93" t="s">
        <v>231</v>
      </c>
      <c r="C822" s="94"/>
      <c r="D822" s="95"/>
      <c r="E822" s="95"/>
      <c r="F822" s="95"/>
      <c r="G822" s="96"/>
      <c r="H822" s="96"/>
      <c r="I822" s="96"/>
      <c r="J822" s="271"/>
    </row>
    <row r="823" spans="1:10">
      <c r="A823" s="84"/>
      <c r="B823" s="93" t="s">
        <v>231</v>
      </c>
      <c r="C823" s="94"/>
      <c r="D823" s="95"/>
      <c r="E823" s="95"/>
      <c r="F823" s="95"/>
      <c r="G823" s="96"/>
      <c r="H823" s="96"/>
      <c r="I823" s="96"/>
      <c r="J823" s="271"/>
    </row>
    <row r="824" spans="1:10">
      <c r="A824" s="84"/>
      <c r="B824" s="93" t="s">
        <v>231</v>
      </c>
      <c r="C824" s="94"/>
      <c r="D824" s="95"/>
      <c r="E824" s="95"/>
      <c r="F824" s="95"/>
      <c r="G824" s="96"/>
      <c r="H824" s="96"/>
      <c r="I824" s="96"/>
      <c r="J824" s="271"/>
    </row>
    <row r="825" spans="1:10">
      <c r="A825" s="84"/>
      <c r="B825" s="93" t="s">
        <v>231</v>
      </c>
      <c r="C825" s="94"/>
      <c r="D825" s="95"/>
      <c r="E825" s="95"/>
      <c r="F825" s="95"/>
      <c r="G825" s="96"/>
      <c r="H825" s="96"/>
      <c r="I825" s="96"/>
      <c r="J825" s="271"/>
    </row>
    <row r="826" spans="1:10">
      <c r="A826" s="84"/>
      <c r="B826" s="89"/>
      <c r="C826" s="97"/>
      <c r="D826" s="91"/>
      <c r="E826" s="91"/>
      <c r="F826" s="91"/>
      <c r="G826" s="91" t="s">
        <v>275</v>
      </c>
      <c r="H826" s="91"/>
      <c r="I826" s="91"/>
      <c r="J826" s="99">
        <f>+SUBTOTAL(9,J819:J825)</f>
        <v>7.6</v>
      </c>
    </row>
    <row r="827" spans="1:10">
      <c r="A827" s="84"/>
      <c r="B827" s="89" t="s">
        <v>228</v>
      </c>
      <c r="C827" s="90" t="s">
        <v>276</v>
      </c>
      <c r="D827" s="91"/>
      <c r="E827" s="91"/>
      <c r="F827" s="91"/>
      <c r="G827" s="92" t="s">
        <v>230</v>
      </c>
      <c r="H827" s="92" t="s">
        <v>262</v>
      </c>
      <c r="I827" s="92" t="s">
        <v>263</v>
      </c>
      <c r="J827" s="99" t="s">
        <v>264</v>
      </c>
    </row>
    <row r="828" spans="1:10">
      <c r="A828" s="84"/>
      <c r="B828" s="89" t="s">
        <v>231</v>
      </c>
      <c r="C828" s="90"/>
      <c r="D828" s="91"/>
      <c r="E828" s="91"/>
      <c r="F828" s="91"/>
      <c r="G828" s="92"/>
      <c r="H828" s="92"/>
      <c r="I828" s="92"/>
      <c r="J828" s="99"/>
    </row>
    <row r="829" spans="1:10">
      <c r="A829" s="84"/>
      <c r="B829" s="93" t="s">
        <v>231</v>
      </c>
      <c r="C829" s="94"/>
      <c r="D829" s="95"/>
      <c r="E829" s="95"/>
      <c r="F829" s="95"/>
      <c r="G829" s="96"/>
      <c r="H829" s="96"/>
      <c r="I829" s="96"/>
      <c r="J829" s="271"/>
    </row>
    <row r="830" spans="1:10">
      <c r="A830" s="84"/>
      <c r="B830" s="93" t="s">
        <v>231</v>
      </c>
      <c r="C830" s="94"/>
      <c r="D830" s="95"/>
      <c r="E830" s="95"/>
      <c r="F830" s="95"/>
      <c r="G830" s="96"/>
      <c r="H830" s="96"/>
      <c r="I830" s="96"/>
      <c r="J830" s="271"/>
    </row>
    <row r="831" spans="1:10">
      <c r="A831" s="84"/>
      <c r="B831" s="93" t="s">
        <v>231</v>
      </c>
      <c r="C831" s="94"/>
      <c r="D831" s="95"/>
      <c r="E831" s="95"/>
      <c r="F831" s="95"/>
      <c r="G831" s="96"/>
      <c r="H831" s="96"/>
      <c r="I831" s="96"/>
      <c r="J831" s="271"/>
    </row>
    <row r="832" spans="1:10">
      <c r="A832" s="84"/>
      <c r="B832" s="93" t="s">
        <v>231</v>
      </c>
      <c r="C832" s="94"/>
      <c r="D832" s="95"/>
      <c r="E832" s="95"/>
      <c r="F832" s="95"/>
      <c r="G832" s="96"/>
      <c r="H832" s="96"/>
      <c r="I832" s="96"/>
      <c r="J832" s="271"/>
    </row>
    <row r="833" spans="1:10">
      <c r="A833" s="84"/>
      <c r="B833" s="89"/>
      <c r="C833" s="97"/>
      <c r="D833" s="91"/>
      <c r="E833" s="91"/>
      <c r="F833" s="91"/>
      <c r="G833" s="91" t="s">
        <v>279</v>
      </c>
      <c r="H833" s="91"/>
      <c r="I833" s="91"/>
      <c r="J833" s="99">
        <f>+SUBTOTAL(9,J828:J832)</f>
        <v>0</v>
      </c>
    </row>
    <row r="834" spans="1:10">
      <c r="A834" s="84"/>
      <c r="B834" s="89" t="s">
        <v>228</v>
      </c>
      <c r="C834" s="90" t="s">
        <v>280</v>
      </c>
      <c r="D834" s="92" t="s">
        <v>281</v>
      </c>
      <c r="E834" s="92" t="s">
        <v>282</v>
      </c>
      <c r="F834" s="92" t="s">
        <v>283</v>
      </c>
      <c r="G834" s="92" t="s">
        <v>284</v>
      </c>
      <c r="H834" s="92" t="s">
        <v>285</v>
      </c>
      <c r="I834" s="92" t="s">
        <v>263</v>
      </c>
      <c r="J834" s="99" t="s">
        <v>286</v>
      </c>
    </row>
    <row r="835" spans="1:10">
      <c r="A835" s="84"/>
      <c r="B835" s="89" t="s">
        <v>494</v>
      </c>
      <c r="C835" s="90" t="s">
        <v>495</v>
      </c>
      <c r="D835" s="92" t="s">
        <v>289</v>
      </c>
      <c r="E835" s="92">
        <v>0</v>
      </c>
      <c r="F835" s="92">
        <v>56.58</v>
      </c>
      <c r="G835" s="92">
        <v>56.58</v>
      </c>
      <c r="H835" s="92">
        <v>0.74</v>
      </c>
      <c r="I835" s="92">
        <v>1.1E-4</v>
      </c>
      <c r="J835" s="99">
        <f>+ROUND(G835*H835*I835,2)</f>
        <v>0</v>
      </c>
    </row>
    <row r="836" spans="1:10">
      <c r="A836" s="84"/>
      <c r="B836" s="93" t="s">
        <v>231</v>
      </c>
      <c r="C836" s="94"/>
      <c r="D836" s="96"/>
      <c r="E836" s="96"/>
      <c r="F836" s="96"/>
      <c r="G836" s="96"/>
      <c r="H836" s="96"/>
      <c r="I836" s="96"/>
      <c r="J836" s="271"/>
    </row>
    <row r="837" spans="1:10">
      <c r="A837" s="84"/>
      <c r="B837" s="93" t="s">
        <v>231</v>
      </c>
      <c r="C837" s="94"/>
      <c r="D837" s="96"/>
      <c r="E837" s="96"/>
      <c r="F837" s="96"/>
      <c r="G837" s="96"/>
      <c r="H837" s="96"/>
      <c r="I837" s="96"/>
      <c r="J837" s="271"/>
    </row>
    <row r="838" spans="1:10">
      <c r="A838" s="84"/>
      <c r="B838" s="93" t="s">
        <v>231</v>
      </c>
      <c r="C838" s="94"/>
      <c r="D838" s="96"/>
      <c r="E838" s="96"/>
      <c r="F838" s="96"/>
      <c r="G838" s="96"/>
      <c r="H838" s="96"/>
      <c r="I838" s="96"/>
      <c r="J838" s="271"/>
    </row>
    <row r="839" spans="1:10">
      <c r="A839" s="84"/>
      <c r="B839" s="93" t="s">
        <v>231</v>
      </c>
      <c r="C839" s="94"/>
      <c r="D839" s="96"/>
      <c r="E839" s="96"/>
      <c r="F839" s="96"/>
      <c r="G839" s="96"/>
      <c r="H839" s="96"/>
      <c r="I839" s="96"/>
      <c r="J839" s="271"/>
    </row>
    <row r="840" spans="1:10">
      <c r="A840" s="84"/>
      <c r="B840" s="93" t="s">
        <v>231</v>
      </c>
      <c r="C840" s="94"/>
      <c r="D840" s="96"/>
      <c r="E840" s="96"/>
      <c r="F840" s="96"/>
      <c r="G840" s="96"/>
      <c r="H840" s="96"/>
      <c r="I840" s="96"/>
      <c r="J840" s="271"/>
    </row>
    <row r="841" spans="1:10">
      <c r="A841" s="84"/>
      <c r="B841" s="93" t="s">
        <v>231</v>
      </c>
      <c r="C841" s="94"/>
      <c r="D841" s="96"/>
      <c r="E841" s="96"/>
      <c r="F841" s="96"/>
      <c r="G841" s="96"/>
      <c r="H841" s="96"/>
      <c r="I841" s="96"/>
      <c r="J841" s="271"/>
    </row>
    <row r="842" spans="1:10">
      <c r="A842" s="84"/>
      <c r="B842" s="89"/>
      <c r="C842" s="97"/>
      <c r="D842" s="91"/>
      <c r="E842" s="91"/>
      <c r="F842" s="91"/>
      <c r="G842" s="91" t="s">
        <v>290</v>
      </c>
      <c r="H842" s="91"/>
      <c r="I842" s="91"/>
      <c r="J842" s="99">
        <f>+SUBTOTAL(9,J835:J841)</f>
        <v>0</v>
      </c>
    </row>
    <row r="843" spans="1:10">
      <c r="A843" s="84"/>
      <c r="B843" s="89" t="s">
        <v>291</v>
      </c>
      <c r="C843" s="97"/>
      <c r="D843" s="91"/>
      <c r="E843" s="91"/>
      <c r="F843" s="91"/>
      <c r="G843" s="91"/>
      <c r="H843" s="91"/>
      <c r="I843" s="91"/>
      <c r="J843" s="99">
        <f>+SUBTOTAL(9,J817:J841)</f>
        <v>15.83</v>
      </c>
    </row>
    <row r="844" spans="1:10">
      <c r="A844" s="84"/>
      <c r="B844" s="89" t="s">
        <v>292</v>
      </c>
      <c r="C844" s="97"/>
      <c r="D844" s="91">
        <v>0</v>
      </c>
      <c r="E844" s="91"/>
      <c r="F844" s="91"/>
      <c r="G844" s="91"/>
      <c r="H844" s="91"/>
      <c r="I844" s="91"/>
      <c r="J844" s="99">
        <f>+ROUND(J843*D844/100,2)</f>
        <v>0</v>
      </c>
    </row>
    <row r="845" spans="1:10" ht="14.4" thickBot="1">
      <c r="A845" s="84"/>
      <c r="B845" s="89" t="s">
        <v>293</v>
      </c>
      <c r="C845" s="97"/>
      <c r="D845" s="91"/>
      <c r="E845" s="91"/>
      <c r="F845" s="91"/>
      <c r="G845" s="91"/>
      <c r="H845" s="91"/>
      <c r="I845" s="91"/>
      <c r="J845" s="99">
        <f>+J843+ J844</f>
        <v>15.83</v>
      </c>
    </row>
    <row r="846" spans="1:10">
      <c r="A846" s="84"/>
      <c r="B846" s="85" t="s">
        <v>294</v>
      </c>
      <c r="C846" s="86"/>
      <c r="D846" s="88"/>
      <c r="E846" s="88"/>
      <c r="F846" s="88" t="s">
        <v>295</v>
      </c>
      <c r="G846" s="88"/>
      <c r="H846" s="88"/>
      <c r="I846" s="88" t="s">
        <v>296</v>
      </c>
      <c r="J846" s="270"/>
    </row>
    <row r="847" spans="1:10">
      <c r="A847" s="84"/>
      <c r="B847" s="93" t="s">
        <v>297</v>
      </c>
      <c r="C847" s="84"/>
      <c r="D847" s="95"/>
      <c r="E847" s="95"/>
      <c r="F847" s="95" t="s">
        <v>298</v>
      </c>
      <c r="G847" s="95"/>
      <c r="H847" s="95"/>
      <c r="I847" s="95"/>
      <c r="J847" s="276"/>
    </row>
    <row r="848" spans="1:10">
      <c r="A848" s="84"/>
      <c r="B848" s="93" t="s">
        <v>299</v>
      </c>
      <c r="C848" s="84"/>
      <c r="D848" s="95"/>
      <c r="E848" s="95"/>
      <c r="F848" s="95" t="s">
        <v>300</v>
      </c>
      <c r="G848" s="95"/>
      <c r="H848" s="95"/>
      <c r="I848" s="95"/>
      <c r="J848" s="276"/>
    </row>
    <row r="849" spans="1:10" ht="14.4" thickBot="1">
      <c r="A849" s="84"/>
      <c r="B849" s="100" t="s">
        <v>301</v>
      </c>
      <c r="C849" s="84"/>
      <c r="D849" s="95"/>
      <c r="E849" s="95"/>
      <c r="F849" s="95"/>
      <c r="G849" s="95"/>
      <c r="H849" s="95"/>
      <c r="I849" s="95"/>
      <c r="J849" s="277"/>
    </row>
    <row r="850" spans="1:10">
      <c r="A850" s="84"/>
      <c r="B850" s="86"/>
      <c r="C850" s="86"/>
      <c r="D850" s="88"/>
      <c r="E850" s="88"/>
      <c r="F850" s="88"/>
      <c r="G850" s="88"/>
      <c r="H850" s="88"/>
      <c r="I850" s="88"/>
      <c r="J850" s="88"/>
    </row>
    <row r="851" spans="1:10" ht="14.4" thickBot="1">
      <c r="A851" s="84"/>
      <c r="B851" s="84"/>
      <c r="C851" s="84"/>
      <c r="D851" s="95"/>
      <c r="E851" s="95"/>
      <c r="F851" s="95"/>
      <c r="G851" s="95"/>
      <c r="H851" s="95"/>
      <c r="I851" s="95"/>
      <c r="J851" s="95"/>
    </row>
    <row r="852" spans="1:10">
      <c r="A852" s="84"/>
      <c r="B852" s="85"/>
      <c r="C852" s="86"/>
      <c r="D852" s="87" t="s">
        <v>227</v>
      </c>
      <c r="E852" s="87"/>
      <c r="F852" s="87"/>
      <c r="G852" s="88"/>
      <c r="H852" s="88"/>
      <c r="I852" s="88"/>
      <c r="J852" s="270"/>
    </row>
    <row r="853" spans="1:10">
      <c r="A853" s="84"/>
      <c r="B853" s="89" t="s">
        <v>228</v>
      </c>
      <c r="C853" s="90" t="s">
        <v>92</v>
      </c>
      <c r="D853" s="91"/>
      <c r="E853" s="91"/>
      <c r="F853" s="91"/>
      <c r="G853" s="91"/>
      <c r="H853" s="92" t="s">
        <v>229</v>
      </c>
      <c r="I853" s="91"/>
      <c r="J853" s="99" t="s">
        <v>230</v>
      </c>
    </row>
    <row r="854" spans="1:10">
      <c r="A854" s="84"/>
      <c r="B854" s="93" t="s">
        <v>231</v>
      </c>
      <c r="C854" s="94" t="s">
        <v>496</v>
      </c>
      <c r="D854" s="95"/>
      <c r="E854" s="95"/>
      <c r="F854" s="95"/>
      <c r="G854" s="95"/>
      <c r="H854" s="96" t="s">
        <v>233</v>
      </c>
      <c r="I854" s="95"/>
      <c r="J854" s="271" t="s">
        <v>424</v>
      </c>
    </row>
    <row r="855" spans="1:10">
      <c r="A855" s="84"/>
      <c r="B855" s="89"/>
      <c r="C855" s="90"/>
      <c r="D855" s="91"/>
      <c r="E855" s="92"/>
      <c r="F855" s="92" t="s">
        <v>235</v>
      </c>
      <c r="G855" s="92"/>
      <c r="H855" s="92" t="s">
        <v>236</v>
      </c>
      <c r="I855" s="92"/>
      <c r="J855" s="99" t="s">
        <v>237</v>
      </c>
    </row>
    <row r="856" spans="1:10">
      <c r="A856" s="84"/>
      <c r="B856" s="93" t="s">
        <v>228</v>
      </c>
      <c r="C856" s="94" t="s">
        <v>238</v>
      </c>
      <c r="D856" s="95"/>
      <c r="E856" s="96" t="s">
        <v>239</v>
      </c>
      <c r="F856" s="92" t="s">
        <v>240</v>
      </c>
      <c r="G856" s="92" t="s">
        <v>241</v>
      </c>
      <c r="H856" s="92" t="s">
        <v>240</v>
      </c>
      <c r="I856" s="272" t="s">
        <v>241</v>
      </c>
      <c r="J856" s="271" t="s">
        <v>242</v>
      </c>
    </row>
    <row r="857" spans="1:10">
      <c r="A857" s="84"/>
      <c r="B857" s="273" t="s">
        <v>427</v>
      </c>
      <c r="C857" s="90" t="s">
        <v>428</v>
      </c>
      <c r="D857" s="91"/>
      <c r="E857" s="92">
        <v>1</v>
      </c>
      <c r="F857" s="92">
        <v>0.5</v>
      </c>
      <c r="G857" s="92">
        <v>0.5</v>
      </c>
      <c r="H857" s="92">
        <v>152.22</v>
      </c>
      <c r="I857" s="92">
        <v>58.52</v>
      </c>
      <c r="J857" s="99">
        <f>+ROUND(E857* ((F857*H857) + (G857*I857)),2)</f>
        <v>105.37</v>
      </c>
    </row>
    <row r="858" spans="1:10">
      <c r="A858" s="84"/>
      <c r="B858" s="93" t="s">
        <v>231</v>
      </c>
      <c r="C858" s="94"/>
      <c r="D858" s="95"/>
      <c r="E858" s="96"/>
      <c r="F858" s="96"/>
      <c r="G858" s="96"/>
      <c r="H858" s="96"/>
      <c r="I858" s="96"/>
      <c r="J858" s="271"/>
    </row>
    <row r="859" spans="1:10">
      <c r="A859" s="84"/>
      <c r="B859" s="93" t="s">
        <v>231</v>
      </c>
      <c r="C859" s="94"/>
      <c r="D859" s="95"/>
      <c r="E859" s="96"/>
      <c r="F859" s="96"/>
      <c r="G859" s="96"/>
      <c r="H859" s="96"/>
      <c r="I859" s="96"/>
      <c r="J859" s="271"/>
    </row>
    <row r="860" spans="1:10">
      <c r="A860" s="84"/>
      <c r="B860" s="93" t="s">
        <v>231</v>
      </c>
      <c r="C860" s="94"/>
      <c r="D860" s="95"/>
      <c r="E860" s="96"/>
      <c r="F860" s="96"/>
      <c r="G860" s="96"/>
      <c r="H860" s="96"/>
      <c r="I860" s="96"/>
      <c r="J860" s="271"/>
    </row>
    <row r="861" spans="1:10">
      <c r="A861" s="84"/>
      <c r="B861" s="93" t="s">
        <v>231</v>
      </c>
      <c r="C861" s="94"/>
      <c r="D861" s="95"/>
      <c r="E861" s="96"/>
      <c r="F861" s="96"/>
      <c r="G861" s="96"/>
      <c r="H861" s="96"/>
      <c r="I861" s="96"/>
      <c r="J861" s="271"/>
    </row>
    <row r="862" spans="1:10">
      <c r="A862" s="84"/>
      <c r="B862" s="93" t="s">
        <v>231</v>
      </c>
      <c r="C862" s="94"/>
      <c r="D862" s="95"/>
      <c r="E862" s="96"/>
      <c r="F862" s="96"/>
      <c r="G862" s="96"/>
      <c r="H862" s="96"/>
      <c r="I862" s="96"/>
      <c r="J862" s="271"/>
    </row>
    <row r="863" spans="1:10">
      <c r="A863" s="84"/>
      <c r="B863" s="93" t="s">
        <v>231</v>
      </c>
      <c r="C863" s="94"/>
      <c r="D863" s="95"/>
      <c r="E863" s="96"/>
      <c r="F863" s="96"/>
      <c r="G863" s="96"/>
      <c r="H863" s="96"/>
      <c r="I863" s="96"/>
      <c r="J863" s="271"/>
    </row>
    <row r="864" spans="1:10">
      <c r="A864" s="84"/>
      <c r="B864" s="89"/>
      <c r="C864" s="97"/>
      <c r="D864" s="91"/>
      <c r="E864" s="91"/>
      <c r="F864" s="91"/>
      <c r="G864" s="91" t="s">
        <v>249</v>
      </c>
      <c r="H864" s="91"/>
      <c r="I864" s="91"/>
      <c r="J864" s="99">
        <f>+SUBTOTAL(9,J857:J863)</f>
        <v>105.37</v>
      </c>
    </row>
    <row r="865" spans="1:10">
      <c r="A865" s="84"/>
      <c r="B865" s="89" t="s">
        <v>228</v>
      </c>
      <c r="C865" s="90" t="s">
        <v>250</v>
      </c>
      <c r="D865" s="91"/>
      <c r="E865" s="91"/>
      <c r="F865" s="91"/>
      <c r="G865" s="91"/>
      <c r="H865" s="92" t="s">
        <v>239</v>
      </c>
      <c r="I865" s="92" t="s">
        <v>251</v>
      </c>
      <c r="J865" s="99" t="s">
        <v>252</v>
      </c>
    </row>
    <row r="866" spans="1:10">
      <c r="A866" s="84"/>
      <c r="B866" s="89" t="s">
        <v>253</v>
      </c>
      <c r="C866" s="90" t="s">
        <v>254</v>
      </c>
      <c r="D866" s="91"/>
      <c r="E866" s="91"/>
      <c r="F866" s="91"/>
      <c r="G866" s="91"/>
      <c r="H866" s="92">
        <v>4</v>
      </c>
      <c r="I866" s="92">
        <v>21.04</v>
      </c>
      <c r="J866" s="99">
        <f>+ROUND(H866*I866,2)</f>
        <v>84.16</v>
      </c>
    </row>
    <row r="867" spans="1:10">
      <c r="A867" s="84"/>
      <c r="B867" s="93" t="s">
        <v>231</v>
      </c>
      <c r="C867" s="94"/>
      <c r="D867" s="95"/>
      <c r="E867" s="95"/>
      <c r="F867" s="95"/>
      <c r="G867" s="95"/>
      <c r="H867" s="96"/>
      <c r="I867" s="96"/>
      <c r="J867" s="271"/>
    </row>
    <row r="868" spans="1:10">
      <c r="A868" s="84"/>
      <c r="B868" s="93" t="s">
        <v>231</v>
      </c>
      <c r="C868" s="94"/>
      <c r="D868" s="95"/>
      <c r="E868" s="95"/>
      <c r="F868" s="95"/>
      <c r="G868" s="95"/>
      <c r="H868" s="96"/>
      <c r="I868" s="96"/>
      <c r="J868" s="271"/>
    </row>
    <row r="869" spans="1:10">
      <c r="A869" s="84"/>
      <c r="B869" s="93" t="s">
        <v>231</v>
      </c>
      <c r="C869" s="94"/>
      <c r="D869" s="95"/>
      <c r="E869" s="95"/>
      <c r="F869" s="95"/>
      <c r="G869" s="95"/>
      <c r="H869" s="96"/>
      <c r="I869" s="96"/>
      <c r="J869" s="271"/>
    </row>
    <row r="870" spans="1:10">
      <c r="A870" s="84"/>
      <c r="B870" s="93" t="s">
        <v>231</v>
      </c>
      <c r="C870" s="94"/>
      <c r="D870" s="95"/>
      <c r="E870" s="95"/>
      <c r="F870" s="95"/>
      <c r="G870" s="95"/>
      <c r="H870" s="96"/>
      <c r="I870" s="96"/>
      <c r="J870" s="271"/>
    </row>
    <row r="871" spans="1:10">
      <c r="A871" s="84"/>
      <c r="B871" s="93" t="s">
        <v>231</v>
      </c>
      <c r="C871" s="94"/>
      <c r="D871" s="95"/>
      <c r="E871" s="95"/>
      <c r="F871" s="95"/>
      <c r="G871" s="95"/>
      <c r="H871" s="96"/>
      <c r="I871" s="96"/>
      <c r="J871" s="271"/>
    </row>
    <row r="872" spans="1:10">
      <c r="A872" s="84"/>
      <c r="B872" s="93" t="s">
        <v>231</v>
      </c>
      <c r="C872" s="94"/>
      <c r="D872" s="95"/>
      <c r="E872" s="95"/>
      <c r="F872" s="95"/>
      <c r="G872" s="95"/>
      <c r="H872" s="96"/>
      <c r="I872" s="96"/>
      <c r="J872" s="271"/>
    </row>
    <row r="873" spans="1:10">
      <c r="A873" s="84"/>
      <c r="B873" s="89"/>
      <c r="C873" s="97"/>
      <c r="D873" s="91"/>
      <c r="E873" s="91"/>
      <c r="F873" s="91"/>
      <c r="G873" s="91" t="s">
        <v>255</v>
      </c>
      <c r="H873" s="91"/>
      <c r="I873" s="91"/>
      <c r="J873" s="99">
        <f>+SUBTOTAL(9,J866:J872)</f>
        <v>84.16</v>
      </c>
    </row>
    <row r="874" spans="1:10">
      <c r="A874" s="84"/>
      <c r="B874" s="89"/>
      <c r="C874" s="97"/>
      <c r="D874" s="91"/>
      <c r="E874" s="91"/>
      <c r="F874" s="91" t="s">
        <v>256</v>
      </c>
      <c r="G874" s="91"/>
      <c r="H874" s="91"/>
      <c r="I874" s="91">
        <v>0</v>
      </c>
      <c r="J874" s="99">
        <f>+ROUND(I874*J873,2)</f>
        <v>0</v>
      </c>
    </row>
    <row r="875" spans="1:10">
      <c r="A875" s="84"/>
      <c r="B875" s="89"/>
      <c r="C875" s="97"/>
      <c r="D875" s="91"/>
      <c r="E875" s="91"/>
      <c r="F875" s="91" t="s">
        <v>257</v>
      </c>
      <c r="G875" s="91"/>
      <c r="H875" s="91"/>
      <c r="I875" s="91"/>
      <c r="J875" s="99">
        <f>+SUBTOTAL(9,J866:J874)</f>
        <v>84.16</v>
      </c>
    </row>
    <row r="876" spans="1:10">
      <c r="A876" s="84"/>
      <c r="B876" s="98"/>
      <c r="C876" s="97"/>
      <c r="D876" s="91"/>
      <c r="E876" s="91"/>
      <c r="F876" s="91"/>
      <c r="G876" s="91" t="s">
        <v>258</v>
      </c>
      <c r="H876" s="91"/>
      <c r="I876" s="91"/>
      <c r="J876" s="275">
        <f>+SUBTOTAL(9,J857:J875)</f>
        <v>189.53</v>
      </c>
    </row>
    <row r="877" spans="1:10">
      <c r="A877" s="84"/>
      <c r="B877" s="98"/>
      <c r="C877" s="97" t="s">
        <v>259</v>
      </c>
      <c r="D877" s="91">
        <v>22</v>
      </c>
      <c r="E877" s="91"/>
      <c r="F877" s="91"/>
      <c r="G877" s="91" t="s">
        <v>260</v>
      </c>
      <c r="H877" s="91"/>
      <c r="I877" s="91"/>
      <c r="J877" s="275">
        <f>+ROUND(J876/D877,2)</f>
        <v>8.6199999999999992</v>
      </c>
    </row>
    <row r="878" spans="1:10">
      <c r="A878" s="84"/>
      <c r="B878" s="89" t="s">
        <v>228</v>
      </c>
      <c r="C878" s="90" t="s">
        <v>261</v>
      </c>
      <c r="D878" s="91"/>
      <c r="E878" s="91"/>
      <c r="F878" s="91"/>
      <c r="G878" s="92" t="s">
        <v>230</v>
      </c>
      <c r="H878" s="92" t="s">
        <v>262</v>
      </c>
      <c r="I878" s="92" t="s">
        <v>263</v>
      </c>
      <c r="J878" s="99" t="s">
        <v>264</v>
      </c>
    </row>
    <row r="879" spans="1:10">
      <c r="A879" s="84"/>
      <c r="B879" s="89" t="s">
        <v>497</v>
      </c>
      <c r="C879" s="90" t="s">
        <v>498</v>
      </c>
      <c r="D879" s="91"/>
      <c r="E879" s="91"/>
      <c r="F879" s="91"/>
      <c r="G879" s="92" t="s">
        <v>337</v>
      </c>
      <c r="H879" s="92">
        <v>4.3499999999999996</v>
      </c>
      <c r="I879" s="92">
        <v>0.1</v>
      </c>
      <c r="J879" s="99">
        <f>+ROUND(H879*I879,2)</f>
        <v>0.44</v>
      </c>
    </row>
    <row r="880" spans="1:10">
      <c r="A880" s="84"/>
      <c r="B880" s="93" t="s">
        <v>231</v>
      </c>
      <c r="C880" s="94"/>
      <c r="D880" s="95"/>
      <c r="E880" s="95"/>
      <c r="F880" s="95"/>
      <c r="G880" s="96"/>
      <c r="H880" s="96"/>
      <c r="I880" s="96"/>
      <c r="J880" s="271"/>
    </row>
    <row r="881" spans="1:10">
      <c r="A881" s="84"/>
      <c r="B881" s="93" t="s">
        <v>231</v>
      </c>
      <c r="C881" s="94"/>
      <c r="D881" s="95"/>
      <c r="E881" s="95"/>
      <c r="F881" s="95"/>
      <c r="G881" s="96"/>
      <c r="H881" s="96"/>
      <c r="I881" s="96"/>
      <c r="J881" s="271"/>
    </row>
    <row r="882" spans="1:10">
      <c r="A882" s="84"/>
      <c r="B882" s="93" t="s">
        <v>231</v>
      </c>
      <c r="C882" s="94"/>
      <c r="D882" s="95"/>
      <c r="E882" s="95"/>
      <c r="F882" s="95"/>
      <c r="G882" s="96"/>
      <c r="H882" s="96"/>
      <c r="I882" s="96"/>
      <c r="J882" s="271"/>
    </row>
    <row r="883" spans="1:10">
      <c r="A883" s="84"/>
      <c r="B883" s="93" t="s">
        <v>231</v>
      </c>
      <c r="C883" s="94"/>
      <c r="D883" s="95"/>
      <c r="E883" s="95"/>
      <c r="F883" s="95"/>
      <c r="G883" s="96"/>
      <c r="H883" s="96"/>
      <c r="I883" s="96"/>
      <c r="J883" s="271"/>
    </row>
    <row r="884" spans="1:10">
      <c r="A884" s="84"/>
      <c r="B884" s="93" t="s">
        <v>231</v>
      </c>
      <c r="C884" s="94"/>
      <c r="D884" s="95"/>
      <c r="E884" s="95"/>
      <c r="F884" s="95"/>
      <c r="G884" s="96"/>
      <c r="H884" s="96"/>
      <c r="I884" s="96"/>
      <c r="J884" s="271"/>
    </row>
    <row r="885" spans="1:10">
      <c r="A885" s="84"/>
      <c r="B885" s="93" t="s">
        <v>231</v>
      </c>
      <c r="C885" s="94"/>
      <c r="D885" s="95"/>
      <c r="E885" s="95"/>
      <c r="F885" s="95"/>
      <c r="G885" s="96"/>
      <c r="H885" s="96"/>
      <c r="I885" s="96"/>
      <c r="J885" s="271"/>
    </row>
    <row r="886" spans="1:10">
      <c r="A886" s="84"/>
      <c r="B886" s="89"/>
      <c r="C886" s="97"/>
      <c r="D886" s="91"/>
      <c r="E886" s="91"/>
      <c r="F886" s="91"/>
      <c r="G886" s="91" t="s">
        <v>275</v>
      </c>
      <c r="H886" s="91"/>
      <c r="I886" s="91"/>
      <c r="J886" s="99">
        <f>+SUBTOTAL(9,J879:J885)</f>
        <v>0.44</v>
      </c>
    </row>
    <row r="887" spans="1:10">
      <c r="A887" s="84"/>
      <c r="B887" s="89" t="s">
        <v>228</v>
      </c>
      <c r="C887" s="90" t="s">
        <v>276</v>
      </c>
      <c r="D887" s="91"/>
      <c r="E887" s="91"/>
      <c r="F887" s="91"/>
      <c r="G887" s="92" t="s">
        <v>230</v>
      </c>
      <c r="H887" s="92" t="s">
        <v>262</v>
      </c>
      <c r="I887" s="92" t="s">
        <v>263</v>
      </c>
      <c r="J887" s="99" t="s">
        <v>264</v>
      </c>
    </row>
    <row r="888" spans="1:10">
      <c r="A888" s="84"/>
      <c r="B888" s="89" t="s">
        <v>231</v>
      </c>
      <c r="C888" s="90"/>
      <c r="D888" s="91"/>
      <c r="E888" s="91"/>
      <c r="F888" s="91"/>
      <c r="G888" s="92"/>
      <c r="H888" s="92"/>
      <c r="I888" s="92"/>
      <c r="J888" s="99"/>
    </row>
    <row r="889" spans="1:10">
      <c r="A889" s="84"/>
      <c r="B889" s="93" t="s">
        <v>231</v>
      </c>
      <c r="C889" s="94"/>
      <c r="D889" s="95"/>
      <c r="E889" s="95"/>
      <c r="F889" s="95"/>
      <c r="G889" s="96"/>
      <c r="H889" s="96"/>
      <c r="I889" s="96"/>
      <c r="J889" s="271"/>
    </row>
    <row r="890" spans="1:10">
      <c r="A890" s="84"/>
      <c r="B890" s="93" t="s">
        <v>231</v>
      </c>
      <c r="C890" s="94"/>
      <c r="D890" s="95"/>
      <c r="E890" s="95"/>
      <c r="F890" s="95"/>
      <c r="G890" s="96"/>
      <c r="H890" s="96"/>
      <c r="I890" s="96"/>
      <c r="J890" s="271"/>
    </row>
    <row r="891" spans="1:10">
      <c r="A891" s="84"/>
      <c r="B891" s="93" t="s">
        <v>231</v>
      </c>
      <c r="C891" s="94"/>
      <c r="D891" s="95"/>
      <c r="E891" s="95"/>
      <c r="F891" s="95"/>
      <c r="G891" s="96"/>
      <c r="H891" s="96"/>
      <c r="I891" s="96"/>
      <c r="J891" s="271"/>
    </row>
    <row r="892" spans="1:10">
      <c r="A892" s="84"/>
      <c r="B892" s="93" t="s">
        <v>231</v>
      </c>
      <c r="C892" s="94"/>
      <c r="D892" s="95"/>
      <c r="E892" s="95"/>
      <c r="F892" s="95"/>
      <c r="G892" s="96"/>
      <c r="H892" s="96"/>
      <c r="I892" s="96"/>
      <c r="J892" s="271"/>
    </row>
    <row r="893" spans="1:10">
      <c r="A893" s="84"/>
      <c r="B893" s="89"/>
      <c r="C893" s="97"/>
      <c r="D893" s="91"/>
      <c r="E893" s="91"/>
      <c r="F893" s="91"/>
      <c r="G893" s="91" t="s">
        <v>279</v>
      </c>
      <c r="H893" s="91"/>
      <c r="I893" s="91"/>
      <c r="J893" s="99">
        <f>+SUBTOTAL(9,J888:J892)</f>
        <v>0</v>
      </c>
    </row>
    <row r="894" spans="1:10">
      <c r="A894" s="84"/>
      <c r="B894" s="89" t="s">
        <v>228</v>
      </c>
      <c r="C894" s="90" t="s">
        <v>280</v>
      </c>
      <c r="D894" s="92" t="s">
        <v>281</v>
      </c>
      <c r="E894" s="92" t="s">
        <v>282</v>
      </c>
      <c r="F894" s="92" t="s">
        <v>283</v>
      </c>
      <c r="G894" s="92" t="s">
        <v>284</v>
      </c>
      <c r="H894" s="92" t="s">
        <v>285</v>
      </c>
      <c r="I894" s="92" t="s">
        <v>263</v>
      </c>
      <c r="J894" s="99" t="s">
        <v>286</v>
      </c>
    </row>
    <row r="895" spans="1:10">
      <c r="A895" s="84"/>
      <c r="B895" s="89" t="s">
        <v>231</v>
      </c>
      <c r="C895" s="90"/>
      <c r="D895" s="92"/>
      <c r="E895" s="92"/>
      <c r="F895" s="92"/>
      <c r="G895" s="92"/>
      <c r="H895" s="92"/>
      <c r="I895" s="92"/>
      <c r="J895" s="99"/>
    </row>
    <row r="896" spans="1:10">
      <c r="A896" s="84"/>
      <c r="B896" s="93" t="s">
        <v>231</v>
      </c>
      <c r="C896" s="94"/>
      <c r="D896" s="96"/>
      <c r="E896" s="96"/>
      <c r="F896" s="96"/>
      <c r="G896" s="96"/>
      <c r="H896" s="96"/>
      <c r="I896" s="96"/>
      <c r="J896" s="271"/>
    </row>
    <row r="897" spans="1:10">
      <c r="A897" s="84"/>
      <c r="B897" s="93" t="s">
        <v>231</v>
      </c>
      <c r="C897" s="94"/>
      <c r="D897" s="96"/>
      <c r="E897" s="96"/>
      <c r="F897" s="96"/>
      <c r="G897" s="96"/>
      <c r="H897" s="96"/>
      <c r="I897" s="96"/>
      <c r="J897" s="271"/>
    </row>
    <row r="898" spans="1:10">
      <c r="A898" s="84"/>
      <c r="B898" s="93" t="s">
        <v>231</v>
      </c>
      <c r="C898" s="94"/>
      <c r="D898" s="96"/>
      <c r="E898" s="96"/>
      <c r="F898" s="96"/>
      <c r="G898" s="96"/>
      <c r="H898" s="96"/>
      <c r="I898" s="96"/>
      <c r="J898" s="271"/>
    </row>
    <row r="899" spans="1:10">
      <c r="A899" s="84"/>
      <c r="B899" s="93" t="s">
        <v>231</v>
      </c>
      <c r="C899" s="94"/>
      <c r="D899" s="96"/>
      <c r="E899" s="96"/>
      <c r="F899" s="96"/>
      <c r="G899" s="96"/>
      <c r="H899" s="96"/>
      <c r="I899" s="96"/>
      <c r="J899" s="271"/>
    </row>
    <row r="900" spans="1:10">
      <c r="A900" s="84"/>
      <c r="B900" s="93" t="s">
        <v>231</v>
      </c>
      <c r="C900" s="94"/>
      <c r="D900" s="96"/>
      <c r="E900" s="96"/>
      <c r="F900" s="96"/>
      <c r="G900" s="96"/>
      <c r="H900" s="96"/>
      <c r="I900" s="96"/>
      <c r="J900" s="271"/>
    </row>
    <row r="901" spans="1:10">
      <c r="A901" s="84"/>
      <c r="B901" s="93" t="s">
        <v>231</v>
      </c>
      <c r="C901" s="94"/>
      <c r="D901" s="96"/>
      <c r="E901" s="96"/>
      <c r="F901" s="96"/>
      <c r="G901" s="96"/>
      <c r="H901" s="96"/>
      <c r="I901" s="96"/>
      <c r="J901" s="271"/>
    </row>
    <row r="902" spans="1:10">
      <c r="A902" s="84"/>
      <c r="B902" s="89"/>
      <c r="C902" s="97"/>
      <c r="D902" s="91"/>
      <c r="E902" s="91"/>
      <c r="F902" s="91"/>
      <c r="G902" s="91" t="s">
        <v>290</v>
      </c>
      <c r="H902" s="91"/>
      <c r="I902" s="91"/>
      <c r="J902" s="99">
        <f>+SUBTOTAL(9,J895:J901)</f>
        <v>0</v>
      </c>
    </row>
    <row r="903" spans="1:10">
      <c r="A903" s="84"/>
      <c r="B903" s="89" t="s">
        <v>291</v>
      </c>
      <c r="C903" s="97"/>
      <c r="D903" s="91"/>
      <c r="E903" s="91"/>
      <c r="F903" s="91"/>
      <c r="G903" s="91"/>
      <c r="H903" s="91"/>
      <c r="I903" s="91"/>
      <c r="J903" s="99">
        <f>+SUBTOTAL(9,J877:J901)</f>
        <v>9.0599999999999987</v>
      </c>
    </row>
    <row r="904" spans="1:10">
      <c r="A904" s="84"/>
      <c r="B904" s="89" t="s">
        <v>292</v>
      </c>
      <c r="C904" s="97"/>
      <c r="D904" s="91">
        <v>0</v>
      </c>
      <c r="E904" s="91"/>
      <c r="F904" s="91"/>
      <c r="G904" s="91"/>
      <c r="H904" s="91"/>
      <c r="I904" s="91"/>
      <c r="J904" s="99">
        <f>+ROUND(J903*D904/100,2)</f>
        <v>0</v>
      </c>
    </row>
    <row r="905" spans="1:10" ht="14.4" thickBot="1">
      <c r="A905" s="84"/>
      <c r="B905" s="89" t="s">
        <v>293</v>
      </c>
      <c r="C905" s="97"/>
      <c r="D905" s="91"/>
      <c r="E905" s="91"/>
      <c r="F905" s="91"/>
      <c r="G905" s="91"/>
      <c r="H905" s="91"/>
      <c r="I905" s="91"/>
      <c r="J905" s="99">
        <f>+J903+ J904</f>
        <v>9.0599999999999987</v>
      </c>
    </row>
    <row r="906" spans="1:10">
      <c r="A906" s="84"/>
      <c r="B906" s="85" t="s">
        <v>294</v>
      </c>
      <c r="C906" s="86"/>
      <c r="D906" s="88"/>
      <c r="E906" s="88"/>
      <c r="F906" s="88" t="s">
        <v>295</v>
      </c>
      <c r="G906" s="88"/>
      <c r="H906" s="88"/>
      <c r="I906" s="88" t="s">
        <v>296</v>
      </c>
      <c r="J906" s="270"/>
    </row>
    <row r="907" spans="1:10">
      <c r="A907" s="84"/>
      <c r="B907" s="93" t="s">
        <v>297</v>
      </c>
      <c r="C907" s="84"/>
      <c r="D907" s="95"/>
      <c r="E907" s="95"/>
      <c r="F907" s="95" t="s">
        <v>298</v>
      </c>
      <c r="G907" s="95"/>
      <c r="H907" s="95"/>
      <c r="I907" s="95"/>
      <c r="J907" s="276"/>
    </row>
    <row r="908" spans="1:10">
      <c r="A908" s="84"/>
      <c r="B908" s="93" t="s">
        <v>299</v>
      </c>
      <c r="C908" s="84"/>
      <c r="D908" s="95"/>
      <c r="E908" s="95"/>
      <c r="F908" s="95" t="s">
        <v>300</v>
      </c>
      <c r="G908" s="95"/>
      <c r="H908" s="95"/>
      <c r="I908" s="95"/>
      <c r="J908" s="276"/>
    </row>
    <row r="909" spans="1:10" ht="14.4" thickBot="1">
      <c r="A909" s="84"/>
      <c r="B909" s="100" t="s">
        <v>301</v>
      </c>
      <c r="C909" s="84"/>
      <c r="D909" s="95"/>
      <c r="E909" s="95"/>
      <c r="F909" s="95"/>
      <c r="G909" s="95"/>
      <c r="H909" s="95"/>
      <c r="I909" s="95"/>
      <c r="J909" s="277"/>
    </row>
    <row r="910" spans="1:10">
      <c r="A910" s="84"/>
      <c r="B910" s="86"/>
      <c r="C910" s="86"/>
      <c r="D910" s="88"/>
      <c r="E910" s="88"/>
      <c r="F910" s="88"/>
      <c r="G910" s="88"/>
      <c r="H910" s="88"/>
      <c r="I910" s="88"/>
      <c r="J910" s="88"/>
    </row>
    <row r="911" spans="1:10" ht="14.4" thickBot="1">
      <c r="A911" s="84"/>
      <c r="B911" s="84"/>
      <c r="C911" s="84"/>
      <c r="D911" s="95"/>
      <c r="E911" s="95"/>
      <c r="F911" s="95"/>
      <c r="G911" s="95"/>
      <c r="H911" s="95"/>
      <c r="I911" s="95"/>
      <c r="J911" s="95"/>
    </row>
    <row r="912" spans="1:10">
      <c r="A912" s="84"/>
      <c r="B912" s="85"/>
      <c r="C912" s="86"/>
      <c r="D912" s="87" t="s">
        <v>227</v>
      </c>
      <c r="E912" s="87"/>
      <c r="F912" s="87"/>
      <c r="G912" s="88"/>
      <c r="H912" s="88"/>
      <c r="I912" s="88"/>
      <c r="J912" s="270"/>
    </row>
    <row r="913" spans="1:10">
      <c r="A913" s="84"/>
      <c r="B913" s="89" t="s">
        <v>228</v>
      </c>
      <c r="C913" s="90" t="s">
        <v>92</v>
      </c>
      <c r="D913" s="91"/>
      <c r="E913" s="91"/>
      <c r="F913" s="91"/>
      <c r="G913" s="91"/>
      <c r="H913" s="92" t="s">
        <v>229</v>
      </c>
      <c r="I913" s="91"/>
      <c r="J913" s="99" t="s">
        <v>230</v>
      </c>
    </row>
    <row r="914" spans="1:10">
      <c r="A914" s="84"/>
      <c r="B914" s="93" t="s">
        <v>231</v>
      </c>
      <c r="C914" s="94" t="s">
        <v>499</v>
      </c>
      <c r="D914" s="95"/>
      <c r="E914" s="95"/>
      <c r="F914" s="95"/>
      <c r="G914" s="95"/>
      <c r="H914" s="96" t="s">
        <v>233</v>
      </c>
      <c r="I914" s="95"/>
      <c r="J914" s="271" t="s">
        <v>375</v>
      </c>
    </row>
    <row r="915" spans="1:10">
      <c r="A915" s="84"/>
      <c r="B915" s="89"/>
      <c r="C915" s="90"/>
      <c r="D915" s="91"/>
      <c r="E915" s="92"/>
      <c r="F915" s="92" t="s">
        <v>235</v>
      </c>
      <c r="G915" s="92"/>
      <c r="H915" s="92" t="s">
        <v>236</v>
      </c>
      <c r="I915" s="92"/>
      <c r="J915" s="99" t="s">
        <v>237</v>
      </c>
    </row>
    <row r="916" spans="1:10">
      <c r="A916" s="84"/>
      <c r="B916" s="93" t="s">
        <v>228</v>
      </c>
      <c r="C916" s="94" t="s">
        <v>238</v>
      </c>
      <c r="D916" s="95"/>
      <c r="E916" s="96" t="s">
        <v>239</v>
      </c>
      <c r="F916" s="92" t="s">
        <v>240</v>
      </c>
      <c r="G916" s="92" t="s">
        <v>241</v>
      </c>
      <c r="H916" s="92" t="s">
        <v>240</v>
      </c>
      <c r="I916" s="272" t="s">
        <v>241</v>
      </c>
      <c r="J916" s="271" t="s">
        <v>242</v>
      </c>
    </row>
    <row r="917" spans="1:10">
      <c r="A917" s="84"/>
      <c r="B917" s="273" t="s">
        <v>427</v>
      </c>
      <c r="C917" s="90" t="s">
        <v>428</v>
      </c>
      <c r="D917" s="91"/>
      <c r="E917" s="92">
        <v>1</v>
      </c>
      <c r="F917" s="92">
        <v>0.3</v>
      </c>
      <c r="G917" s="92">
        <v>0.7</v>
      </c>
      <c r="H917" s="92">
        <v>152.22</v>
      </c>
      <c r="I917" s="92">
        <v>58.52</v>
      </c>
      <c r="J917" s="99">
        <f>+ROUND(E917* ((F917*H917) + (G917*I917)),2)</f>
        <v>86.63</v>
      </c>
    </row>
    <row r="918" spans="1:10">
      <c r="A918" s="84"/>
      <c r="B918" s="93" t="s">
        <v>231</v>
      </c>
      <c r="C918" s="94"/>
      <c r="D918" s="95"/>
      <c r="E918" s="96"/>
      <c r="F918" s="96"/>
      <c r="G918" s="96"/>
      <c r="H918" s="96"/>
      <c r="I918" s="96"/>
      <c r="J918" s="271"/>
    </row>
    <row r="919" spans="1:10">
      <c r="A919" s="84"/>
      <c r="B919" s="93" t="s">
        <v>231</v>
      </c>
      <c r="C919" s="94"/>
      <c r="D919" s="95"/>
      <c r="E919" s="96"/>
      <c r="F919" s="96"/>
      <c r="G919" s="96"/>
      <c r="H919" s="96"/>
      <c r="I919" s="96"/>
      <c r="J919" s="271"/>
    </row>
    <row r="920" spans="1:10">
      <c r="A920" s="84"/>
      <c r="B920" s="93" t="s">
        <v>231</v>
      </c>
      <c r="C920" s="94"/>
      <c r="D920" s="95"/>
      <c r="E920" s="96"/>
      <c r="F920" s="96"/>
      <c r="G920" s="96"/>
      <c r="H920" s="96"/>
      <c r="I920" s="96"/>
      <c r="J920" s="271"/>
    </row>
    <row r="921" spans="1:10">
      <c r="A921" s="84"/>
      <c r="B921" s="93" t="s">
        <v>231</v>
      </c>
      <c r="C921" s="94"/>
      <c r="D921" s="95"/>
      <c r="E921" s="96"/>
      <c r="F921" s="96"/>
      <c r="G921" s="96"/>
      <c r="H921" s="96"/>
      <c r="I921" s="96"/>
      <c r="J921" s="271"/>
    </row>
    <row r="922" spans="1:10">
      <c r="A922" s="84"/>
      <c r="B922" s="93" t="s">
        <v>231</v>
      </c>
      <c r="C922" s="94"/>
      <c r="D922" s="95"/>
      <c r="E922" s="96"/>
      <c r="F922" s="96"/>
      <c r="G922" s="96"/>
      <c r="H922" s="96"/>
      <c r="I922" s="96"/>
      <c r="J922" s="271"/>
    </row>
    <row r="923" spans="1:10">
      <c r="A923" s="84"/>
      <c r="B923" s="93" t="s">
        <v>231</v>
      </c>
      <c r="C923" s="94"/>
      <c r="D923" s="95"/>
      <c r="E923" s="96"/>
      <c r="F923" s="96"/>
      <c r="G923" s="96"/>
      <c r="H923" s="96"/>
      <c r="I923" s="96"/>
      <c r="J923" s="271"/>
    </row>
    <row r="924" spans="1:10">
      <c r="A924" s="84"/>
      <c r="B924" s="89"/>
      <c r="C924" s="97"/>
      <c r="D924" s="91"/>
      <c r="E924" s="91"/>
      <c r="F924" s="91"/>
      <c r="G924" s="91" t="s">
        <v>249</v>
      </c>
      <c r="H924" s="91"/>
      <c r="I924" s="91"/>
      <c r="J924" s="99">
        <f>+SUBTOTAL(9,J917:J923)</f>
        <v>86.63</v>
      </c>
    </row>
    <row r="925" spans="1:10">
      <c r="A925" s="84"/>
      <c r="B925" s="89" t="s">
        <v>228</v>
      </c>
      <c r="C925" s="90" t="s">
        <v>250</v>
      </c>
      <c r="D925" s="91"/>
      <c r="E925" s="91"/>
      <c r="F925" s="91"/>
      <c r="G925" s="91"/>
      <c r="H925" s="92" t="s">
        <v>239</v>
      </c>
      <c r="I925" s="92" t="s">
        <v>251</v>
      </c>
      <c r="J925" s="99" t="s">
        <v>252</v>
      </c>
    </row>
    <row r="926" spans="1:10">
      <c r="A926" s="84"/>
      <c r="B926" s="89" t="s">
        <v>253</v>
      </c>
      <c r="C926" s="90" t="s">
        <v>254</v>
      </c>
      <c r="D926" s="91"/>
      <c r="E926" s="91"/>
      <c r="F926" s="91"/>
      <c r="G926" s="91"/>
      <c r="H926" s="92">
        <v>2</v>
      </c>
      <c r="I926" s="92">
        <v>21.04</v>
      </c>
      <c r="J926" s="99">
        <f>+ROUND(H926*I926,2)</f>
        <v>42.08</v>
      </c>
    </row>
    <row r="927" spans="1:10">
      <c r="A927" s="84"/>
      <c r="B927" s="93" t="s">
        <v>431</v>
      </c>
      <c r="C927" s="94" t="s">
        <v>432</v>
      </c>
      <c r="D927" s="95"/>
      <c r="E927" s="95"/>
      <c r="F927" s="95"/>
      <c r="G927" s="95"/>
      <c r="H927" s="96">
        <v>1</v>
      </c>
      <c r="I927" s="96">
        <v>29.27</v>
      </c>
      <c r="J927" s="271">
        <f>+ROUND(H927*I927,2)</f>
        <v>29.27</v>
      </c>
    </row>
    <row r="928" spans="1:10">
      <c r="A928" s="84"/>
      <c r="B928" s="93" t="s">
        <v>231</v>
      </c>
      <c r="C928" s="94"/>
      <c r="D928" s="95"/>
      <c r="E928" s="95"/>
      <c r="F928" s="95"/>
      <c r="G928" s="95"/>
      <c r="H928" s="96"/>
      <c r="I928" s="96"/>
      <c r="J928" s="271"/>
    </row>
    <row r="929" spans="1:10">
      <c r="A929" s="84"/>
      <c r="B929" s="93" t="s">
        <v>231</v>
      </c>
      <c r="C929" s="94"/>
      <c r="D929" s="95"/>
      <c r="E929" s="95"/>
      <c r="F929" s="95"/>
      <c r="G929" s="95"/>
      <c r="H929" s="96"/>
      <c r="I929" s="96"/>
      <c r="J929" s="271"/>
    </row>
    <row r="930" spans="1:10">
      <c r="A930" s="84"/>
      <c r="B930" s="93" t="s">
        <v>231</v>
      </c>
      <c r="C930" s="94"/>
      <c r="D930" s="95"/>
      <c r="E930" s="95"/>
      <c r="F930" s="95"/>
      <c r="G930" s="95"/>
      <c r="H930" s="96"/>
      <c r="I930" s="96"/>
      <c r="J930" s="271"/>
    </row>
    <row r="931" spans="1:10">
      <c r="A931" s="84"/>
      <c r="B931" s="93" t="s">
        <v>231</v>
      </c>
      <c r="C931" s="94"/>
      <c r="D931" s="95"/>
      <c r="E931" s="95"/>
      <c r="F931" s="95"/>
      <c r="G931" s="95"/>
      <c r="H931" s="96"/>
      <c r="I931" s="96"/>
      <c r="J931" s="271"/>
    </row>
    <row r="932" spans="1:10">
      <c r="A932" s="84"/>
      <c r="B932" s="93" t="s">
        <v>231</v>
      </c>
      <c r="C932" s="94"/>
      <c r="D932" s="95"/>
      <c r="E932" s="95"/>
      <c r="F932" s="95"/>
      <c r="G932" s="95"/>
      <c r="H932" s="96"/>
      <c r="I932" s="96"/>
      <c r="J932" s="271"/>
    </row>
    <row r="933" spans="1:10">
      <c r="A933" s="84"/>
      <c r="B933" s="89"/>
      <c r="C933" s="97"/>
      <c r="D933" s="91"/>
      <c r="E933" s="91"/>
      <c r="F933" s="91"/>
      <c r="G933" s="91" t="s">
        <v>255</v>
      </c>
      <c r="H933" s="91"/>
      <c r="I933" s="91"/>
      <c r="J933" s="99">
        <f>+SUBTOTAL(9,J926:J932)</f>
        <v>71.349999999999994</v>
      </c>
    </row>
    <row r="934" spans="1:10">
      <c r="A934" s="84"/>
      <c r="B934" s="89"/>
      <c r="C934" s="97"/>
      <c r="D934" s="91"/>
      <c r="E934" s="91"/>
      <c r="F934" s="91" t="s">
        <v>256</v>
      </c>
      <c r="G934" s="91"/>
      <c r="H934" s="91"/>
      <c r="I934" s="91">
        <v>0</v>
      </c>
      <c r="J934" s="99">
        <f>+ROUND(I934*J933,2)</f>
        <v>0</v>
      </c>
    </row>
    <row r="935" spans="1:10">
      <c r="A935" s="84"/>
      <c r="B935" s="89"/>
      <c r="C935" s="97"/>
      <c r="D935" s="91"/>
      <c r="E935" s="91"/>
      <c r="F935" s="91" t="s">
        <v>257</v>
      </c>
      <c r="G935" s="91"/>
      <c r="H935" s="91"/>
      <c r="I935" s="91"/>
      <c r="J935" s="99">
        <f>+SUBTOTAL(9,J926:J934)</f>
        <v>71.349999999999994</v>
      </c>
    </row>
    <row r="936" spans="1:10">
      <c r="A936" s="84"/>
      <c r="B936" s="98"/>
      <c r="C936" s="97"/>
      <c r="D936" s="91"/>
      <c r="E936" s="91"/>
      <c r="F936" s="91"/>
      <c r="G936" s="91" t="s">
        <v>258</v>
      </c>
      <c r="H936" s="91"/>
      <c r="I936" s="91"/>
      <c r="J936" s="275">
        <f>+SUBTOTAL(9,J917:J935)</f>
        <v>157.97999999999999</v>
      </c>
    </row>
    <row r="937" spans="1:10">
      <c r="A937" s="84"/>
      <c r="B937" s="98"/>
      <c r="C937" s="97" t="s">
        <v>259</v>
      </c>
      <c r="D937" s="91">
        <v>3</v>
      </c>
      <c r="E937" s="91"/>
      <c r="F937" s="91"/>
      <c r="G937" s="91" t="s">
        <v>260</v>
      </c>
      <c r="H937" s="91"/>
      <c r="I937" s="91"/>
      <c r="J937" s="275">
        <f>+ROUND(J936/D937,2)</f>
        <v>52.66</v>
      </c>
    </row>
    <row r="938" spans="1:10">
      <c r="A938" s="84"/>
      <c r="B938" s="89" t="s">
        <v>228</v>
      </c>
      <c r="C938" s="90" t="s">
        <v>261</v>
      </c>
      <c r="D938" s="91"/>
      <c r="E938" s="91"/>
      <c r="F938" s="91"/>
      <c r="G938" s="92" t="s">
        <v>230</v>
      </c>
      <c r="H938" s="92" t="s">
        <v>262</v>
      </c>
      <c r="I938" s="92" t="s">
        <v>263</v>
      </c>
      <c r="J938" s="99" t="s">
        <v>264</v>
      </c>
    </row>
    <row r="939" spans="1:10">
      <c r="A939" s="84"/>
      <c r="B939" s="89" t="s">
        <v>231</v>
      </c>
      <c r="C939" s="90"/>
      <c r="D939" s="91"/>
      <c r="E939" s="91"/>
      <c r="F939" s="91"/>
      <c r="G939" s="92"/>
      <c r="H939" s="92"/>
      <c r="I939" s="92"/>
      <c r="J939" s="99"/>
    </row>
    <row r="940" spans="1:10">
      <c r="A940" s="84"/>
      <c r="B940" s="93" t="s">
        <v>231</v>
      </c>
      <c r="C940" s="94"/>
      <c r="D940" s="95"/>
      <c r="E940" s="95"/>
      <c r="F940" s="95"/>
      <c r="G940" s="96"/>
      <c r="H940" s="96"/>
      <c r="I940" s="96"/>
      <c r="J940" s="271"/>
    </row>
    <row r="941" spans="1:10">
      <c r="A941" s="84"/>
      <c r="B941" s="93" t="s">
        <v>231</v>
      </c>
      <c r="C941" s="94"/>
      <c r="D941" s="95"/>
      <c r="E941" s="95"/>
      <c r="F941" s="95"/>
      <c r="G941" s="96"/>
      <c r="H941" s="96"/>
      <c r="I941" s="96"/>
      <c r="J941" s="271"/>
    </row>
    <row r="942" spans="1:10">
      <c r="A942" s="84"/>
      <c r="B942" s="93" t="s">
        <v>231</v>
      </c>
      <c r="C942" s="94"/>
      <c r="D942" s="95"/>
      <c r="E942" s="95"/>
      <c r="F942" s="95"/>
      <c r="G942" s="96"/>
      <c r="H942" s="96"/>
      <c r="I942" s="96"/>
      <c r="J942" s="271"/>
    </row>
    <row r="943" spans="1:10">
      <c r="A943" s="84"/>
      <c r="B943" s="93" t="s">
        <v>231</v>
      </c>
      <c r="C943" s="94"/>
      <c r="D943" s="95"/>
      <c r="E943" s="95"/>
      <c r="F943" s="95"/>
      <c r="G943" s="96"/>
      <c r="H943" s="96"/>
      <c r="I943" s="96"/>
      <c r="J943" s="271"/>
    </row>
    <row r="944" spans="1:10">
      <c r="A944" s="84"/>
      <c r="B944" s="93" t="s">
        <v>231</v>
      </c>
      <c r="C944" s="94"/>
      <c r="D944" s="95"/>
      <c r="E944" s="95"/>
      <c r="F944" s="95"/>
      <c r="G944" s="96"/>
      <c r="H944" s="96"/>
      <c r="I944" s="96"/>
      <c r="J944" s="271"/>
    </row>
    <row r="945" spans="1:10">
      <c r="A945" s="84"/>
      <c r="B945" s="93" t="s">
        <v>231</v>
      </c>
      <c r="C945" s="94"/>
      <c r="D945" s="95"/>
      <c r="E945" s="95"/>
      <c r="F945" s="95"/>
      <c r="G945" s="96"/>
      <c r="H945" s="96"/>
      <c r="I945" s="96"/>
      <c r="J945" s="271"/>
    </row>
    <row r="946" spans="1:10">
      <c r="A946" s="84"/>
      <c r="B946" s="89"/>
      <c r="C946" s="97"/>
      <c r="D946" s="91"/>
      <c r="E946" s="91"/>
      <c r="F946" s="91"/>
      <c r="G946" s="91" t="s">
        <v>275</v>
      </c>
      <c r="H946" s="91"/>
      <c r="I946" s="91"/>
      <c r="J946" s="99">
        <f>+SUBTOTAL(9,J939:J945)</f>
        <v>0</v>
      </c>
    </row>
    <row r="947" spans="1:10">
      <c r="A947" s="84"/>
      <c r="B947" s="89" t="s">
        <v>228</v>
      </c>
      <c r="C947" s="90" t="s">
        <v>276</v>
      </c>
      <c r="D947" s="91"/>
      <c r="E947" s="91"/>
      <c r="F947" s="91"/>
      <c r="G947" s="92" t="s">
        <v>230</v>
      </c>
      <c r="H947" s="92" t="s">
        <v>262</v>
      </c>
      <c r="I947" s="92" t="s">
        <v>263</v>
      </c>
      <c r="J947" s="99" t="s">
        <v>264</v>
      </c>
    </row>
    <row r="948" spans="1:10">
      <c r="A948" s="84"/>
      <c r="B948" s="89" t="s">
        <v>500</v>
      </c>
      <c r="C948" s="90" t="s">
        <v>501</v>
      </c>
      <c r="D948" s="91"/>
      <c r="E948" s="91"/>
      <c r="F948" s="91"/>
      <c r="G948" s="92" t="s">
        <v>375</v>
      </c>
      <c r="H948" s="92">
        <v>552.45000000000005</v>
      </c>
      <c r="I948" s="92">
        <v>1</v>
      </c>
      <c r="J948" s="99">
        <f>+ROUND(H948*I948,2)</f>
        <v>552.45000000000005</v>
      </c>
    </row>
    <row r="949" spans="1:10">
      <c r="A949" s="84"/>
      <c r="B949" s="93" t="s">
        <v>231</v>
      </c>
      <c r="C949" s="94"/>
      <c r="D949" s="95"/>
      <c r="E949" s="95"/>
      <c r="F949" s="95"/>
      <c r="G949" s="96"/>
      <c r="H949" s="96"/>
      <c r="I949" s="96"/>
      <c r="J949" s="271"/>
    </row>
    <row r="950" spans="1:10">
      <c r="A950" s="84"/>
      <c r="B950" s="93" t="s">
        <v>231</v>
      </c>
      <c r="C950" s="94"/>
      <c r="D950" s="95"/>
      <c r="E950" s="95"/>
      <c r="F950" s="95"/>
      <c r="G950" s="96"/>
      <c r="H950" s="96"/>
      <c r="I950" s="96"/>
      <c r="J950" s="271"/>
    </row>
    <row r="951" spans="1:10">
      <c r="A951" s="84"/>
      <c r="B951" s="93" t="s">
        <v>231</v>
      </c>
      <c r="C951" s="94"/>
      <c r="D951" s="95"/>
      <c r="E951" s="95"/>
      <c r="F951" s="95"/>
      <c r="G951" s="96"/>
      <c r="H951" s="96"/>
      <c r="I951" s="96"/>
      <c r="J951" s="271"/>
    </row>
    <row r="952" spans="1:10">
      <c r="A952" s="84"/>
      <c r="B952" s="93" t="s">
        <v>231</v>
      </c>
      <c r="C952" s="94"/>
      <c r="D952" s="95"/>
      <c r="E952" s="95"/>
      <c r="F952" s="95"/>
      <c r="G952" s="96"/>
      <c r="H952" s="96"/>
      <c r="I952" s="96"/>
      <c r="J952" s="271"/>
    </row>
    <row r="953" spans="1:10">
      <c r="A953" s="84"/>
      <c r="B953" s="89"/>
      <c r="C953" s="97"/>
      <c r="D953" s="91"/>
      <c r="E953" s="91"/>
      <c r="F953" s="91"/>
      <c r="G953" s="91" t="s">
        <v>279</v>
      </c>
      <c r="H953" s="91"/>
      <c r="I953" s="91"/>
      <c r="J953" s="99">
        <f>+SUBTOTAL(9,J948:J952)</f>
        <v>552.45000000000005</v>
      </c>
    </row>
    <row r="954" spans="1:10">
      <c r="A954" s="84"/>
      <c r="B954" s="89" t="s">
        <v>228</v>
      </c>
      <c r="C954" s="90" t="s">
        <v>280</v>
      </c>
      <c r="D954" s="92" t="s">
        <v>281</v>
      </c>
      <c r="E954" s="92" t="s">
        <v>282</v>
      </c>
      <c r="F954" s="92" t="s">
        <v>283</v>
      </c>
      <c r="G954" s="92" t="s">
        <v>284</v>
      </c>
      <c r="H954" s="92" t="s">
        <v>285</v>
      </c>
      <c r="I954" s="92" t="s">
        <v>263</v>
      </c>
      <c r="J954" s="99" t="s">
        <v>286</v>
      </c>
    </row>
    <row r="955" spans="1:10">
      <c r="A955" s="84"/>
      <c r="B955" s="89" t="s">
        <v>231</v>
      </c>
      <c r="C955" s="90"/>
      <c r="D955" s="92"/>
      <c r="E955" s="92"/>
      <c r="F955" s="92"/>
      <c r="G955" s="92"/>
      <c r="H955" s="92"/>
      <c r="I955" s="92"/>
      <c r="J955" s="99"/>
    </row>
    <row r="956" spans="1:10">
      <c r="A956" s="84"/>
      <c r="B956" s="93" t="s">
        <v>231</v>
      </c>
      <c r="C956" s="94"/>
      <c r="D956" s="96"/>
      <c r="E956" s="96"/>
      <c r="F956" s="96"/>
      <c r="G956" s="96"/>
      <c r="H956" s="96"/>
      <c r="I956" s="96"/>
      <c r="J956" s="271"/>
    </row>
    <row r="957" spans="1:10">
      <c r="A957" s="84"/>
      <c r="B957" s="93" t="s">
        <v>231</v>
      </c>
      <c r="C957" s="94"/>
      <c r="D957" s="96"/>
      <c r="E957" s="96"/>
      <c r="F957" s="96"/>
      <c r="G957" s="96"/>
      <c r="H957" s="96"/>
      <c r="I957" s="96"/>
      <c r="J957" s="271"/>
    </row>
    <row r="958" spans="1:10">
      <c r="A958" s="84"/>
      <c r="B958" s="93" t="s">
        <v>231</v>
      </c>
      <c r="C958" s="94"/>
      <c r="D958" s="96"/>
      <c r="E958" s="96"/>
      <c r="F958" s="96"/>
      <c r="G958" s="96"/>
      <c r="H958" s="96"/>
      <c r="I958" s="96"/>
      <c r="J958" s="271"/>
    </row>
    <row r="959" spans="1:10">
      <c r="A959" s="84"/>
      <c r="B959" s="93" t="s">
        <v>231</v>
      </c>
      <c r="C959" s="94"/>
      <c r="D959" s="96"/>
      <c r="E959" s="96"/>
      <c r="F959" s="96"/>
      <c r="G959" s="96"/>
      <c r="H959" s="96"/>
      <c r="I959" s="96"/>
      <c r="J959" s="271"/>
    </row>
    <row r="960" spans="1:10">
      <c r="A960" s="84"/>
      <c r="B960" s="93" t="s">
        <v>231</v>
      </c>
      <c r="C960" s="94"/>
      <c r="D960" s="96"/>
      <c r="E960" s="96"/>
      <c r="F960" s="96"/>
      <c r="G960" s="96"/>
      <c r="H960" s="96"/>
      <c r="I960" s="96"/>
      <c r="J960" s="271"/>
    </row>
    <row r="961" spans="1:10">
      <c r="A961" s="84"/>
      <c r="B961" s="93" t="s">
        <v>231</v>
      </c>
      <c r="C961" s="94"/>
      <c r="D961" s="96"/>
      <c r="E961" s="96"/>
      <c r="F961" s="96"/>
      <c r="G961" s="96"/>
      <c r="H961" s="96"/>
      <c r="I961" s="96"/>
      <c r="J961" s="271"/>
    </row>
    <row r="962" spans="1:10">
      <c r="A962" s="84"/>
      <c r="B962" s="89"/>
      <c r="C962" s="97"/>
      <c r="D962" s="91"/>
      <c r="E962" s="91"/>
      <c r="F962" s="91"/>
      <c r="G962" s="91" t="s">
        <v>290</v>
      </c>
      <c r="H962" s="91"/>
      <c r="I962" s="91"/>
      <c r="J962" s="99">
        <f>+SUBTOTAL(9,J955:J961)</f>
        <v>0</v>
      </c>
    </row>
    <row r="963" spans="1:10">
      <c r="A963" s="84"/>
      <c r="B963" s="89" t="s">
        <v>291</v>
      </c>
      <c r="C963" s="97"/>
      <c r="D963" s="91"/>
      <c r="E963" s="91"/>
      <c r="F963" s="91"/>
      <c r="G963" s="91"/>
      <c r="H963" s="91"/>
      <c r="I963" s="91"/>
      <c r="J963" s="99">
        <f>+SUBTOTAL(9,J937:J961)</f>
        <v>605.11</v>
      </c>
    </row>
    <row r="964" spans="1:10">
      <c r="A964" s="84"/>
      <c r="B964" s="89" t="s">
        <v>292</v>
      </c>
      <c r="C964" s="97"/>
      <c r="D964" s="91">
        <v>0</v>
      </c>
      <c r="E964" s="91"/>
      <c r="F964" s="91"/>
      <c r="G964" s="91"/>
      <c r="H964" s="91"/>
      <c r="I964" s="91"/>
      <c r="J964" s="99">
        <f>+ROUND(J963*D964/100,2)</f>
        <v>0</v>
      </c>
    </row>
    <row r="965" spans="1:10" ht="14.4" thickBot="1">
      <c r="A965" s="84"/>
      <c r="B965" s="89" t="s">
        <v>293</v>
      </c>
      <c r="C965" s="97"/>
      <c r="D965" s="91"/>
      <c r="E965" s="91"/>
      <c r="F965" s="91"/>
      <c r="G965" s="91"/>
      <c r="H965" s="91"/>
      <c r="I965" s="91"/>
      <c r="J965" s="99">
        <f>+J963+ J964</f>
        <v>605.11</v>
      </c>
    </row>
    <row r="966" spans="1:10">
      <c r="A966" s="84"/>
      <c r="B966" s="85" t="s">
        <v>294</v>
      </c>
      <c r="C966" s="86"/>
      <c r="D966" s="88"/>
      <c r="E966" s="88"/>
      <c r="F966" s="88" t="s">
        <v>295</v>
      </c>
      <c r="G966" s="88"/>
      <c r="H966" s="88"/>
      <c r="I966" s="88" t="s">
        <v>296</v>
      </c>
      <c r="J966" s="270"/>
    </row>
    <row r="967" spans="1:10">
      <c r="A967" s="84"/>
      <c r="B967" s="93" t="s">
        <v>297</v>
      </c>
      <c r="C967" s="84"/>
      <c r="D967" s="95"/>
      <c r="E967" s="95"/>
      <c r="F967" s="95" t="s">
        <v>298</v>
      </c>
      <c r="G967" s="95"/>
      <c r="H967" s="95"/>
      <c r="I967" s="95"/>
      <c r="J967" s="276"/>
    </row>
    <row r="968" spans="1:10">
      <c r="A968" s="84"/>
      <c r="B968" s="93" t="s">
        <v>299</v>
      </c>
      <c r="C968" s="84"/>
      <c r="D968" s="95"/>
      <c r="E968" s="95"/>
      <c r="F968" s="95" t="s">
        <v>300</v>
      </c>
      <c r="G968" s="95"/>
      <c r="H968" s="95"/>
      <c r="I968" s="95"/>
      <c r="J968" s="276"/>
    </row>
    <row r="969" spans="1:10" ht="14.4" thickBot="1">
      <c r="A969" s="84"/>
      <c r="B969" s="100" t="s">
        <v>301</v>
      </c>
      <c r="C969" s="84"/>
      <c r="D969" s="95"/>
      <c r="E969" s="95"/>
      <c r="F969" s="95"/>
      <c r="G969" s="95"/>
      <c r="H969" s="95"/>
      <c r="I969" s="95"/>
      <c r="J969" s="277"/>
    </row>
    <row r="970" spans="1:10">
      <c r="A970" s="84"/>
      <c r="B970" s="86"/>
      <c r="C970" s="86"/>
      <c r="D970" s="88"/>
      <c r="E970" s="88"/>
      <c r="F970" s="88"/>
      <c r="G970" s="88"/>
      <c r="H970" s="88"/>
      <c r="I970" s="88"/>
      <c r="J970" s="88"/>
    </row>
    <row r="971" spans="1:10" ht="14.4" thickBot="1">
      <c r="A971" s="84"/>
      <c r="B971" s="84"/>
      <c r="C971" s="84"/>
      <c r="D971" s="95"/>
      <c r="E971" s="95"/>
      <c r="F971" s="95"/>
      <c r="G971" s="95"/>
      <c r="H971" s="95"/>
      <c r="I971" s="95"/>
      <c r="J971" s="95"/>
    </row>
    <row r="972" spans="1:10">
      <c r="A972" s="84"/>
      <c r="B972" s="85"/>
      <c r="C972" s="86"/>
      <c r="D972" s="87" t="s">
        <v>227</v>
      </c>
      <c r="E972" s="87"/>
      <c r="F972" s="87"/>
      <c r="G972" s="88"/>
      <c r="H972" s="88"/>
      <c r="I972" s="88"/>
      <c r="J972" s="270"/>
    </row>
    <row r="973" spans="1:10">
      <c r="A973" s="84"/>
      <c r="B973" s="89" t="s">
        <v>228</v>
      </c>
      <c r="C973" s="90" t="s">
        <v>92</v>
      </c>
      <c r="D973" s="91"/>
      <c r="E973" s="91"/>
      <c r="F973" s="91"/>
      <c r="G973" s="91"/>
      <c r="H973" s="92" t="s">
        <v>229</v>
      </c>
      <c r="I973" s="91"/>
      <c r="J973" s="99" t="s">
        <v>230</v>
      </c>
    </row>
    <row r="974" spans="1:10">
      <c r="A974" s="84"/>
      <c r="B974" s="93" t="s">
        <v>500</v>
      </c>
      <c r="C974" s="94" t="s">
        <v>502</v>
      </c>
      <c r="D974" s="95"/>
      <c r="E974" s="95"/>
      <c r="F974" s="95"/>
      <c r="G974" s="95"/>
      <c r="H974" s="96" t="s">
        <v>233</v>
      </c>
      <c r="I974" s="95"/>
      <c r="J974" s="271" t="s">
        <v>375</v>
      </c>
    </row>
    <row r="975" spans="1:10">
      <c r="A975" s="84"/>
      <c r="B975" s="89"/>
      <c r="C975" s="90"/>
      <c r="D975" s="91"/>
      <c r="E975" s="92"/>
      <c r="F975" s="92" t="s">
        <v>235</v>
      </c>
      <c r="G975" s="92"/>
      <c r="H975" s="92" t="s">
        <v>236</v>
      </c>
      <c r="I975" s="92"/>
      <c r="J975" s="99" t="s">
        <v>237</v>
      </c>
    </row>
    <row r="976" spans="1:10">
      <c r="A976" s="84"/>
      <c r="B976" s="93" t="s">
        <v>228</v>
      </c>
      <c r="C976" s="94" t="s">
        <v>238</v>
      </c>
      <c r="D976" s="95"/>
      <c r="E976" s="96" t="s">
        <v>239</v>
      </c>
      <c r="F976" s="92" t="s">
        <v>240</v>
      </c>
      <c r="G976" s="92" t="s">
        <v>241</v>
      </c>
      <c r="H976" s="92" t="s">
        <v>240</v>
      </c>
      <c r="I976" s="272" t="s">
        <v>241</v>
      </c>
      <c r="J976" s="271" t="s">
        <v>242</v>
      </c>
    </row>
    <row r="977" spans="1:10">
      <c r="A977" s="84"/>
      <c r="B977" s="273" t="s">
        <v>451</v>
      </c>
      <c r="C977" s="90" t="s">
        <v>452</v>
      </c>
      <c r="D977" s="91"/>
      <c r="E977" s="92">
        <v>0.48193000000000003</v>
      </c>
      <c r="F977" s="92">
        <v>1</v>
      </c>
      <c r="G977" s="92">
        <v>0</v>
      </c>
      <c r="H977" s="92">
        <v>23.65</v>
      </c>
      <c r="I977" s="92">
        <v>14.91</v>
      </c>
      <c r="J977" s="99">
        <f>+ROUND(E977* ((F977*H977) + (G977*I977)),2)</f>
        <v>11.4</v>
      </c>
    </row>
    <row r="978" spans="1:10">
      <c r="A978" s="84"/>
      <c r="B978" s="274" t="s">
        <v>453</v>
      </c>
      <c r="C978" s="94" t="s">
        <v>454</v>
      </c>
      <c r="D978" s="95"/>
      <c r="E978" s="96">
        <v>0.15060000000000001</v>
      </c>
      <c r="F978" s="96">
        <v>1</v>
      </c>
      <c r="G978" s="96">
        <v>0</v>
      </c>
      <c r="H978" s="96">
        <v>0.21</v>
      </c>
      <c r="I978" s="96">
        <v>0.14000000000000001</v>
      </c>
      <c r="J978" s="271">
        <f>+ROUND(E978* ((F978*H978) + (G978*I978)),2)</f>
        <v>0.03</v>
      </c>
    </row>
    <row r="979" spans="1:10">
      <c r="A979" s="84"/>
      <c r="B979" s="274" t="s">
        <v>455</v>
      </c>
      <c r="C979" s="94" t="s">
        <v>456</v>
      </c>
      <c r="D979" s="95"/>
      <c r="E979" s="96">
        <v>0.48193000000000003</v>
      </c>
      <c r="F979" s="96">
        <v>1</v>
      </c>
      <c r="G979" s="96">
        <v>0</v>
      </c>
      <c r="H979" s="96">
        <v>13.6</v>
      </c>
      <c r="I979" s="96">
        <v>8.65</v>
      </c>
      <c r="J979" s="271">
        <f>+ROUND(E979* ((F979*H979) + (G979*I979)),2)</f>
        <v>6.55</v>
      </c>
    </row>
    <row r="980" spans="1:10">
      <c r="A980" s="84"/>
      <c r="B980" s="274" t="s">
        <v>457</v>
      </c>
      <c r="C980" s="94" t="s">
        <v>458</v>
      </c>
      <c r="D980" s="95"/>
      <c r="E980" s="96">
        <v>0.20080000000000001</v>
      </c>
      <c r="F980" s="96">
        <v>1</v>
      </c>
      <c r="G980" s="96">
        <v>0</v>
      </c>
      <c r="H980" s="96">
        <v>14.77</v>
      </c>
      <c r="I980" s="96">
        <v>9.39</v>
      </c>
      <c r="J980" s="271">
        <f>+ROUND(E980* ((F980*H980) + (G980*I980)),2)</f>
        <v>2.97</v>
      </c>
    </row>
    <row r="981" spans="1:10">
      <c r="A981" s="84"/>
      <c r="B981" s="274" t="s">
        <v>459</v>
      </c>
      <c r="C981" s="94" t="s">
        <v>460</v>
      </c>
      <c r="D981" s="95"/>
      <c r="E981" s="96">
        <v>0.48193000000000003</v>
      </c>
      <c r="F981" s="96">
        <v>1</v>
      </c>
      <c r="G981" s="96">
        <v>0</v>
      </c>
      <c r="H981" s="96">
        <v>27.45</v>
      </c>
      <c r="I981" s="96">
        <v>5.41</v>
      </c>
      <c r="J981" s="271">
        <f>+ROUND(E981* ((F981*H981) + (G981*I981)),2)</f>
        <v>13.23</v>
      </c>
    </row>
    <row r="982" spans="1:10">
      <c r="A982" s="84"/>
      <c r="B982" s="93" t="s">
        <v>231</v>
      </c>
      <c r="C982" s="94"/>
      <c r="D982" s="95"/>
      <c r="E982" s="96"/>
      <c r="F982" s="96"/>
      <c r="G982" s="96"/>
      <c r="H982" s="96"/>
      <c r="I982" s="96"/>
      <c r="J982" s="271"/>
    </row>
    <row r="983" spans="1:10">
      <c r="A983" s="84"/>
      <c r="B983" s="93" t="s">
        <v>231</v>
      </c>
      <c r="C983" s="94"/>
      <c r="D983" s="95"/>
      <c r="E983" s="96"/>
      <c r="F983" s="96"/>
      <c r="G983" s="96"/>
      <c r="H983" s="96"/>
      <c r="I983" s="96"/>
      <c r="J983" s="271"/>
    </row>
    <row r="984" spans="1:10">
      <c r="A984" s="84"/>
      <c r="B984" s="89"/>
      <c r="C984" s="97"/>
      <c r="D984" s="91"/>
      <c r="E984" s="91"/>
      <c r="F984" s="91"/>
      <c r="G984" s="91" t="s">
        <v>249</v>
      </c>
      <c r="H984" s="91"/>
      <c r="I984" s="91"/>
      <c r="J984" s="99">
        <f>+SUBTOTAL(9,J977:J983)</f>
        <v>34.18</v>
      </c>
    </row>
    <row r="985" spans="1:10">
      <c r="A985" s="84"/>
      <c r="B985" s="89" t="s">
        <v>228</v>
      </c>
      <c r="C985" s="90" t="s">
        <v>250</v>
      </c>
      <c r="D985" s="91"/>
      <c r="E985" s="91"/>
      <c r="F985" s="91"/>
      <c r="G985" s="91"/>
      <c r="H985" s="92" t="s">
        <v>239</v>
      </c>
      <c r="I985" s="92" t="s">
        <v>251</v>
      </c>
      <c r="J985" s="99" t="s">
        <v>252</v>
      </c>
    </row>
    <row r="986" spans="1:10">
      <c r="A986" s="84"/>
      <c r="B986" s="89" t="s">
        <v>461</v>
      </c>
      <c r="C986" s="90" t="s">
        <v>462</v>
      </c>
      <c r="D986" s="91"/>
      <c r="E986" s="91"/>
      <c r="F986" s="91"/>
      <c r="G986" s="91"/>
      <c r="H986" s="92">
        <v>2</v>
      </c>
      <c r="I986" s="92">
        <v>22.84</v>
      </c>
      <c r="J986" s="99">
        <f>+ROUND(H986*I986,2)</f>
        <v>45.68</v>
      </c>
    </row>
    <row r="987" spans="1:10">
      <c r="A987" s="84"/>
      <c r="B987" s="93" t="s">
        <v>463</v>
      </c>
      <c r="C987" s="94" t="s">
        <v>464</v>
      </c>
      <c r="D987" s="95"/>
      <c r="E987" s="95"/>
      <c r="F987" s="95"/>
      <c r="G987" s="95"/>
      <c r="H987" s="96">
        <v>1</v>
      </c>
      <c r="I987" s="96">
        <v>31.59</v>
      </c>
      <c r="J987" s="271">
        <f>+ROUND(H987*I987,2)</f>
        <v>31.59</v>
      </c>
    </row>
    <row r="988" spans="1:10">
      <c r="A988" s="84"/>
      <c r="B988" s="93" t="s">
        <v>253</v>
      </c>
      <c r="C988" s="94" t="s">
        <v>254</v>
      </c>
      <c r="D988" s="95"/>
      <c r="E988" s="95"/>
      <c r="F988" s="95"/>
      <c r="G988" s="95"/>
      <c r="H988" s="96">
        <v>2</v>
      </c>
      <c r="I988" s="96">
        <v>21.04</v>
      </c>
      <c r="J988" s="271">
        <f>+ROUND(H988*I988,2)</f>
        <v>42.08</v>
      </c>
    </row>
    <row r="989" spans="1:10">
      <c r="A989" s="84"/>
      <c r="B989" s="93" t="s">
        <v>431</v>
      </c>
      <c r="C989" s="94" t="s">
        <v>432</v>
      </c>
      <c r="D989" s="95"/>
      <c r="E989" s="95"/>
      <c r="F989" s="95"/>
      <c r="G989" s="95"/>
      <c r="H989" s="96">
        <v>1</v>
      </c>
      <c r="I989" s="96">
        <v>29.27</v>
      </c>
      <c r="J989" s="271">
        <f>+ROUND(H989*I989,2)</f>
        <v>29.27</v>
      </c>
    </row>
    <row r="990" spans="1:10">
      <c r="A990" s="84"/>
      <c r="B990" s="93" t="s">
        <v>231</v>
      </c>
      <c r="C990" s="94"/>
      <c r="D990" s="95"/>
      <c r="E990" s="95"/>
      <c r="F990" s="95"/>
      <c r="G990" s="95"/>
      <c r="H990" s="96"/>
      <c r="I990" s="96"/>
      <c r="J990" s="271"/>
    </row>
    <row r="991" spans="1:10">
      <c r="A991" s="84"/>
      <c r="B991" s="93" t="s">
        <v>231</v>
      </c>
      <c r="C991" s="94"/>
      <c r="D991" s="95"/>
      <c r="E991" s="95"/>
      <c r="F991" s="95"/>
      <c r="G991" s="95"/>
      <c r="H991" s="96"/>
      <c r="I991" s="96"/>
      <c r="J991" s="271"/>
    </row>
    <row r="992" spans="1:10">
      <c r="A992" s="84"/>
      <c r="B992" s="93" t="s">
        <v>231</v>
      </c>
      <c r="C992" s="94"/>
      <c r="D992" s="95"/>
      <c r="E992" s="95"/>
      <c r="F992" s="95"/>
      <c r="G992" s="95"/>
      <c r="H992" s="96"/>
      <c r="I992" s="96"/>
      <c r="J992" s="271"/>
    </row>
    <row r="993" spans="1:10">
      <c r="A993" s="84"/>
      <c r="B993" s="89"/>
      <c r="C993" s="97"/>
      <c r="D993" s="91"/>
      <c r="E993" s="91"/>
      <c r="F993" s="91"/>
      <c r="G993" s="91" t="s">
        <v>255</v>
      </c>
      <c r="H993" s="91"/>
      <c r="I993" s="91"/>
      <c r="J993" s="99">
        <f>+SUBTOTAL(9,J986:J992)</f>
        <v>148.62</v>
      </c>
    </row>
    <row r="994" spans="1:10">
      <c r="A994" s="84"/>
      <c r="B994" s="89"/>
      <c r="C994" s="97"/>
      <c r="D994" s="91"/>
      <c r="E994" s="91"/>
      <c r="F994" s="91" t="s">
        <v>256</v>
      </c>
      <c r="G994" s="91"/>
      <c r="H994" s="91"/>
      <c r="I994" s="91">
        <v>0</v>
      </c>
      <c r="J994" s="99">
        <f>+ROUND(I994*J993,2)</f>
        <v>0</v>
      </c>
    </row>
    <row r="995" spans="1:10">
      <c r="A995" s="84"/>
      <c r="B995" s="89"/>
      <c r="C995" s="97"/>
      <c r="D995" s="91"/>
      <c r="E995" s="91"/>
      <c r="F995" s="91" t="s">
        <v>257</v>
      </c>
      <c r="G995" s="91"/>
      <c r="H995" s="91"/>
      <c r="I995" s="91"/>
      <c r="J995" s="99">
        <f>+SUBTOTAL(9,J986:J994)</f>
        <v>148.62</v>
      </c>
    </row>
    <row r="996" spans="1:10">
      <c r="A996" s="84"/>
      <c r="B996" s="98"/>
      <c r="C996" s="97"/>
      <c r="D996" s="91"/>
      <c r="E996" s="91"/>
      <c r="F996" s="91"/>
      <c r="G996" s="91" t="s">
        <v>258</v>
      </c>
      <c r="H996" s="91"/>
      <c r="I996" s="91"/>
      <c r="J996" s="275">
        <f>+SUBTOTAL(9,J977:J995)</f>
        <v>182.8</v>
      </c>
    </row>
    <row r="997" spans="1:10">
      <c r="A997" s="84"/>
      <c r="B997" s="98"/>
      <c r="C997" s="97" t="s">
        <v>259</v>
      </c>
      <c r="D997" s="91">
        <v>4</v>
      </c>
      <c r="E997" s="91"/>
      <c r="F997" s="91"/>
      <c r="G997" s="91" t="s">
        <v>260</v>
      </c>
      <c r="H997" s="91"/>
      <c r="I997" s="91"/>
      <c r="J997" s="275">
        <f>+ROUND(J996/D997,2)</f>
        <v>45.7</v>
      </c>
    </row>
    <row r="998" spans="1:10">
      <c r="A998" s="84"/>
      <c r="B998" s="89" t="s">
        <v>228</v>
      </c>
      <c r="C998" s="90" t="s">
        <v>261</v>
      </c>
      <c r="D998" s="91"/>
      <c r="E998" s="91"/>
      <c r="F998" s="91"/>
      <c r="G998" s="92" t="s">
        <v>230</v>
      </c>
      <c r="H998" s="92" t="s">
        <v>262</v>
      </c>
      <c r="I998" s="92" t="s">
        <v>263</v>
      </c>
      <c r="J998" s="99" t="s">
        <v>264</v>
      </c>
    </row>
    <row r="999" spans="1:10">
      <c r="A999" s="84"/>
      <c r="B999" s="89" t="s">
        <v>465</v>
      </c>
      <c r="C999" s="90" t="s">
        <v>466</v>
      </c>
      <c r="D999" s="91"/>
      <c r="E999" s="91"/>
      <c r="F999" s="91"/>
      <c r="G999" s="92" t="s">
        <v>332</v>
      </c>
      <c r="H999" s="92">
        <v>11.49</v>
      </c>
      <c r="I999" s="92">
        <v>11.775</v>
      </c>
      <c r="J999" s="99">
        <f>+ROUND(H999*I999,2)</f>
        <v>135.29</v>
      </c>
    </row>
    <row r="1000" spans="1:10">
      <c r="A1000" s="84"/>
      <c r="B1000" s="93" t="s">
        <v>503</v>
      </c>
      <c r="C1000" s="94" t="s">
        <v>504</v>
      </c>
      <c r="D1000" s="95"/>
      <c r="E1000" s="95"/>
      <c r="F1000" s="95"/>
      <c r="G1000" s="96" t="s">
        <v>375</v>
      </c>
      <c r="H1000" s="96">
        <v>253.33</v>
      </c>
      <c r="I1000" s="96">
        <v>1.4</v>
      </c>
      <c r="J1000" s="271">
        <f>+ROUND(H1000*I1000,2)</f>
        <v>354.66</v>
      </c>
    </row>
    <row r="1001" spans="1:10">
      <c r="A1001" s="84"/>
      <c r="B1001" s="93" t="s">
        <v>471</v>
      </c>
      <c r="C1001" s="94" t="s">
        <v>472</v>
      </c>
      <c r="D1001" s="95"/>
      <c r="E1001" s="95"/>
      <c r="F1001" s="95"/>
      <c r="G1001" s="96" t="s">
        <v>270</v>
      </c>
      <c r="H1001" s="96">
        <v>33.99</v>
      </c>
      <c r="I1001" s="96">
        <v>1.1780000000000001E-2</v>
      </c>
      <c r="J1001" s="271">
        <f>+ROUND(H1001*I1001,2)</f>
        <v>0.4</v>
      </c>
    </row>
    <row r="1002" spans="1:10">
      <c r="A1002" s="84"/>
      <c r="B1002" s="93" t="s">
        <v>505</v>
      </c>
      <c r="C1002" s="94" t="s">
        <v>506</v>
      </c>
      <c r="D1002" s="95"/>
      <c r="E1002" s="95"/>
      <c r="F1002" s="95"/>
      <c r="G1002" s="96" t="s">
        <v>270</v>
      </c>
      <c r="H1002" s="96">
        <v>33.81</v>
      </c>
      <c r="I1002" s="96">
        <v>6.7000000000000002E-4</v>
      </c>
      <c r="J1002" s="271">
        <f>+ROUND(H1002*I1002,2)</f>
        <v>0.02</v>
      </c>
    </row>
    <row r="1003" spans="1:10">
      <c r="A1003" s="84"/>
      <c r="B1003" s="93" t="s">
        <v>231</v>
      </c>
      <c r="C1003" s="94"/>
      <c r="D1003" s="95"/>
      <c r="E1003" s="95"/>
      <c r="F1003" s="95"/>
      <c r="G1003" s="96"/>
      <c r="H1003" s="96"/>
      <c r="I1003" s="96"/>
      <c r="J1003" s="271"/>
    </row>
    <row r="1004" spans="1:10">
      <c r="A1004" s="84"/>
      <c r="B1004" s="93" t="s">
        <v>231</v>
      </c>
      <c r="C1004" s="94"/>
      <c r="D1004" s="95"/>
      <c r="E1004" s="95"/>
      <c r="F1004" s="95"/>
      <c r="G1004" s="96"/>
      <c r="H1004" s="96"/>
      <c r="I1004" s="96"/>
      <c r="J1004" s="271"/>
    </row>
    <row r="1005" spans="1:10">
      <c r="A1005" s="84"/>
      <c r="B1005" s="93" t="s">
        <v>231</v>
      </c>
      <c r="C1005" s="94"/>
      <c r="D1005" s="95"/>
      <c r="E1005" s="95"/>
      <c r="F1005" s="95"/>
      <c r="G1005" s="96"/>
      <c r="H1005" s="96"/>
      <c r="I1005" s="96"/>
      <c r="J1005" s="271"/>
    </row>
    <row r="1006" spans="1:10">
      <c r="A1006" s="84"/>
      <c r="B1006" s="89"/>
      <c r="C1006" s="97"/>
      <c r="D1006" s="91"/>
      <c r="E1006" s="91"/>
      <c r="F1006" s="91"/>
      <c r="G1006" s="91" t="s">
        <v>275</v>
      </c>
      <c r="H1006" s="91"/>
      <c r="I1006" s="91"/>
      <c r="J1006" s="99">
        <f>+SUBTOTAL(9,J999:J1005)</f>
        <v>490.37</v>
      </c>
    </row>
    <row r="1007" spans="1:10">
      <c r="A1007" s="84"/>
      <c r="B1007" s="89" t="s">
        <v>228</v>
      </c>
      <c r="C1007" s="90" t="s">
        <v>276</v>
      </c>
      <c r="D1007" s="91"/>
      <c r="E1007" s="91"/>
      <c r="F1007" s="91"/>
      <c r="G1007" s="92" t="s">
        <v>230</v>
      </c>
      <c r="H1007" s="92" t="s">
        <v>262</v>
      </c>
      <c r="I1007" s="92" t="s">
        <v>263</v>
      </c>
      <c r="J1007" s="99" t="s">
        <v>264</v>
      </c>
    </row>
    <row r="1008" spans="1:10">
      <c r="A1008" s="84"/>
      <c r="B1008" s="89" t="s">
        <v>477</v>
      </c>
      <c r="C1008" s="90" t="s">
        <v>478</v>
      </c>
      <c r="D1008" s="91"/>
      <c r="E1008" s="91"/>
      <c r="F1008" s="91"/>
      <c r="G1008" s="92" t="s">
        <v>375</v>
      </c>
      <c r="H1008" s="92">
        <v>15.83</v>
      </c>
      <c r="I1008" s="92">
        <v>1</v>
      </c>
      <c r="J1008" s="99">
        <f>+ROUND(H1008*I1008,2)</f>
        <v>15.83</v>
      </c>
    </row>
    <row r="1009" spans="1:10">
      <c r="A1009" s="84"/>
      <c r="B1009" s="93" t="s">
        <v>231</v>
      </c>
      <c r="C1009" s="94"/>
      <c r="D1009" s="95"/>
      <c r="E1009" s="95"/>
      <c r="F1009" s="95"/>
      <c r="G1009" s="96"/>
      <c r="H1009" s="96"/>
      <c r="I1009" s="96"/>
      <c r="J1009" s="271"/>
    </row>
    <row r="1010" spans="1:10">
      <c r="A1010" s="84"/>
      <c r="B1010" s="93" t="s">
        <v>231</v>
      </c>
      <c r="C1010" s="94"/>
      <c r="D1010" s="95"/>
      <c r="E1010" s="95"/>
      <c r="F1010" s="95"/>
      <c r="G1010" s="96"/>
      <c r="H1010" s="96"/>
      <c r="I1010" s="96"/>
      <c r="J1010" s="271"/>
    </row>
    <row r="1011" spans="1:10">
      <c r="A1011" s="84"/>
      <c r="B1011" s="93" t="s">
        <v>231</v>
      </c>
      <c r="C1011" s="94"/>
      <c r="D1011" s="95"/>
      <c r="E1011" s="95"/>
      <c r="F1011" s="95"/>
      <c r="G1011" s="96"/>
      <c r="H1011" s="96"/>
      <c r="I1011" s="96"/>
      <c r="J1011" s="271"/>
    </row>
    <row r="1012" spans="1:10">
      <c r="A1012" s="84"/>
      <c r="B1012" s="93" t="s">
        <v>231</v>
      </c>
      <c r="C1012" s="94"/>
      <c r="D1012" s="95"/>
      <c r="E1012" s="95"/>
      <c r="F1012" s="95"/>
      <c r="G1012" s="96"/>
      <c r="H1012" s="96"/>
      <c r="I1012" s="96"/>
      <c r="J1012" s="271"/>
    </row>
    <row r="1013" spans="1:10">
      <c r="A1013" s="84"/>
      <c r="B1013" s="89"/>
      <c r="C1013" s="97"/>
      <c r="D1013" s="91"/>
      <c r="E1013" s="91"/>
      <c r="F1013" s="91"/>
      <c r="G1013" s="91" t="s">
        <v>279</v>
      </c>
      <c r="H1013" s="91"/>
      <c r="I1013" s="91"/>
      <c r="J1013" s="99">
        <f>+SUBTOTAL(9,J1008:J1012)</f>
        <v>15.83</v>
      </c>
    </row>
    <row r="1014" spans="1:10">
      <c r="A1014" s="84"/>
      <c r="B1014" s="89" t="s">
        <v>228</v>
      </c>
      <c r="C1014" s="90" t="s">
        <v>280</v>
      </c>
      <c r="D1014" s="92" t="s">
        <v>281</v>
      </c>
      <c r="E1014" s="92" t="s">
        <v>282</v>
      </c>
      <c r="F1014" s="92" t="s">
        <v>283</v>
      </c>
      <c r="G1014" s="92" t="s">
        <v>284</v>
      </c>
      <c r="H1014" s="92" t="s">
        <v>285</v>
      </c>
      <c r="I1014" s="92" t="s">
        <v>263</v>
      </c>
      <c r="J1014" s="99" t="s">
        <v>286</v>
      </c>
    </row>
    <row r="1015" spans="1:10">
      <c r="A1015" s="84"/>
      <c r="B1015" s="89" t="s">
        <v>479</v>
      </c>
      <c r="C1015" s="90" t="s">
        <v>480</v>
      </c>
      <c r="D1015" s="92" t="s">
        <v>289</v>
      </c>
      <c r="E1015" s="92">
        <v>0</v>
      </c>
      <c r="F1015" s="92">
        <v>56.58</v>
      </c>
      <c r="G1015" s="92">
        <v>56.58</v>
      </c>
      <c r="H1015" s="92">
        <v>0.74</v>
      </c>
      <c r="I1015" s="92">
        <v>1.1780000000000001E-2</v>
      </c>
      <c r="J1015" s="99">
        <f>+ROUND(G1015*H1015*I1015,2)</f>
        <v>0.49</v>
      </c>
    </row>
    <row r="1016" spans="1:10">
      <c r="A1016" s="84"/>
      <c r="B1016" s="93" t="s">
        <v>507</v>
      </c>
      <c r="C1016" s="94" t="s">
        <v>508</v>
      </c>
      <c r="D1016" s="96" t="s">
        <v>289</v>
      </c>
      <c r="E1016" s="96">
        <v>0</v>
      </c>
      <c r="F1016" s="96">
        <v>56.58</v>
      </c>
      <c r="G1016" s="96">
        <v>56.58</v>
      </c>
      <c r="H1016" s="96">
        <v>0.74</v>
      </c>
      <c r="I1016" s="96">
        <v>6.7000000000000002E-4</v>
      </c>
      <c r="J1016" s="271">
        <f>+ROUND(G1016*H1016*I1016,2)</f>
        <v>0.03</v>
      </c>
    </row>
    <row r="1017" spans="1:10">
      <c r="A1017" s="84"/>
      <c r="B1017" s="93" t="s">
        <v>231</v>
      </c>
      <c r="C1017" s="94"/>
      <c r="D1017" s="96"/>
      <c r="E1017" s="96"/>
      <c r="F1017" s="96"/>
      <c r="G1017" s="96"/>
      <c r="H1017" s="96"/>
      <c r="I1017" s="96"/>
      <c r="J1017" s="271"/>
    </row>
    <row r="1018" spans="1:10">
      <c r="A1018" s="84"/>
      <c r="B1018" s="93" t="s">
        <v>231</v>
      </c>
      <c r="C1018" s="94"/>
      <c r="D1018" s="96"/>
      <c r="E1018" s="96"/>
      <c r="F1018" s="96"/>
      <c r="G1018" s="96"/>
      <c r="H1018" s="96"/>
      <c r="I1018" s="96"/>
      <c r="J1018" s="271"/>
    </row>
    <row r="1019" spans="1:10">
      <c r="A1019" s="84"/>
      <c r="B1019" s="93" t="s">
        <v>231</v>
      </c>
      <c r="C1019" s="94"/>
      <c r="D1019" s="96"/>
      <c r="E1019" s="96"/>
      <c r="F1019" s="96"/>
      <c r="G1019" s="96"/>
      <c r="H1019" s="96"/>
      <c r="I1019" s="96"/>
      <c r="J1019" s="271"/>
    </row>
    <row r="1020" spans="1:10">
      <c r="A1020" s="84"/>
      <c r="B1020" s="93" t="s">
        <v>231</v>
      </c>
      <c r="C1020" s="94"/>
      <c r="D1020" s="96"/>
      <c r="E1020" s="96"/>
      <c r="F1020" s="96"/>
      <c r="G1020" s="96"/>
      <c r="H1020" s="96"/>
      <c r="I1020" s="96"/>
      <c r="J1020" s="271"/>
    </row>
    <row r="1021" spans="1:10">
      <c r="A1021" s="84"/>
      <c r="B1021" s="93" t="s">
        <v>231</v>
      </c>
      <c r="C1021" s="94"/>
      <c r="D1021" s="96"/>
      <c r="E1021" s="96"/>
      <c r="F1021" s="96"/>
      <c r="G1021" s="96"/>
      <c r="H1021" s="96"/>
      <c r="I1021" s="96"/>
      <c r="J1021" s="271"/>
    </row>
    <row r="1022" spans="1:10">
      <c r="A1022" s="84"/>
      <c r="B1022" s="89"/>
      <c r="C1022" s="97"/>
      <c r="D1022" s="91"/>
      <c r="E1022" s="91"/>
      <c r="F1022" s="91"/>
      <c r="G1022" s="91" t="s">
        <v>290</v>
      </c>
      <c r="H1022" s="91"/>
      <c r="I1022" s="91"/>
      <c r="J1022" s="99">
        <f>+SUBTOTAL(9,J1015:J1021)</f>
        <v>0.52</v>
      </c>
    </row>
    <row r="1023" spans="1:10">
      <c r="A1023" s="84"/>
      <c r="B1023" s="89" t="s">
        <v>291</v>
      </c>
      <c r="C1023" s="97"/>
      <c r="D1023" s="91"/>
      <c r="E1023" s="91"/>
      <c r="F1023" s="91"/>
      <c r="G1023" s="91"/>
      <c r="H1023" s="91"/>
      <c r="I1023" s="91"/>
      <c r="J1023" s="99">
        <f>+SUBTOTAL(9,J997:J1021)</f>
        <v>552.42000000000007</v>
      </c>
    </row>
    <row r="1024" spans="1:10">
      <c r="A1024" s="84"/>
      <c r="B1024" s="89" t="s">
        <v>292</v>
      </c>
      <c r="C1024" s="97"/>
      <c r="D1024" s="91">
        <v>0</v>
      </c>
      <c r="E1024" s="91"/>
      <c r="F1024" s="91"/>
      <c r="G1024" s="91"/>
      <c r="H1024" s="91"/>
      <c r="I1024" s="91"/>
      <c r="J1024" s="99">
        <f>+ROUND(J1023*D1024/100,2)</f>
        <v>0</v>
      </c>
    </row>
    <row r="1025" spans="1:10" ht="14.4" thickBot="1">
      <c r="A1025" s="84"/>
      <c r="B1025" s="89" t="s">
        <v>293</v>
      </c>
      <c r="C1025" s="97"/>
      <c r="D1025" s="91"/>
      <c r="E1025" s="91"/>
      <c r="F1025" s="91"/>
      <c r="G1025" s="91"/>
      <c r="H1025" s="91"/>
      <c r="I1025" s="91"/>
      <c r="J1025" s="99">
        <f>+J1023+ J1024</f>
        <v>552.42000000000007</v>
      </c>
    </row>
    <row r="1026" spans="1:10">
      <c r="A1026" s="84"/>
      <c r="B1026" s="85" t="s">
        <v>294</v>
      </c>
      <c r="C1026" s="86"/>
      <c r="D1026" s="88"/>
      <c r="E1026" s="88"/>
      <c r="F1026" s="88" t="s">
        <v>295</v>
      </c>
      <c r="G1026" s="88"/>
      <c r="H1026" s="88"/>
      <c r="I1026" s="88" t="s">
        <v>296</v>
      </c>
      <c r="J1026" s="270"/>
    </row>
    <row r="1027" spans="1:10">
      <c r="A1027" s="84"/>
      <c r="B1027" s="93" t="s">
        <v>297</v>
      </c>
      <c r="C1027" s="84"/>
      <c r="D1027" s="95"/>
      <c r="E1027" s="95"/>
      <c r="F1027" s="95" t="s">
        <v>298</v>
      </c>
      <c r="G1027" s="95"/>
      <c r="H1027" s="95"/>
      <c r="I1027" s="95"/>
      <c r="J1027" s="276"/>
    </row>
    <row r="1028" spans="1:10">
      <c r="A1028" s="84"/>
      <c r="B1028" s="93" t="s">
        <v>299</v>
      </c>
      <c r="C1028" s="84"/>
      <c r="D1028" s="95"/>
      <c r="E1028" s="95"/>
      <c r="F1028" s="95" t="s">
        <v>300</v>
      </c>
      <c r="G1028" s="95"/>
      <c r="H1028" s="95"/>
      <c r="I1028" s="95"/>
      <c r="J1028" s="276"/>
    </row>
    <row r="1029" spans="1:10" ht="14.4" thickBot="1">
      <c r="A1029" s="84"/>
      <c r="B1029" s="100" t="s">
        <v>301</v>
      </c>
      <c r="C1029" s="84"/>
      <c r="D1029" s="95"/>
      <c r="E1029" s="95"/>
      <c r="F1029" s="95"/>
      <c r="G1029" s="95"/>
      <c r="H1029" s="95"/>
      <c r="I1029" s="95"/>
      <c r="J1029" s="277"/>
    </row>
    <row r="1030" spans="1:10">
      <c r="A1030" s="84"/>
      <c r="B1030" s="86"/>
      <c r="C1030" s="86"/>
      <c r="D1030" s="88"/>
      <c r="E1030" s="88"/>
      <c r="F1030" s="88"/>
      <c r="G1030" s="88"/>
      <c r="H1030" s="88"/>
      <c r="I1030" s="88"/>
      <c r="J1030" s="88"/>
    </row>
    <row r="1031" spans="1:10" ht="14.4" thickBot="1">
      <c r="A1031" s="84"/>
      <c r="B1031" s="84"/>
      <c r="C1031" s="84"/>
      <c r="D1031" s="95"/>
      <c r="E1031" s="95"/>
      <c r="F1031" s="95"/>
      <c r="G1031" s="95"/>
      <c r="H1031" s="95"/>
      <c r="I1031" s="95"/>
      <c r="J1031" s="95"/>
    </row>
    <row r="1032" spans="1:10">
      <c r="A1032" s="84"/>
      <c r="B1032" s="85"/>
      <c r="C1032" s="86"/>
      <c r="D1032" s="87" t="s">
        <v>227</v>
      </c>
      <c r="E1032" s="87"/>
      <c r="F1032" s="87"/>
      <c r="G1032" s="88"/>
      <c r="H1032" s="88"/>
      <c r="I1032" s="88"/>
      <c r="J1032" s="270"/>
    </row>
    <row r="1033" spans="1:10">
      <c r="A1033" s="84"/>
      <c r="B1033" s="89" t="s">
        <v>228</v>
      </c>
      <c r="C1033" s="90" t="s">
        <v>92</v>
      </c>
      <c r="D1033" s="91"/>
      <c r="E1033" s="91"/>
      <c r="F1033" s="91"/>
      <c r="G1033" s="91"/>
      <c r="H1033" s="92" t="s">
        <v>229</v>
      </c>
      <c r="I1033" s="91"/>
      <c r="J1033" s="99" t="s">
        <v>230</v>
      </c>
    </row>
    <row r="1034" spans="1:10">
      <c r="A1034" s="84"/>
      <c r="B1034" s="93" t="s">
        <v>231</v>
      </c>
      <c r="C1034" s="94" t="s">
        <v>509</v>
      </c>
      <c r="D1034" s="95"/>
      <c r="E1034" s="95"/>
      <c r="F1034" s="95"/>
      <c r="G1034" s="95"/>
      <c r="H1034" s="96" t="s">
        <v>233</v>
      </c>
      <c r="I1034" s="95"/>
      <c r="J1034" s="271" t="s">
        <v>386</v>
      </c>
    </row>
    <row r="1035" spans="1:10">
      <c r="A1035" s="84"/>
      <c r="B1035" s="89"/>
      <c r="C1035" s="90"/>
      <c r="D1035" s="91"/>
      <c r="E1035" s="92"/>
      <c r="F1035" s="92" t="s">
        <v>235</v>
      </c>
      <c r="G1035" s="92"/>
      <c r="H1035" s="92" t="s">
        <v>236</v>
      </c>
      <c r="I1035" s="92"/>
      <c r="J1035" s="99" t="s">
        <v>237</v>
      </c>
    </row>
    <row r="1036" spans="1:10">
      <c r="A1036" s="84"/>
      <c r="B1036" s="93" t="s">
        <v>228</v>
      </c>
      <c r="C1036" s="94" t="s">
        <v>238</v>
      </c>
      <c r="D1036" s="95"/>
      <c r="E1036" s="96" t="s">
        <v>239</v>
      </c>
      <c r="F1036" s="92" t="s">
        <v>240</v>
      </c>
      <c r="G1036" s="92" t="s">
        <v>241</v>
      </c>
      <c r="H1036" s="92" t="s">
        <v>240</v>
      </c>
      <c r="I1036" s="272" t="s">
        <v>241</v>
      </c>
      <c r="J1036" s="271" t="s">
        <v>242</v>
      </c>
    </row>
    <row r="1037" spans="1:10">
      <c r="A1037" s="84"/>
      <c r="B1037" s="273" t="s">
        <v>510</v>
      </c>
      <c r="C1037" s="90" t="s">
        <v>511</v>
      </c>
      <c r="D1037" s="91"/>
      <c r="E1037" s="92">
        <v>1</v>
      </c>
      <c r="F1037" s="92">
        <v>0.3</v>
      </c>
      <c r="G1037" s="92">
        <v>0.7</v>
      </c>
      <c r="H1037" s="92">
        <v>356.52</v>
      </c>
      <c r="I1037" s="92">
        <v>149.85</v>
      </c>
      <c r="J1037" s="99">
        <f>+ROUND(E1037* ((F1037*H1037) + (G1037*I1037)),2)</f>
        <v>211.85</v>
      </c>
    </row>
    <row r="1038" spans="1:10">
      <c r="A1038" s="84"/>
      <c r="B1038" s="93" t="s">
        <v>231</v>
      </c>
      <c r="C1038" s="94"/>
      <c r="D1038" s="95"/>
      <c r="E1038" s="96"/>
      <c r="F1038" s="96"/>
      <c r="G1038" s="96"/>
      <c r="H1038" s="96"/>
      <c r="I1038" s="96"/>
      <c r="J1038" s="271"/>
    </row>
    <row r="1039" spans="1:10">
      <c r="A1039" s="84"/>
      <c r="B1039" s="93" t="s">
        <v>231</v>
      </c>
      <c r="C1039" s="94"/>
      <c r="D1039" s="95"/>
      <c r="E1039" s="96"/>
      <c r="F1039" s="96"/>
      <c r="G1039" s="96"/>
      <c r="H1039" s="96"/>
      <c r="I1039" s="96"/>
      <c r="J1039" s="271"/>
    </row>
    <row r="1040" spans="1:10">
      <c r="A1040" s="84"/>
      <c r="B1040" s="93" t="s">
        <v>231</v>
      </c>
      <c r="C1040" s="94"/>
      <c r="D1040" s="95"/>
      <c r="E1040" s="96"/>
      <c r="F1040" s="96"/>
      <c r="G1040" s="96"/>
      <c r="H1040" s="96"/>
      <c r="I1040" s="96"/>
      <c r="J1040" s="271"/>
    </row>
    <row r="1041" spans="1:10">
      <c r="A1041" s="84"/>
      <c r="B1041" s="93" t="s">
        <v>231</v>
      </c>
      <c r="C1041" s="94"/>
      <c r="D1041" s="95"/>
      <c r="E1041" s="96"/>
      <c r="F1041" s="96"/>
      <c r="G1041" s="96"/>
      <c r="H1041" s="96"/>
      <c r="I1041" s="96"/>
      <c r="J1041" s="271"/>
    </row>
    <row r="1042" spans="1:10">
      <c r="A1042" s="84"/>
      <c r="B1042" s="93" t="s">
        <v>231</v>
      </c>
      <c r="C1042" s="94"/>
      <c r="D1042" s="95"/>
      <c r="E1042" s="96"/>
      <c r="F1042" s="96"/>
      <c r="G1042" s="96"/>
      <c r="H1042" s="96"/>
      <c r="I1042" s="96"/>
      <c r="J1042" s="271"/>
    </row>
    <row r="1043" spans="1:10">
      <c r="A1043" s="84"/>
      <c r="B1043" s="93" t="s">
        <v>231</v>
      </c>
      <c r="C1043" s="94"/>
      <c r="D1043" s="95"/>
      <c r="E1043" s="96"/>
      <c r="F1043" s="96"/>
      <c r="G1043" s="96"/>
      <c r="H1043" s="96"/>
      <c r="I1043" s="96"/>
      <c r="J1043" s="271"/>
    </row>
    <row r="1044" spans="1:10">
      <c r="A1044" s="84"/>
      <c r="B1044" s="89"/>
      <c r="C1044" s="97"/>
      <c r="D1044" s="91"/>
      <c r="E1044" s="91"/>
      <c r="F1044" s="91"/>
      <c r="G1044" s="91" t="s">
        <v>249</v>
      </c>
      <c r="H1044" s="91"/>
      <c r="I1044" s="91"/>
      <c r="J1044" s="99">
        <f>+SUBTOTAL(9,J1037:J1043)</f>
        <v>211.85</v>
      </c>
    </row>
    <row r="1045" spans="1:10">
      <c r="A1045" s="84"/>
      <c r="B1045" s="89" t="s">
        <v>228</v>
      </c>
      <c r="C1045" s="90" t="s">
        <v>250</v>
      </c>
      <c r="D1045" s="91"/>
      <c r="E1045" s="91"/>
      <c r="F1045" s="91"/>
      <c r="G1045" s="91"/>
      <c r="H1045" s="92" t="s">
        <v>239</v>
      </c>
      <c r="I1045" s="92" t="s">
        <v>251</v>
      </c>
      <c r="J1045" s="99" t="s">
        <v>252</v>
      </c>
    </row>
    <row r="1046" spans="1:10">
      <c r="A1046" s="84"/>
      <c r="B1046" s="89" t="s">
        <v>461</v>
      </c>
      <c r="C1046" s="90" t="s">
        <v>462</v>
      </c>
      <c r="D1046" s="91"/>
      <c r="E1046" s="91"/>
      <c r="F1046" s="91"/>
      <c r="G1046" s="91"/>
      <c r="H1046" s="92">
        <v>3</v>
      </c>
      <c r="I1046" s="92">
        <v>22.84</v>
      </c>
      <c r="J1046" s="99">
        <f>+ROUND(H1046*I1046,2)</f>
        <v>68.52</v>
      </c>
    </row>
    <row r="1047" spans="1:10">
      <c r="A1047" s="84"/>
      <c r="B1047" s="93" t="s">
        <v>431</v>
      </c>
      <c r="C1047" s="94" t="s">
        <v>432</v>
      </c>
      <c r="D1047" s="95"/>
      <c r="E1047" s="95"/>
      <c r="F1047" s="95"/>
      <c r="G1047" s="95"/>
      <c r="H1047" s="96">
        <v>1</v>
      </c>
      <c r="I1047" s="96">
        <v>29.27</v>
      </c>
      <c r="J1047" s="271">
        <f>+ROUND(H1047*I1047,2)</f>
        <v>29.27</v>
      </c>
    </row>
    <row r="1048" spans="1:10">
      <c r="A1048" s="84"/>
      <c r="B1048" s="93" t="s">
        <v>231</v>
      </c>
      <c r="C1048" s="94"/>
      <c r="D1048" s="95"/>
      <c r="E1048" s="95"/>
      <c r="F1048" s="95"/>
      <c r="G1048" s="95"/>
      <c r="H1048" s="96"/>
      <c r="I1048" s="96"/>
      <c r="J1048" s="271"/>
    </row>
    <row r="1049" spans="1:10">
      <c r="A1049" s="84"/>
      <c r="B1049" s="93" t="s">
        <v>231</v>
      </c>
      <c r="C1049" s="94"/>
      <c r="D1049" s="95"/>
      <c r="E1049" s="95"/>
      <c r="F1049" s="95"/>
      <c r="G1049" s="95"/>
      <c r="H1049" s="96"/>
      <c r="I1049" s="96"/>
      <c r="J1049" s="271"/>
    </row>
    <row r="1050" spans="1:10">
      <c r="A1050" s="84"/>
      <c r="B1050" s="93" t="s">
        <v>231</v>
      </c>
      <c r="C1050" s="94"/>
      <c r="D1050" s="95"/>
      <c r="E1050" s="95"/>
      <c r="F1050" s="95"/>
      <c r="G1050" s="95"/>
      <c r="H1050" s="96"/>
      <c r="I1050" s="96"/>
      <c r="J1050" s="271"/>
    </row>
    <row r="1051" spans="1:10">
      <c r="A1051" s="84"/>
      <c r="B1051" s="93" t="s">
        <v>231</v>
      </c>
      <c r="C1051" s="94"/>
      <c r="D1051" s="95"/>
      <c r="E1051" s="95"/>
      <c r="F1051" s="95"/>
      <c r="G1051" s="95"/>
      <c r="H1051" s="96"/>
      <c r="I1051" s="96"/>
      <c r="J1051" s="271"/>
    </row>
    <row r="1052" spans="1:10">
      <c r="A1052" s="84"/>
      <c r="B1052" s="93" t="s">
        <v>231</v>
      </c>
      <c r="C1052" s="94"/>
      <c r="D1052" s="95"/>
      <c r="E1052" s="95"/>
      <c r="F1052" s="95"/>
      <c r="G1052" s="95"/>
      <c r="H1052" s="96"/>
      <c r="I1052" s="96"/>
      <c r="J1052" s="271"/>
    </row>
    <row r="1053" spans="1:10">
      <c r="A1053" s="84"/>
      <c r="B1053" s="89"/>
      <c r="C1053" s="97"/>
      <c r="D1053" s="91"/>
      <c r="E1053" s="91"/>
      <c r="F1053" s="91"/>
      <c r="G1053" s="91" t="s">
        <v>255</v>
      </c>
      <c r="H1053" s="91"/>
      <c r="I1053" s="91"/>
      <c r="J1053" s="99">
        <f>+SUBTOTAL(9,J1046:J1052)</f>
        <v>97.789999999999992</v>
      </c>
    </row>
    <row r="1054" spans="1:10">
      <c r="A1054" s="84"/>
      <c r="B1054" s="89"/>
      <c r="C1054" s="97"/>
      <c r="D1054" s="91"/>
      <c r="E1054" s="91"/>
      <c r="F1054" s="91" t="s">
        <v>256</v>
      </c>
      <c r="G1054" s="91"/>
      <c r="H1054" s="91"/>
      <c r="I1054" s="91">
        <v>0</v>
      </c>
      <c r="J1054" s="99">
        <f>+ROUND(I1054*J1053,2)</f>
        <v>0</v>
      </c>
    </row>
    <row r="1055" spans="1:10">
      <c r="A1055" s="84"/>
      <c r="B1055" s="89"/>
      <c r="C1055" s="97"/>
      <c r="D1055" s="91"/>
      <c r="E1055" s="91"/>
      <c r="F1055" s="91" t="s">
        <v>257</v>
      </c>
      <c r="G1055" s="91"/>
      <c r="H1055" s="91"/>
      <c r="I1055" s="91"/>
      <c r="J1055" s="99">
        <f>+SUBTOTAL(9,J1046:J1054)</f>
        <v>97.789999999999992</v>
      </c>
    </row>
    <row r="1056" spans="1:10">
      <c r="A1056" s="84"/>
      <c r="B1056" s="98"/>
      <c r="C1056" s="97"/>
      <c r="D1056" s="91"/>
      <c r="E1056" s="91"/>
      <c r="F1056" s="91"/>
      <c r="G1056" s="91" t="s">
        <v>258</v>
      </c>
      <c r="H1056" s="91"/>
      <c r="I1056" s="91"/>
      <c r="J1056" s="275">
        <f>+SUBTOTAL(9,J1037:J1055)</f>
        <v>309.64</v>
      </c>
    </row>
    <row r="1057" spans="1:10">
      <c r="A1057" s="84"/>
      <c r="B1057" s="98"/>
      <c r="C1057" s="97" t="s">
        <v>259</v>
      </c>
      <c r="D1057" s="91">
        <v>1</v>
      </c>
      <c r="E1057" s="91"/>
      <c r="F1057" s="91"/>
      <c r="G1057" s="91" t="s">
        <v>260</v>
      </c>
      <c r="H1057" s="91"/>
      <c r="I1057" s="91"/>
      <c r="J1057" s="275">
        <f>+ROUND(J1056/D1057,2)</f>
        <v>309.64</v>
      </c>
    </row>
    <row r="1058" spans="1:10">
      <c r="A1058" s="84"/>
      <c r="B1058" s="89" t="s">
        <v>228</v>
      </c>
      <c r="C1058" s="90" t="s">
        <v>261</v>
      </c>
      <c r="D1058" s="91"/>
      <c r="E1058" s="91"/>
      <c r="F1058" s="91"/>
      <c r="G1058" s="92" t="s">
        <v>230</v>
      </c>
      <c r="H1058" s="92" t="s">
        <v>262</v>
      </c>
      <c r="I1058" s="92" t="s">
        <v>263</v>
      </c>
      <c r="J1058" s="99" t="s">
        <v>264</v>
      </c>
    </row>
    <row r="1059" spans="1:10">
      <c r="A1059" s="84"/>
      <c r="B1059" s="89" t="s">
        <v>512</v>
      </c>
      <c r="C1059" s="90" t="s">
        <v>513</v>
      </c>
      <c r="D1059" s="91"/>
      <c r="E1059" s="91"/>
      <c r="F1059" s="91"/>
      <c r="G1059" s="92" t="s">
        <v>267</v>
      </c>
      <c r="H1059" s="92">
        <v>3019.95</v>
      </c>
      <c r="I1059" s="92">
        <v>0.25</v>
      </c>
      <c r="J1059" s="99">
        <f>+ROUND(H1059*I1059,2)</f>
        <v>754.99</v>
      </c>
    </row>
    <row r="1060" spans="1:10">
      <c r="A1060" s="84"/>
      <c r="B1060" s="93" t="s">
        <v>514</v>
      </c>
      <c r="C1060" s="94" t="s">
        <v>515</v>
      </c>
      <c r="D1060" s="95"/>
      <c r="E1060" s="95"/>
      <c r="F1060" s="95"/>
      <c r="G1060" s="96" t="s">
        <v>270</v>
      </c>
      <c r="H1060" s="96">
        <v>18.48</v>
      </c>
      <c r="I1060" s="96">
        <v>0.03</v>
      </c>
      <c r="J1060" s="271">
        <f>+ROUND(H1060*I1060,2)</f>
        <v>0.55000000000000004</v>
      </c>
    </row>
    <row r="1061" spans="1:10">
      <c r="A1061" s="84"/>
      <c r="B1061" s="93" t="s">
        <v>231</v>
      </c>
      <c r="C1061" s="94"/>
      <c r="D1061" s="95"/>
      <c r="E1061" s="95"/>
      <c r="F1061" s="95"/>
      <c r="G1061" s="96"/>
      <c r="H1061" s="96"/>
      <c r="I1061" s="96"/>
      <c r="J1061" s="271"/>
    </row>
    <row r="1062" spans="1:10">
      <c r="A1062" s="84"/>
      <c r="B1062" s="93" t="s">
        <v>231</v>
      </c>
      <c r="C1062" s="94"/>
      <c r="D1062" s="95"/>
      <c r="E1062" s="95"/>
      <c r="F1062" s="95"/>
      <c r="G1062" s="96"/>
      <c r="H1062" s="96"/>
      <c r="I1062" s="96"/>
      <c r="J1062" s="271"/>
    </row>
    <row r="1063" spans="1:10">
      <c r="A1063" s="84"/>
      <c r="B1063" s="93" t="s">
        <v>231</v>
      </c>
      <c r="C1063" s="94"/>
      <c r="D1063" s="95"/>
      <c r="E1063" s="95"/>
      <c r="F1063" s="95"/>
      <c r="G1063" s="96"/>
      <c r="H1063" s="96"/>
      <c r="I1063" s="96"/>
      <c r="J1063" s="271"/>
    </row>
    <row r="1064" spans="1:10">
      <c r="A1064" s="84"/>
      <c r="B1064" s="93" t="s">
        <v>231</v>
      </c>
      <c r="C1064" s="94"/>
      <c r="D1064" s="95"/>
      <c r="E1064" s="95"/>
      <c r="F1064" s="95"/>
      <c r="G1064" s="96"/>
      <c r="H1064" s="96"/>
      <c r="I1064" s="96"/>
      <c r="J1064" s="271"/>
    </row>
    <row r="1065" spans="1:10">
      <c r="A1065" s="84"/>
      <c r="B1065" s="93" t="s">
        <v>231</v>
      </c>
      <c r="C1065" s="94"/>
      <c r="D1065" s="95"/>
      <c r="E1065" s="95"/>
      <c r="F1065" s="95"/>
      <c r="G1065" s="96"/>
      <c r="H1065" s="96"/>
      <c r="I1065" s="96"/>
      <c r="J1065" s="271"/>
    </row>
    <row r="1066" spans="1:10">
      <c r="A1066" s="84"/>
      <c r="B1066" s="89"/>
      <c r="C1066" s="97"/>
      <c r="D1066" s="91"/>
      <c r="E1066" s="91"/>
      <c r="F1066" s="91"/>
      <c r="G1066" s="91" t="s">
        <v>275</v>
      </c>
      <c r="H1066" s="91"/>
      <c r="I1066" s="91"/>
      <c r="J1066" s="99">
        <f>+SUBTOTAL(9,J1059:J1065)</f>
        <v>755.54</v>
      </c>
    </row>
    <row r="1067" spans="1:10">
      <c r="A1067" s="84"/>
      <c r="B1067" s="89" t="s">
        <v>228</v>
      </c>
      <c r="C1067" s="90" t="s">
        <v>276</v>
      </c>
      <c r="D1067" s="91"/>
      <c r="E1067" s="91"/>
      <c r="F1067" s="91"/>
      <c r="G1067" s="92" t="s">
        <v>230</v>
      </c>
      <c r="H1067" s="92" t="s">
        <v>262</v>
      </c>
      <c r="I1067" s="92" t="s">
        <v>263</v>
      </c>
      <c r="J1067" s="99" t="s">
        <v>264</v>
      </c>
    </row>
    <row r="1068" spans="1:10">
      <c r="A1068" s="84"/>
      <c r="B1068" s="89" t="s">
        <v>231</v>
      </c>
      <c r="C1068" s="90"/>
      <c r="D1068" s="91"/>
      <c r="E1068" s="91"/>
      <c r="F1068" s="91"/>
      <c r="G1068" s="92"/>
      <c r="H1068" s="92"/>
      <c r="I1068" s="92"/>
      <c r="J1068" s="99"/>
    </row>
    <row r="1069" spans="1:10">
      <c r="A1069" s="84"/>
      <c r="B1069" s="93" t="s">
        <v>231</v>
      </c>
      <c r="C1069" s="94"/>
      <c r="D1069" s="95"/>
      <c r="E1069" s="95"/>
      <c r="F1069" s="95"/>
      <c r="G1069" s="96"/>
      <c r="H1069" s="96"/>
      <c r="I1069" s="96"/>
      <c r="J1069" s="271"/>
    </row>
    <row r="1070" spans="1:10">
      <c r="A1070" s="84"/>
      <c r="B1070" s="93" t="s">
        <v>231</v>
      </c>
      <c r="C1070" s="94"/>
      <c r="D1070" s="95"/>
      <c r="E1070" s="95"/>
      <c r="F1070" s="95"/>
      <c r="G1070" s="96"/>
      <c r="H1070" s="96"/>
      <c r="I1070" s="96"/>
      <c r="J1070" s="271"/>
    </row>
    <row r="1071" spans="1:10">
      <c r="A1071" s="84"/>
      <c r="B1071" s="93" t="s">
        <v>231</v>
      </c>
      <c r="C1071" s="94"/>
      <c r="D1071" s="95"/>
      <c r="E1071" s="95"/>
      <c r="F1071" s="95"/>
      <c r="G1071" s="96"/>
      <c r="H1071" s="96"/>
      <c r="I1071" s="96"/>
      <c r="J1071" s="271"/>
    </row>
    <row r="1072" spans="1:10">
      <c r="A1072" s="84"/>
      <c r="B1072" s="93" t="s">
        <v>231</v>
      </c>
      <c r="C1072" s="94"/>
      <c r="D1072" s="95"/>
      <c r="E1072" s="95"/>
      <c r="F1072" s="95"/>
      <c r="G1072" s="96"/>
      <c r="H1072" s="96"/>
      <c r="I1072" s="96"/>
      <c r="J1072" s="271"/>
    </row>
    <row r="1073" spans="1:10">
      <c r="A1073" s="84"/>
      <c r="B1073" s="89"/>
      <c r="C1073" s="97"/>
      <c r="D1073" s="91"/>
      <c r="E1073" s="91"/>
      <c r="F1073" s="91"/>
      <c r="G1073" s="91" t="s">
        <v>279</v>
      </c>
      <c r="H1073" s="91"/>
      <c r="I1073" s="91"/>
      <c r="J1073" s="99">
        <f>+SUBTOTAL(9,J1068:J1072)</f>
        <v>0</v>
      </c>
    </row>
    <row r="1074" spans="1:10">
      <c r="A1074" s="84"/>
      <c r="B1074" s="89" t="s">
        <v>228</v>
      </c>
      <c r="C1074" s="90" t="s">
        <v>280</v>
      </c>
      <c r="D1074" s="92" t="s">
        <v>281</v>
      </c>
      <c r="E1074" s="92" t="s">
        <v>282</v>
      </c>
      <c r="F1074" s="92" t="s">
        <v>283</v>
      </c>
      <c r="G1074" s="92" t="s">
        <v>284</v>
      </c>
      <c r="H1074" s="92" t="s">
        <v>285</v>
      </c>
      <c r="I1074" s="92" t="s">
        <v>263</v>
      </c>
      <c r="J1074" s="99" t="s">
        <v>286</v>
      </c>
    </row>
    <row r="1075" spans="1:10">
      <c r="A1075" s="84"/>
      <c r="B1075" s="89" t="s">
        <v>516</v>
      </c>
      <c r="C1075" s="90" t="s">
        <v>517</v>
      </c>
      <c r="D1075" s="92" t="s">
        <v>289</v>
      </c>
      <c r="E1075" s="92">
        <v>0</v>
      </c>
      <c r="F1075" s="92">
        <v>56.58</v>
      </c>
      <c r="G1075" s="92">
        <v>56.58</v>
      </c>
      <c r="H1075" s="92">
        <v>1.81</v>
      </c>
      <c r="I1075" s="92">
        <v>0.03</v>
      </c>
      <c r="J1075" s="99">
        <f>+ROUND(G1075*H1075*I1075,2)</f>
        <v>3.07</v>
      </c>
    </row>
    <row r="1076" spans="1:10">
      <c r="A1076" s="84"/>
      <c r="B1076" s="93" t="s">
        <v>231</v>
      </c>
      <c r="C1076" s="94"/>
      <c r="D1076" s="96"/>
      <c r="E1076" s="96"/>
      <c r="F1076" s="96"/>
      <c r="G1076" s="96"/>
      <c r="H1076" s="96"/>
      <c r="I1076" s="96"/>
      <c r="J1076" s="271"/>
    </row>
    <row r="1077" spans="1:10">
      <c r="A1077" s="84"/>
      <c r="B1077" s="93" t="s">
        <v>231</v>
      </c>
      <c r="C1077" s="94"/>
      <c r="D1077" s="96"/>
      <c r="E1077" s="96"/>
      <c r="F1077" s="96"/>
      <c r="G1077" s="96"/>
      <c r="H1077" s="96"/>
      <c r="I1077" s="96"/>
      <c r="J1077" s="271"/>
    </row>
    <row r="1078" spans="1:10">
      <c r="A1078" s="84"/>
      <c r="B1078" s="93" t="s">
        <v>231</v>
      </c>
      <c r="C1078" s="94"/>
      <c r="D1078" s="96"/>
      <c r="E1078" s="96"/>
      <c r="F1078" s="96"/>
      <c r="G1078" s="96"/>
      <c r="H1078" s="96"/>
      <c r="I1078" s="96"/>
      <c r="J1078" s="271"/>
    </row>
    <row r="1079" spans="1:10">
      <c r="A1079" s="84"/>
      <c r="B1079" s="93" t="s">
        <v>231</v>
      </c>
      <c r="C1079" s="94"/>
      <c r="D1079" s="96"/>
      <c r="E1079" s="96"/>
      <c r="F1079" s="96"/>
      <c r="G1079" s="96"/>
      <c r="H1079" s="96"/>
      <c r="I1079" s="96"/>
      <c r="J1079" s="271"/>
    </row>
    <row r="1080" spans="1:10">
      <c r="A1080" s="84"/>
      <c r="B1080" s="93" t="s">
        <v>231</v>
      </c>
      <c r="C1080" s="94"/>
      <c r="D1080" s="96"/>
      <c r="E1080" s="96"/>
      <c r="F1080" s="96"/>
      <c r="G1080" s="96"/>
      <c r="H1080" s="96"/>
      <c r="I1080" s="96"/>
      <c r="J1080" s="271"/>
    </row>
    <row r="1081" spans="1:10">
      <c r="A1081" s="84"/>
      <c r="B1081" s="93" t="s">
        <v>231</v>
      </c>
      <c r="C1081" s="94"/>
      <c r="D1081" s="96"/>
      <c r="E1081" s="96"/>
      <c r="F1081" s="96"/>
      <c r="G1081" s="96"/>
      <c r="H1081" s="96"/>
      <c r="I1081" s="96"/>
      <c r="J1081" s="271"/>
    </row>
    <row r="1082" spans="1:10">
      <c r="A1082" s="84"/>
      <c r="B1082" s="89"/>
      <c r="C1082" s="97"/>
      <c r="D1082" s="91"/>
      <c r="E1082" s="91"/>
      <c r="F1082" s="91"/>
      <c r="G1082" s="91" t="s">
        <v>290</v>
      </c>
      <c r="H1082" s="91"/>
      <c r="I1082" s="91"/>
      <c r="J1082" s="99">
        <f>+SUBTOTAL(9,J1075:J1081)</f>
        <v>3.07</v>
      </c>
    </row>
    <row r="1083" spans="1:10">
      <c r="A1083" s="84"/>
      <c r="B1083" s="89" t="s">
        <v>291</v>
      </c>
      <c r="C1083" s="97"/>
      <c r="D1083" s="91"/>
      <c r="E1083" s="91"/>
      <c r="F1083" s="91"/>
      <c r="G1083" s="91"/>
      <c r="H1083" s="91"/>
      <c r="I1083" s="91"/>
      <c r="J1083" s="99">
        <f>+SUBTOTAL(9,J1057:J1081)</f>
        <v>1068.25</v>
      </c>
    </row>
    <row r="1084" spans="1:10">
      <c r="A1084" s="84"/>
      <c r="B1084" s="89" t="s">
        <v>292</v>
      </c>
      <c r="C1084" s="97"/>
      <c r="D1084" s="91">
        <v>0</v>
      </c>
      <c r="E1084" s="91"/>
      <c r="F1084" s="91"/>
      <c r="G1084" s="91"/>
      <c r="H1084" s="91"/>
      <c r="I1084" s="91"/>
      <c r="J1084" s="99">
        <f>+ROUND(J1083*D1084/100,2)</f>
        <v>0</v>
      </c>
    </row>
    <row r="1085" spans="1:10" ht="14.4" thickBot="1">
      <c r="A1085" s="84"/>
      <c r="B1085" s="89" t="s">
        <v>293</v>
      </c>
      <c r="C1085" s="97"/>
      <c r="D1085" s="91"/>
      <c r="E1085" s="91"/>
      <c r="F1085" s="91"/>
      <c r="G1085" s="91"/>
      <c r="H1085" s="91"/>
      <c r="I1085" s="91"/>
      <c r="J1085" s="99">
        <f>+J1083+ J1084</f>
        <v>1068.25</v>
      </c>
    </row>
    <row r="1086" spans="1:10">
      <c r="A1086" s="84"/>
      <c r="B1086" s="85" t="s">
        <v>294</v>
      </c>
      <c r="C1086" s="86"/>
      <c r="D1086" s="88"/>
      <c r="E1086" s="88"/>
      <c r="F1086" s="88" t="s">
        <v>295</v>
      </c>
      <c r="G1086" s="88"/>
      <c r="H1086" s="88"/>
      <c r="I1086" s="88" t="s">
        <v>518</v>
      </c>
      <c r="J1086" s="270"/>
    </row>
    <row r="1087" spans="1:10">
      <c r="A1087" s="84"/>
      <c r="B1087" s="93" t="s">
        <v>297</v>
      </c>
      <c r="C1087" s="84"/>
      <c r="D1087" s="95"/>
      <c r="E1087" s="95"/>
      <c r="F1087" s="95" t="s">
        <v>298</v>
      </c>
      <c r="G1087" s="95"/>
      <c r="H1087" s="95"/>
      <c r="I1087" s="95"/>
      <c r="J1087" s="276"/>
    </row>
    <row r="1088" spans="1:10">
      <c r="A1088" s="84"/>
      <c r="B1088" s="93" t="s">
        <v>299</v>
      </c>
      <c r="C1088" s="84"/>
      <c r="D1088" s="95"/>
      <c r="E1088" s="95"/>
      <c r="F1088" s="95" t="s">
        <v>300</v>
      </c>
      <c r="G1088" s="95"/>
      <c r="H1088" s="95"/>
      <c r="I1088" s="95"/>
      <c r="J1088" s="276"/>
    </row>
    <row r="1089" spans="1:10" ht="14.4" thickBot="1">
      <c r="A1089" s="84"/>
      <c r="B1089" s="100" t="s">
        <v>301</v>
      </c>
      <c r="C1089" s="84"/>
      <c r="D1089" s="95"/>
      <c r="E1089" s="95"/>
      <c r="F1089" s="95"/>
      <c r="G1089" s="95"/>
      <c r="H1089" s="95"/>
      <c r="I1089" s="95"/>
      <c r="J1089" s="277"/>
    </row>
    <row r="1090" spans="1:10">
      <c r="A1090" s="84"/>
      <c r="B1090" s="86"/>
      <c r="C1090" s="86"/>
      <c r="D1090" s="88"/>
      <c r="E1090" s="88"/>
      <c r="F1090" s="88"/>
      <c r="G1090" s="88"/>
      <c r="H1090" s="88"/>
      <c r="I1090" s="88"/>
      <c r="J1090" s="88"/>
    </row>
    <row r="1091" spans="1:10" ht="14.4" thickBot="1">
      <c r="A1091" s="84"/>
      <c r="B1091" s="84"/>
      <c r="C1091" s="84"/>
      <c r="D1091" s="95"/>
      <c r="E1091" s="95"/>
      <c r="F1091" s="95"/>
      <c r="G1091" s="95"/>
      <c r="H1091" s="95"/>
      <c r="I1091" s="95"/>
      <c r="J1091" s="95"/>
    </row>
    <row r="1092" spans="1:10">
      <c r="A1092" s="84"/>
      <c r="B1092" s="85"/>
      <c r="C1092" s="86"/>
      <c r="D1092" s="87" t="s">
        <v>227</v>
      </c>
      <c r="E1092" s="87"/>
      <c r="F1092" s="87"/>
      <c r="G1092" s="88"/>
      <c r="H1092" s="88"/>
      <c r="I1092" s="88"/>
      <c r="J1092" s="270"/>
    </row>
    <row r="1093" spans="1:10">
      <c r="A1093" s="84"/>
      <c r="B1093" s="89" t="s">
        <v>228</v>
      </c>
      <c r="C1093" s="90" t="s">
        <v>92</v>
      </c>
      <c r="D1093" s="91"/>
      <c r="E1093" s="91"/>
      <c r="F1093" s="91"/>
      <c r="G1093" s="91"/>
      <c r="H1093" s="92" t="s">
        <v>229</v>
      </c>
      <c r="I1093" s="91"/>
      <c r="J1093" s="99" t="s">
        <v>230</v>
      </c>
    </row>
    <row r="1094" spans="1:10">
      <c r="A1094" s="84"/>
      <c r="B1094" s="93" t="s">
        <v>231</v>
      </c>
      <c r="C1094" s="94" t="s">
        <v>519</v>
      </c>
      <c r="D1094" s="95"/>
      <c r="E1094" s="95"/>
      <c r="F1094" s="95"/>
      <c r="G1094" s="95"/>
      <c r="H1094" s="96" t="s">
        <v>233</v>
      </c>
      <c r="I1094" s="95"/>
      <c r="J1094" s="271" t="s">
        <v>234</v>
      </c>
    </row>
    <row r="1095" spans="1:10">
      <c r="A1095" s="84"/>
      <c r="B1095" s="89"/>
      <c r="C1095" s="90"/>
      <c r="D1095" s="91"/>
      <c r="E1095" s="92"/>
      <c r="F1095" s="92" t="s">
        <v>235</v>
      </c>
      <c r="G1095" s="92"/>
      <c r="H1095" s="92" t="s">
        <v>236</v>
      </c>
      <c r="I1095" s="92"/>
      <c r="J1095" s="99" t="s">
        <v>237</v>
      </c>
    </row>
    <row r="1096" spans="1:10">
      <c r="A1096" s="84"/>
      <c r="B1096" s="93" t="s">
        <v>228</v>
      </c>
      <c r="C1096" s="94" t="s">
        <v>238</v>
      </c>
      <c r="D1096" s="95"/>
      <c r="E1096" s="96" t="s">
        <v>239</v>
      </c>
      <c r="F1096" s="92" t="s">
        <v>240</v>
      </c>
      <c r="G1096" s="92" t="s">
        <v>241</v>
      </c>
      <c r="H1096" s="92" t="s">
        <v>240</v>
      </c>
      <c r="I1096" s="272" t="s">
        <v>241</v>
      </c>
      <c r="J1096" s="271" t="s">
        <v>242</v>
      </c>
    </row>
    <row r="1097" spans="1:10">
      <c r="A1097" s="84"/>
      <c r="B1097" s="89" t="s">
        <v>231</v>
      </c>
      <c r="C1097" s="90"/>
      <c r="D1097" s="91"/>
      <c r="E1097" s="92"/>
      <c r="F1097" s="92"/>
      <c r="G1097" s="92"/>
      <c r="H1097" s="92"/>
      <c r="I1097" s="92"/>
      <c r="J1097" s="99"/>
    </row>
    <row r="1098" spans="1:10">
      <c r="A1098" s="84"/>
      <c r="B1098" s="93" t="s">
        <v>231</v>
      </c>
      <c r="C1098" s="94"/>
      <c r="D1098" s="95"/>
      <c r="E1098" s="96"/>
      <c r="F1098" s="96"/>
      <c r="G1098" s="96"/>
      <c r="H1098" s="96"/>
      <c r="I1098" s="96"/>
      <c r="J1098" s="271"/>
    </row>
    <row r="1099" spans="1:10">
      <c r="A1099" s="84"/>
      <c r="B1099" s="93" t="s">
        <v>231</v>
      </c>
      <c r="C1099" s="94"/>
      <c r="D1099" s="95"/>
      <c r="E1099" s="96"/>
      <c r="F1099" s="96"/>
      <c r="G1099" s="96"/>
      <c r="H1099" s="96"/>
      <c r="I1099" s="96"/>
      <c r="J1099" s="271"/>
    </row>
    <row r="1100" spans="1:10">
      <c r="A1100" s="84"/>
      <c r="B1100" s="93" t="s">
        <v>231</v>
      </c>
      <c r="C1100" s="94"/>
      <c r="D1100" s="95"/>
      <c r="E1100" s="96"/>
      <c r="F1100" s="96"/>
      <c r="G1100" s="96"/>
      <c r="H1100" s="96"/>
      <c r="I1100" s="96"/>
      <c r="J1100" s="271"/>
    </row>
    <row r="1101" spans="1:10">
      <c r="A1101" s="84"/>
      <c r="B1101" s="93" t="s">
        <v>231</v>
      </c>
      <c r="C1101" s="94"/>
      <c r="D1101" s="95"/>
      <c r="E1101" s="96"/>
      <c r="F1101" s="96"/>
      <c r="G1101" s="96"/>
      <c r="H1101" s="96"/>
      <c r="I1101" s="96"/>
      <c r="J1101" s="271"/>
    </row>
    <row r="1102" spans="1:10">
      <c r="A1102" s="84"/>
      <c r="B1102" s="93" t="s">
        <v>231</v>
      </c>
      <c r="C1102" s="94"/>
      <c r="D1102" s="95"/>
      <c r="E1102" s="96"/>
      <c r="F1102" s="96"/>
      <c r="G1102" s="96"/>
      <c r="H1102" s="96"/>
      <c r="I1102" s="96"/>
      <c r="J1102" s="271"/>
    </row>
    <row r="1103" spans="1:10">
      <c r="A1103" s="84"/>
      <c r="B1103" s="93" t="s">
        <v>231</v>
      </c>
      <c r="C1103" s="94"/>
      <c r="D1103" s="95"/>
      <c r="E1103" s="96"/>
      <c r="F1103" s="96"/>
      <c r="G1103" s="96"/>
      <c r="H1103" s="96"/>
      <c r="I1103" s="96"/>
      <c r="J1103" s="271"/>
    </row>
    <row r="1104" spans="1:10">
      <c r="A1104" s="84"/>
      <c r="B1104" s="89"/>
      <c r="C1104" s="97"/>
      <c r="D1104" s="91"/>
      <c r="E1104" s="91"/>
      <c r="F1104" s="91"/>
      <c r="G1104" s="91" t="s">
        <v>249</v>
      </c>
      <c r="H1104" s="91"/>
      <c r="I1104" s="91"/>
      <c r="J1104" s="99">
        <f>+SUBTOTAL(9,J1097:J1103)</f>
        <v>0</v>
      </c>
    </row>
    <row r="1105" spans="1:10">
      <c r="A1105" s="84"/>
      <c r="B1105" s="89" t="s">
        <v>228</v>
      </c>
      <c r="C1105" s="90" t="s">
        <v>250</v>
      </c>
      <c r="D1105" s="91"/>
      <c r="E1105" s="91"/>
      <c r="F1105" s="91"/>
      <c r="G1105" s="91"/>
      <c r="H1105" s="92" t="s">
        <v>239</v>
      </c>
      <c r="I1105" s="92" t="s">
        <v>251</v>
      </c>
      <c r="J1105" s="99" t="s">
        <v>252</v>
      </c>
    </row>
    <row r="1106" spans="1:10">
      <c r="A1106" s="84"/>
      <c r="B1106" s="89" t="s">
        <v>231</v>
      </c>
      <c r="C1106" s="90"/>
      <c r="D1106" s="91"/>
      <c r="E1106" s="91"/>
      <c r="F1106" s="91"/>
      <c r="G1106" s="91"/>
      <c r="H1106" s="92"/>
      <c r="I1106" s="92"/>
      <c r="J1106" s="99"/>
    </row>
    <row r="1107" spans="1:10">
      <c r="A1107" s="84"/>
      <c r="B1107" s="93" t="s">
        <v>231</v>
      </c>
      <c r="C1107" s="94"/>
      <c r="D1107" s="95"/>
      <c r="E1107" s="95"/>
      <c r="F1107" s="95"/>
      <c r="G1107" s="95"/>
      <c r="H1107" s="96"/>
      <c r="I1107" s="96"/>
      <c r="J1107" s="271"/>
    </row>
    <row r="1108" spans="1:10">
      <c r="A1108" s="84"/>
      <c r="B1108" s="93" t="s">
        <v>231</v>
      </c>
      <c r="C1108" s="94"/>
      <c r="D1108" s="95"/>
      <c r="E1108" s="95"/>
      <c r="F1108" s="95"/>
      <c r="G1108" s="95"/>
      <c r="H1108" s="96"/>
      <c r="I1108" s="96"/>
      <c r="J1108" s="271"/>
    </row>
    <row r="1109" spans="1:10">
      <c r="A1109" s="84"/>
      <c r="B1109" s="93" t="s">
        <v>231</v>
      </c>
      <c r="C1109" s="94"/>
      <c r="D1109" s="95"/>
      <c r="E1109" s="95"/>
      <c r="F1109" s="95"/>
      <c r="G1109" s="95"/>
      <c r="H1109" s="96"/>
      <c r="I1109" s="96"/>
      <c r="J1109" s="271"/>
    </row>
    <row r="1110" spans="1:10">
      <c r="A1110" s="84"/>
      <c r="B1110" s="93" t="s">
        <v>231</v>
      </c>
      <c r="C1110" s="94"/>
      <c r="D1110" s="95"/>
      <c r="E1110" s="95"/>
      <c r="F1110" s="95"/>
      <c r="G1110" s="95"/>
      <c r="H1110" s="96"/>
      <c r="I1110" s="96"/>
      <c r="J1110" s="271"/>
    </row>
    <row r="1111" spans="1:10">
      <c r="A1111" s="84"/>
      <c r="B1111" s="93" t="s">
        <v>231</v>
      </c>
      <c r="C1111" s="94"/>
      <c r="D1111" s="95"/>
      <c r="E1111" s="95"/>
      <c r="F1111" s="95"/>
      <c r="G1111" s="95"/>
      <c r="H1111" s="96"/>
      <c r="I1111" s="96"/>
      <c r="J1111" s="271"/>
    </row>
    <row r="1112" spans="1:10">
      <c r="A1112" s="84"/>
      <c r="B1112" s="93" t="s">
        <v>231</v>
      </c>
      <c r="C1112" s="94"/>
      <c r="D1112" s="95"/>
      <c r="E1112" s="95"/>
      <c r="F1112" s="95"/>
      <c r="G1112" s="95"/>
      <c r="H1112" s="96"/>
      <c r="I1112" s="96"/>
      <c r="J1112" s="271"/>
    </row>
    <row r="1113" spans="1:10">
      <c r="A1113" s="84"/>
      <c r="B1113" s="89"/>
      <c r="C1113" s="97"/>
      <c r="D1113" s="91"/>
      <c r="E1113" s="91"/>
      <c r="F1113" s="91"/>
      <c r="G1113" s="91" t="s">
        <v>255</v>
      </c>
      <c r="H1113" s="91"/>
      <c r="I1113" s="91"/>
      <c r="J1113" s="99">
        <f>+SUBTOTAL(9,J1106:J1112)</f>
        <v>0</v>
      </c>
    </row>
    <row r="1114" spans="1:10">
      <c r="A1114" s="84"/>
      <c r="B1114" s="89"/>
      <c r="C1114" s="97"/>
      <c r="D1114" s="91"/>
      <c r="E1114" s="91"/>
      <c r="F1114" s="91" t="s">
        <v>256</v>
      </c>
      <c r="G1114" s="91"/>
      <c r="H1114" s="91"/>
      <c r="I1114" s="91">
        <v>0</v>
      </c>
      <c r="J1114" s="99">
        <f>+ROUND(I1114*J1113,2)</f>
        <v>0</v>
      </c>
    </row>
    <row r="1115" spans="1:10">
      <c r="A1115" s="84"/>
      <c r="B1115" s="89"/>
      <c r="C1115" s="97"/>
      <c r="D1115" s="91"/>
      <c r="E1115" s="91"/>
      <c r="F1115" s="91" t="s">
        <v>257</v>
      </c>
      <c r="G1115" s="91"/>
      <c r="H1115" s="91"/>
      <c r="I1115" s="91"/>
      <c r="J1115" s="99">
        <f>+SUBTOTAL(9,J1106:J1114)</f>
        <v>0</v>
      </c>
    </row>
    <row r="1116" spans="1:10">
      <c r="A1116" s="84"/>
      <c r="B1116" s="98"/>
      <c r="C1116" s="97"/>
      <c r="D1116" s="91"/>
      <c r="E1116" s="91"/>
      <c r="F1116" s="91"/>
      <c r="G1116" s="91" t="s">
        <v>258</v>
      </c>
      <c r="H1116" s="91"/>
      <c r="I1116" s="91"/>
      <c r="J1116" s="275">
        <f>+SUBTOTAL(9,J1097:J1115)</f>
        <v>0</v>
      </c>
    </row>
    <row r="1117" spans="1:10">
      <c r="A1117" s="84"/>
      <c r="B1117" s="98"/>
      <c r="C1117" s="97" t="s">
        <v>259</v>
      </c>
      <c r="D1117" s="91">
        <v>1</v>
      </c>
      <c r="E1117" s="91"/>
      <c r="F1117" s="91"/>
      <c r="G1117" s="91" t="s">
        <v>260</v>
      </c>
      <c r="H1117" s="91"/>
      <c r="I1117" s="91"/>
      <c r="J1117" s="275">
        <f>+ROUND(J1116/D1117,2)</f>
        <v>0</v>
      </c>
    </row>
    <row r="1118" spans="1:10">
      <c r="A1118" s="84"/>
      <c r="B1118" s="89" t="s">
        <v>228</v>
      </c>
      <c r="C1118" s="90" t="s">
        <v>261</v>
      </c>
      <c r="D1118" s="91"/>
      <c r="E1118" s="91"/>
      <c r="F1118" s="91"/>
      <c r="G1118" s="92" t="s">
        <v>230</v>
      </c>
      <c r="H1118" s="92" t="s">
        <v>262</v>
      </c>
      <c r="I1118" s="92" t="s">
        <v>263</v>
      </c>
      <c r="J1118" s="99" t="s">
        <v>264</v>
      </c>
    </row>
    <row r="1119" spans="1:10">
      <c r="A1119" s="84"/>
      <c r="B1119" s="89" t="s">
        <v>231</v>
      </c>
      <c r="C1119" s="90"/>
      <c r="D1119" s="91"/>
      <c r="E1119" s="91"/>
      <c r="F1119" s="91"/>
      <c r="G1119" s="92"/>
      <c r="H1119" s="92"/>
      <c r="I1119" s="92"/>
      <c r="J1119" s="99"/>
    </row>
    <row r="1120" spans="1:10">
      <c r="A1120" s="84"/>
      <c r="B1120" s="93" t="s">
        <v>231</v>
      </c>
      <c r="C1120" s="94"/>
      <c r="D1120" s="95"/>
      <c r="E1120" s="95"/>
      <c r="F1120" s="95"/>
      <c r="G1120" s="96"/>
      <c r="H1120" s="96"/>
      <c r="I1120" s="96"/>
      <c r="J1120" s="271"/>
    </row>
    <row r="1121" spans="1:10">
      <c r="A1121" s="84"/>
      <c r="B1121" s="93" t="s">
        <v>231</v>
      </c>
      <c r="C1121" s="94"/>
      <c r="D1121" s="95"/>
      <c r="E1121" s="95"/>
      <c r="F1121" s="95"/>
      <c r="G1121" s="96"/>
      <c r="H1121" s="96"/>
      <c r="I1121" s="96"/>
      <c r="J1121" s="271"/>
    </row>
    <row r="1122" spans="1:10">
      <c r="A1122" s="84"/>
      <c r="B1122" s="93" t="s">
        <v>231</v>
      </c>
      <c r="C1122" s="94"/>
      <c r="D1122" s="95"/>
      <c r="E1122" s="95"/>
      <c r="F1122" s="95"/>
      <c r="G1122" s="96"/>
      <c r="H1122" s="96"/>
      <c r="I1122" s="96"/>
      <c r="J1122" s="271"/>
    </row>
    <row r="1123" spans="1:10">
      <c r="A1123" s="84"/>
      <c r="B1123" s="93" t="s">
        <v>231</v>
      </c>
      <c r="C1123" s="94"/>
      <c r="D1123" s="95"/>
      <c r="E1123" s="95"/>
      <c r="F1123" s="95"/>
      <c r="G1123" s="96"/>
      <c r="H1123" s="96"/>
      <c r="I1123" s="96"/>
      <c r="J1123" s="271"/>
    </row>
    <row r="1124" spans="1:10">
      <c r="A1124" s="84"/>
      <c r="B1124" s="93" t="s">
        <v>231</v>
      </c>
      <c r="C1124" s="94"/>
      <c r="D1124" s="95"/>
      <c r="E1124" s="95"/>
      <c r="F1124" s="95"/>
      <c r="G1124" s="96"/>
      <c r="H1124" s="96"/>
      <c r="I1124" s="96"/>
      <c r="J1124" s="271"/>
    </row>
    <row r="1125" spans="1:10">
      <c r="A1125" s="84"/>
      <c r="B1125" s="93" t="s">
        <v>231</v>
      </c>
      <c r="C1125" s="94"/>
      <c r="D1125" s="95"/>
      <c r="E1125" s="95"/>
      <c r="F1125" s="95"/>
      <c r="G1125" s="96"/>
      <c r="H1125" s="96"/>
      <c r="I1125" s="96"/>
      <c r="J1125" s="271"/>
    </row>
    <row r="1126" spans="1:10">
      <c r="A1126" s="84"/>
      <c r="B1126" s="89"/>
      <c r="C1126" s="97"/>
      <c r="D1126" s="91"/>
      <c r="E1126" s="91"/>
      <c r="F1126" s="91"/>
      <c r="G1126" s="91" t="s">
        <v>275</v>
      </c>
      <c r="H1126" s="91"/>
      <c r="I1126" s="91"/>
      <c r="J1126" s="99">
        <f>+SUBTOTAL(9,J1119:J1125)</f>
        <v>0</v>
      </c>
    </row>
    <row r="1127" spans="1:10">
      <c r="A1127" s="84"/>
      <c r="B1127" s="89" t="s">
        <v>228</v>
      </c>
      <c r="C1127" s="90" t="s">
        <v>276</v>
      </c>
      <c r="D1127" s="91"/>
      <c r="E1127" s="91"/>
      <c r="F1127" s="91"/>
      <c r="G1127" s="92" t="s">
        <v>230</v>
      </c>
      <c r="H1127" s="92" t="s">
        <v>262</v>
      </c>
      <c r="I1127" s="92" t="s">
        <v>263</v>
      </c>
      <c r="J1127" s="99" t="s">
        <v>264</v>
      </c>
    </row>
    <row r="1128" spans="1:10">
      <c r="A1128" s="84"/>
      <c r="B1128" s="89" t="s">
        <v>520</v>
      </c>
      <c r="C1128" s="90" t="s">
        <v>521</v>
      </c>
      <c r="D1128" s="91"/>
      <c r="E1128" s="91"/>
      <c r="F1128" s="91"/>
      <c r="G1128" s="92" t="s">
        <v>234</v>
      </c>
      <c r="H1128" s="92">
        <v>677.55</v>
      </c>
      <c r="I1128" s="92">
        <v>1</v>
      </c>
      <c r="J1128" s="99">
        <f>+ROUND(H1128*I1128,2)</f>
        <v>677.55</v>
      </c>
    </row>
    <row r="1129" spans="1:10">
      <c r="A1129" s="84"/>
      <c r="B1129" s="93" t="s">
        <v>231</v>
      </c>
      <c r="C1129" s="94"/>
      <c r="D1129" s="95"/>
      <c r="E1129" s="95"/>
      <c r="F1129" s="95"/>
      <c r="G1129" s="96"/>
      <c r="H1129" s="96"/>
      <c r="I1129" s="96"/>
      <c r="J1129" s="271"/>
    </row>
    <row r="1130" spans="1:10">
      <c r="A1130" s="84"/>
      <c r="B1130" s="93" t="s">
        <v>231</v>
      </c>
      <c r="C1130" s="94"/>
      <c r="D1130" s="95"/>
      <c r="E1130" s="95"/>
      <c r="F1130" s="95"/>
      <c r="G1130" s="96"/>
      <c r="H1130" s="96"/>
      <c r="I1130" s="96"/>
      <c r="J1130" s="271"/>
    </row>
    <row r="1131" spans="1:10">
      <c r="A1131" s="84"/>
      <c r="B1131" s="93" t="s">
        <v>231</v>
      </c>
      <c r="C1131" s="94"/>
      <c r="D1131" s="95"/>
      <c r="E1131" s="95"/>
      <c r="F1131" s="95"/>
      <c r="G1131" s="96"/>
      <c r="H1131" s="96"/>
      <c r="I1131" s="96"/>
      <c r="J1131" s="271"/>
    </row>
    <row r="1132" spans="1:10">
      <c r="A1132" s="84"/>
      <c r="B1132" s="93" t="s">
        <v>231</v>
      </c>
      <c r="C1132" s="94"/>
      <c r="D1132" s="95"/>
      <c r="E1132" s="95"/>
      <c r="F1132" s="95"/>
      <c r="G1132" s="96"/>
      <c r="H1132" s="96"/>
      <c r="I1132" s="96"/>
      <c r="J1132" s="271"/>
    </row>
    <row r="1133" spans="1:10">
      <c r="A1133" s="84"/>
      <c r="B1133" s="89"/>
      <c r="C1133" s="97"/>
      <c r="D1133" s="91"/>
      <c r="E1133" s="91"/>
      <c r="F1133" s="91"/>
      <c r="G1133" s="91" t="s">
        <v>279</v>
      </c>
      <c r="H1133" s="91"/>
      <c r="I1133" s="91"/>
      <c r="J1133" s="99">
        <f>+SUBTOTAL(9,J1128:J1132)</f>
        <v>677.55</v>
      </c>
    </row>
    <row r="1134" spans="1:10">
      <c r="A1134" s="84"/>
      <c r="B1134" s="89" t="s">
        <v>228</v>
      </c>
      <c r="C1134" s="90" t="s">
        <v>280</v>
      </c>
      <c r="D1134" s="92" t="s">
        <v>281</v>
      </c>
      <c r="E1134" s="92" t="s">
        <v>282</v>
      </c>
      <c r="F1134" s="92" t="s">
        <v>283</v>
      </c>
      <c r="G1134" s="92" t="s">
        <v>284</v>
      </c>
      <c r="H1134" s="92" t="s">
        <v>285</v>
      </c>
      <c r="I1134" s="92" t="s">
        <v>263</v>
      </c>
      <c r="J1134" s="99" t="s">
        <v>286</v>
      </c>
    </row>
    <row r="1135" spans="1:10">
      <c r="A1135" s="84"/>
      <c r="B1135" s="89" t="s">
        <v>231</v>
      </c>
      <c r="C1135" s="90"/>
      <c r="D1135" s="92"/>
      <c r="E1135" s="92"/>
      <c r="F1135" s="92"/>
      <c r="G1135" s="92"/>
      <c r="H1135" s="92"/>
      <c r="I1135" s="92"/>
      <c r="J1135" s="99"/>
    </row>
    <row r="1136" spans="1:10">
      <c r="A1136" s="84"/>
      <c r="B1136" s="93" t="s">
        <v>231</v>
      </c>
      <c r="C1136" s="94"/>
      <c r="D1136" s="96"/>
      <c r="E1136" s="96"/>
      <c r="F1136" s="96"/>
      <c r="G1136" s="96"/>
      <c r="H1136" s="96"/>
      <c r="I1136" s="96"/>
      <c r="J1136" s="271"/>
    </row>
    <row r="1137" spans="1:10">
      <c r="A1137" s="84"/>
      <c r="B1137" s="93" t="s">
        <v>231</v>
      </c>
      <c r="C1137" s="94"/>
      <c r="D1137" s="96"/>
      <c r="E1137" s="96"/>
      <c r="F1137" s="96"/>
      <c r="G1137" s="96"/>
      <c r="H1137" s="96"/>
      <c r="I1137" s="96"/>
      <c r="J1137" s="271"/>
    </row>
    <row r="1138" spans="1:10">
      <c r="A1138" s="84"/>
      <c r="B1138" s="93" t="s">
        <v>231</v>
      </c>
      <c r="C1138" s="94"/>
      <c r="D1138" s="96"/>
      <c r="E1138" s="96"/>
      <c r="F1138" s="96"/>
      <c r="G1138" s="96"/>
      <c r="H1138" s="96"/>
      <c r="I1138" s="96"/>
      <c r="J1138" s="271"/>
    </row>
    <row r="1139" spans="1:10">
      <c r="A1139" s="84"/>
      <c r="B1139" s="93" t="s">
        <v>231</v>
      </c>
      <c r="C1139" s="94"/>
      <c r="D1139" s="96"/>
      <c r="E1139" s="96"/>
      <c r="F1139" s="96"/>
      <c r="G1139" s="96"/>
      <c r="H1139" s="96"/>
      <c r="I1139" s="96"/>
      <c r="J1139" s="271"/>
    </row>
    <row r="1140" spans="1:10">
      <c r="A1140" s="84"/>
      <c r="B1140" s="93" t="s">
        <v>231</v>
      </c>
      <c r="C1140" s="94"/>
      <c r="D1140" s="96"/>
      <c r="E1140" s="96"/>
      <c r="F1140" s="96"/>
      <c r="G1140" s="96"/>
      <c r="H1140" s="96"/>
      <c r="I1140" s="96"/>
      <c r="J1140" s="271"/>
    </row>
    <row r="1141" spans="1:10">
      <c r="A1141" s="84"/>
      <c r="B1141" s="93" t="s">
        <v>231</v>
      </c>
      <c r="C1141" s="94"/>
      <c r="D1141" s="96"/>
      <c r="E1141" s="96"/>
      <c r="F1141" s="96"/>
      <c r="G1141" s="96"/>
      <c r="H1141" s="96"/>
      <c r="I1141" s="96"/>
      <c r="J1141" s="271"/>
    </row>
    <row r="1142" spans="1:10">
      <c r="A1142" s="84"/>
      <c r="B1142" s="89"/>
      <c r="C1142" s="97"/>
      <c r="D1142" s="91"/>
      <c r="E1142" s="91"/>
      <c r="F1142" s="91"/>
      <c r="G1142" s="91" t="s">
        <v>290</v>
      </c>
      <c r="H1142" s="91"/>
      <c r="I1142" s="91"/>
      <c r="J1142" s="99">
        <f>+SUBTOTAL(9,J1135:J1141)</f>
        <v>0</v>
      </c>
    </row>
    <row r="1143" spans="1:10">
      <c r="A1143" s="84"/>
      <c r="B1143" s="89" t="s">
        <v>291</v>
      </c>
      <c r="C1143" s="97"/>
      <c r="D1143" s="91"/>
      <c r="E1143" s="91"/>
      <c r="F1143" s="91"/>
      <c r="G1143" s="91"/>
      <c r="H1143" s="91"/>
      <c r="I1143" s="91"/>
      <c r="J1143" s="99">
        <f>+SUBTOTAL(9,J1117:J1141)</f>
        <v>677.55</v>
      </c>
    </row>
    <row r="1144" spans="1:10">
      <c r="A1144" s="84"/>
      <c r="B1144" s="89" t="s">
        <v>292</v>
      </c>
      <c r="C1144" s="97"/>
      <c r="D1144" s="91">
        <v>0</v>
      </c>
      <c r="E1144" s="91"/>
      <c r="F1144" s="91"/>
      <c r="G1144" s="91"/>
      <c r="H1144" s="91"/>
      <c r="I1144" s="91"/>
      <c r="J1144" s="99">
        <f>+ROUND(J1143*D1144/100,2)</f>
        <v>0</v>
      </c>
    </row>
    <row r="1145" spans="1:10" ht="14.4" thickBot="1">
      <c r="A1145" s="84"/>
      <c r="B1145" s="89" t="s">
        <v>293</v>
      </c>
      <c r="C1145" s="97"/>
      <c r="D1145" s="91"/>
      <c r="E1145" s="91"/>
      <c r="F1145" s="91"/>
      <c r="G1145" s="91"/>
      <c r="H1145" s="91"/>
      <c r="I1145" s="91"/>
      <c r="J1145" s="99">
        <f>+J1143+ J1144</f>
        <v>677.55</v>
      </c>
    </row>
    <row r="1146" spans="1:10">
      <c r="A1146" s="84"/>
      <c r="B1146" s="85" t="s">
        <v>294</v>
      </c>
      <c r="C1146" s="86"/>
      <c r="D1146" s="88"/>
      <c r="E1146" s="88"/>
      <c r="F1146" s="88" t="s">
        <v>295</v>
      </c>
      <c r="G1146" s="88"/>
      <c r="H1146" s="88"/>
      <c r="I1146" s="88" t="s">
        <v>518</v>
      </c>
      <c r="J1146" s="270"/>
    </row>
    <row r="1147" spans="1:10">
      <c r="A1147" s="84"/>
      <c r="B1147" s="93" t="s">
        <v>297</v>
      </c>
      <c r="C1147" s="84"/>
      <c r="D1147" s="95"/>
      <c r="E1147" s="95"/>
      <c r="F1147" s="95" t="s">
        <v>298</v>
      </c>
      <c r="G1147" s="95"/>
      <c r="H1147" s="95"/>
      <c r="I1147" s="95"/>
      <c r="J1147" s="276"/>
    </row>
    <row r="1148" spans="1:10">
      <c r="A1148" s="84"/>
      <c r="B1148" s="93" t="s">
        <v>299</v>
      </c>
      <c r="C1148" s="84"/>
      <c r="D1148" s="95"/>
      <c r="E1148" s="95"/>
      <c r="F1148" s="95" t="s">
        <v>300</v>
      </c>
      <c r="G1148" s="95"/>
      <c r="H1148" s="95"/>
      <c r="I1148" s="95"/>
      <c r="J1148" s="276"/>
    </row>
    <row r="1149" spans="1:10" ht="14.4" thickBot="1">
      <c r="A1149" s="84"/>
      <c r="B1149" s="100" t="s">
        <v>301</v>
      </c>
      <c r="C1149" s="84"/>
      <c r="D1149" s="95"/>
      <c r="E1149" s="95"/>
      <c r="F1149" s="95"/>
      <c r="G1149" s="95"/>
      <c r="H1149" s="95"/>
      <c r="I1149" s="95"/>
      <c r="J1149" s="277"/>
    </row>
    <row r="1150" spans="1:10">
      <c r="A1150" s="84"/>
      <c r="B1150" s="86"/>
      <c r="C1150" s="86"/>
      <c r="D1150" s="88"/>
      <c r="E1150" s="88"/>
      <c r="F1150" s="88"/>
      <c r="G1150" s="88"/>
      <c r="H1150" s="88"/>
      <c r="I1150" s="88"/>
      <c r="J1150" s="88"/>
    </row>
    <row r="1151" spans="1:10" ht="14.4" thickBot="1">
      <c r="A1151" s="84"/>
      <c r="B1151" s="84"/>
      <c r="C1151" s="84"/>
      <c r="D1151" s="95"/>
      <c r="E1151" s="95"/>
      <c r="F1151" s="95"/>
      <c r="G1151" s="95"/>
      <c r="H1151" s="95"/>
      <c r="I1151" s="95"/>
      <c r="J1151" s="95"/>
    </row>
    <row r="1152" spans="1:10">
      <c r="A1152" s="84"/>
      <c r="B1152" s="85"/>
      <c r="C1152" s="86"/>
      <c r="D1152" s="87" t="s">
        <v>227</v>
      </c>
      <c r="E1152" s="87"/>
      <c r="F1152" s="87"/>
      <c r="G1152" s="88"/>
      <c r="H1152" s="88"/>
      <c r="I1152" s="88"/>
      <c r="J1152" s="270"/>
    </row>
    <row r="1153" spans="1:10">
      <c r="A1153" s="84"/>
      <c r="B1153" s="89" t="s">
        <v>228</v>
      </c>
      <c r="C1153" s="90" t="s">
        <v>92</v>
      </c>
      <c r="D1153" s="91"/>
      <c r="E1153" s="91"/>
      <c r="F1153" s="91"/>
      <c r="G1153" s="91"/>
      <c r="H1153" s="92" t="s">
        <v>229</v>
      </c>
      <c r="I1153" s="91"/>
      <c r="J1153" s="99" t="s">
        <v>230</v>
      </c>
    </row>
    <row r="1154" spans="1:10">
      <c r="A1154" s="84"/>
      <c r="B1154" s="93" t="s">
        <v>520</v>
      </c>
      <c r="C1154" s="94" t="s">
        <v>522</v>
      </c>
      <c r="D1154" s="95"/>
      <c r="E1154" s="95"/>
      <c r="F1154" s="95"/>
      <c r="G1154" s="95"/>
      <c r="H1154" s="96" t="s">
        <v>233</v>
      </c>
      <c r="I1154" s="95"/>
      <c r="J1154" s="271" t="s">
        <v>234</v>
      </c>
    </row>
    <row r="1155" spans="1:10">
      <c r="A1155" s="84"/>
      <c r="B1155" s="89"/>
      <c r="C1155" s="90"/>
      <c r="D1155" s="91"/>
      <c r="E1155" s="92"/>
      <c r="F1155" s="92" t="s">
        <v>235</v>
      </c>
      <c r="G1155" s="92"/>
      <c r="H1155" s="92" t="s">
        <v>236</v>
      </c>
      <c r="I1155" s="92"/>
      <c r="J1155" s="99" t="s">
        <v>237</v>
      </c>
    </row>
    <row r="1156" spans="1:10">
      <c r="A1156" s="84"/>
      <c r="B1156" s="93" t="s">
        <v>228</v>
      </c>
      <c r="C1156" s="94" t="s">
        <v>238</v>
      </c>
      <c r="D1156" s="95"/>
      <c r="E1156" s="96" t="s">
        <v>239</v>
      </c>
      <c r="F1156" s="92" t="s">
        <v>240</v>
      </c>
      <c r="G1156" s="92" t="s">
        <v>241</v>
      </c>
      <c r="H1156" s="92" t="s">
        <v>240</v>
      </c>
      <c r="I1156" s="272" t="s">
        <v>241</v>
      </c>
      <c r="J1156" s="271" t="s">
        <v>242</v>
      </c>
    </row>
    <row r="1157" spans="1:10">
      <c r="A1157" s="84"/>
      <c r="B1157" s="273" t="s">
        <v>523</v>
      </c>
      <c r="C1157" s="90" t="s">
        <v>524</v>
      </c>
      <c r="D1157" s="91"/>
      <c r="E1157" s="92">
        <v>1</v>
      </c>
      <c r="F1157" s="92">
        <v>1</v>
      </c>
      <c r="G1157" s="92">
        <v>0</v>
      </c>
      <c r="H1157" s="92">
        <v>1.17</v>
      </c>
      <c r="I1157" s="92">
        <v>0.78</v>
      </c>
      <c r="J1157" s="99">
        <f>+ROUND(E1157* ((F1157*H1157) + (G1157*I1157)),2)</f>
        <v>1.17</v>
      </c>
    </row>
    <row r="1158" spans="1:10">
      <c r="A1158" s="84"/>
      <c r="B1158" s="274" t="s">
        <v>525</v>
      </c>
      <c r="C1158" s="94" t="s">
        <v>526</v>
      </c>
      <c r="D1158" s="95"/>
      <c r="E1158" s="96">
        <v>3</v>
      </c>
      <c r="F1158" s="96">
        <v>0.41</v>
      </c>
      <c r="G1158" s="96">
        <v>0.59</v>
      </c>
      <c r="H1158" s="96">
        <v>1.54</v>
      </c>
      <c r="I1158" s="96">
        <v>1.05</v>
      </c>
      <c r="J1158" s="271">
        <f>+ROUND(E1158* ((F1158*H1158) + (G1158*I1158)),2)</f>
        <v>3.75</v>
      </c>
    </row>
    <row r="1159" spans="1:10">
      <c r="A1159" s="84"/>
      <c r="B1159" s="274" t="s">
        <v>527</v>
      </c>
      <c r="C1159" s="94" t="s">
        <v>528</v>
      </c>
      <c r="D1159" s="95"/>
      <c r="E1159" s="96">
        <v>4</v>
      </c>
      <c r="F1159" s="96">
        <v>0.9</v>
      </c>
      <c r="G1159" s="96">
        <v>0.1</v>
      </c>
      <c r="H1159" s="96">
        <v>0.74</v>
      </c>
      <c r="I1159" s="96">
        <v>0.5</v>
      </c>
      <c r="J1159" s="271">
        <f>+ROUND(E1159* ((F1159*H1159) + (G1159*I1159)),2)</f>
        <v>2.86</v>
      </c>
    </row>
    <row r="1160" spans="1:10">
      <c r="A1160" s="84"/>
      <c r="B1160" s="274" t="s">
        <v>529</v>
      </c>
      <c r="C1160" s="94" t="s">
        <v>530</v>
      </c>
      <c r="D1160" s="95"/>
      <c r="E1160" s="96">
        <v>1</v>
      </c>
      <c r="F1160" s="96">
        <v>1</v>
      </c>
      <c r="G1160" s="96">
        <v>0</v>
      </c>
      <c r="H1160" s="96">
        <v>48.13</v>
      </c>
      <c r="I1160" s="96">
        <v>28.28</v>
      </c>
      <c r="J1160" s="271">
        <f>+ROUND(E1160* ((F1160*H1160) + (G1160*I1160)),2)</f>
        <v>48.13</v>
      </c>
    </row>
    <row r="1161" spans="1:10">
      <c r="A1161" s="84"/>
      <c r="B1161" s="93" t="s">
        <v>231</v>
      </c>
      <c r="C1161" s="94"/>
      <c r="D1161" s="95"/>
      <c r="E1161" s="96"/>
      <c r="F1161" s="96"/>
      <c r="G1161" s="96"/>
      <c r="H1161" s="96"/>
      <c r="I1161" s="96"/>
      <c r="J1161" s="271"/>
    </row>
    <row r="1162" spans="1:10">
      <c r="A1162" s="84"/>
      <c r="B1162" s="93" t="s">
        <v>231</v>
      </c>
      <c r="C1162" s="94"/>
      <c r="D1162" s="95"/>
      <c r="E1162" s="96"/>
      <c r="F1162" s="96"/>
      <c r="G1162" s="96"/>
      <c r="H1162" s="96"/>
      <c r="I1162" s="96"/>
      <c r="J1162" s="271"/>
    </row>
    <row r="1163" spans="1:10">
      <c r="A1163" s="84"/>
      <c r="B1163" s="93" t="s">
        <v>231</v>
      </c>
      <c r="C1163" s="94"/>
      <c r="D1163" s="95"/>
      <c r="E1163" s="96"/>
      <c r="F1163" s="96"/>
      <c r="G1163" s="96"/>
      <c r="H1163" s="96"/>
      <c r="I1163" s="96"/>
      <c r="J1163" s="271"/>
    </row>
    <row r="1164" spans="1:10">
      <c r="A1164" s="84"/>
      <c r="B1164" s="89"/>
      <c r="C1164" s="97"/>
      <c r="D1164" s="91"/>
      <c r="E1164" s="91"/>
      <c r="F1164" s="91"/>
      <c r="G1164" s="91" t="s">
        <v>249</v>
      </c>
      <c r="H1164" s="91"/>
      <c r="I1164" s="91"/>
      <c r="J1164" s="99">
        <f>+SUBTOTAL(9,J1157:J1163)</f>
        <v>55.910000000000004</v>
      </c>
    </row>
    <row r="1165" spans="1:10">
      <c r="A1165" s="84"/>
      <c r="B1165" s="89" t="s">
        <v>228</v>
      </c>
      <c r="C1165" s="90" t="s">
        <v>250</v>
      </c>
      <c r="D1165" s="91"/>
      <c r="E1165" s="91"/>
      <c r="F1165" s="91"/>
      <c r="G1165" s="91"/>
      <c r="H1165" s="92" t="s">
        <v>239</v>
      </c>
      <c r="I1165" s="92" t="s">
        <v>251</v>
      </c>
      <c r="J1165" s="99" t="s">
        <v>252</v>
      </c>
    </row>
    <row r="1166" spans="1:10">
      <c r="A1166" s="84"/>
      <c r="B1166" s="89" t="s">
        <v>531</v>
      </c>
      <c r="C1166" s="90" t="s">
        <v>532</v>
      </c>
      <c r="D1166" s="91"/>
      <c r="E1166" s="91"/>
      <c r="F1166" s="91"/>
      <c r="G1166" s="91"/>
      <c r="H1166" s="92">
        <v>1</v>
      </c>
      <c r="I1166" s="92">
        <v>25.37</v>
      </c>
      <c r="J1166" s="99">
        <f>+ROUND(H1166*I1166,2)</f>
        <v>25.37</v>
      </c>
    </row>
    <row r="1167" spans="1:10">
      <c r="A1167" s="84"/>
      <c r="B1167" s="93" t="s">
        <v>253</v>
      </c>
      <c r="C1167" s="94" t="s">
        <v>254</v>
      </c>
      <c r="D1167" s="95"/>
      <c r="E1167" s="95"/>
      <c r="F1167" s="95"/>
      <c r="G1167" s="95"/>
      <c r="H1167" s="96">
        <v>9</v>
      </c>
      <c r="I1167" s="96">
        <v>21.04</v>
      </c>
      <c r="J1167" s="271">
        <f>+ROUND(H1167*I1167,2)</f>
        <v>189.36</v>
      </c>
    </row>
    <row r="1168" spans="1:10">
      <c r="A1168" s="84"/>
      <c r="B1168" s="93" t="s">
        <v>231</v>
      </c>
      <c r="C1168" s="94"/>
      <c r="D1168" s="95"/>
      <c r="E1168" s="95"/>
      <c r="F1168" s="95"/>
      <c r="G1168" s="95"/>
      <c r="H1168" s="96"/>
      <c r="I1168" s="96"/>
      <c r="J1168" s="271"/>
    </row>
    <row r="1169" spans="1:10">
      <c r="A1169" s="84"/>
      <c r="B1169" s="93" t="s">
        <v>231</v>
      </c>
      <c r="C1169" s="94"/>
      <c r="D1169" s="95"/>
      <c r="E1169" s="95"/>
      <c r="F1169" s="95"/>
      <c r="G1169" s="95"/>
      <c r="H1169" s="96"/>
      <c r="I1169" s="96"/>
      <c r="J1169" s="271"/>
    </row>
    <row r="1170" spans="1:10">
      <c r="A1170" s="84"/>
      <c r="B1170" s="93" t="s">
        <v>231</v>
      </c>
      <c r="C1170" s="94"/>
      <c r="D1170" s="95"/>
      <c r="E1170" s="95"/>
      <c r="F1170" s="95"/>
      <c r="G1170" s="95"/>
      <c r="H1170" s="96"/>
      <c r="I1170" s="96"/>
      <c r="J1170" s="271"/>
    </row>
    <row r="1171" spans="1:10">
      <c r="A1171" s="84"/>
      <c r="B1171" s="93" t="s">
        <v>231</v>
      </c>
      <c r="C1171" s="94"/>
      <c r="D1171" s="95"/>
      <c r="E1171" s="95"/>
      <c r="F1171" s="95"/>
      <c r="G1171" s="95"/>
      <c r="H1171" s="96"/>
      <c r="I1171" s="96"/>
      <c r="J1171" s="271"/>
    </row>
    <row r="1172" spans="1:10">
      <c r="A1172" s="84"/>
      <c r="B1172" s="93" t="s">
        <v>231</v>
      </c>
      <c r="C1172" s="94"/>
      <c r="D1172" s="95"/>
      <c r="E1172" s="95"/>
      <c r="F1172" s="95"/>
      <c r="G1172" s="95"/>
      <c r="H1172" s="96"/>
      <c r="I1172" s="96"/>
      <c r="J1172" s="271"/>
    </row>
    <row r="1173" spans="1:10">
      <c r="A1173" s="84"/>
      <c r="B1173" s="89"/>
      <c r="C1173" s="97"/>
      <c r="D1173" s="91"/>
      <c r="E1173" s="91"/>
      <c r="F1173" s="91"/>
      <c r="G1173" s="91" t="s">
        <v>255</v>
      </c>
      <c r="H1173" s="91"/>
      <c r="I1173" s="91"/>
      <c r="J1173" s="99">
        <f>+SUBTOTAL(9,J1166:J1172)</f>
        <v>214.73000000000002</v>
      </c>
    </row>
    <row r="1174" spans="1:10">
      <c r="A1174" s="84"/>
      <c r="B1174" s="89"/>
      <c r="C1174" s="97"/>
      <c r="D1174" s="91"/>
      <c r="E1174" s="91"/>
      <c r="F1174" s="91" t="s">
        <v>256</v>
      </c>
      <c r="G1174" s="91"/>
      <c r="H1174" s="91"/>
      <c r="I1174" s="91">
        <v>0</v>
      </c>
      <c r="J1174" s="99">
        <f>+ROUND(I1174*J1173,2)</f>
        <v>0</v>
      </c>
    </row>
    <row r="1175" spans="1:10">
      <c r="A1175" s="84"/>
      <c r="B1175" s="89"/>
      <c r="C1175" s="97"/>
      <c r="D1175" s="91"/>
      <c r="E1175" s="91"/>
      <c r="F1175" s="91" t="s">
        <v>257</v>
      </c>
      <c r="G1175" s="91"/>
      <c r="H1175" s="91"/>
      <c r="I1175" s="91"/>
      <c r="J1175" s="99">
        <f>+SUBTOTAL(9,J1166:J1174)</f>
        <v>214.73000000000002</v>
      </c>
    </row>
    <row r="1176" spans="1:10">
      <c r="A1176" s="84"/>
      <c r="B1176" s="98"/>
      <c r="C1176" s="97"/>
      <c r="D1176" s="91"/>
      <c r="E1176" s="91"/>
      <c r="F1176" s="91"/>
      <c r="G1176" s="91" t="s">
        <v>258</v>
      </c>
      <c r="H1176" s="91"/>
      <c r="I1176" s="91"/>
      <c r="J1176" s="275">
        <f>+SUBTOTAL(9,J1157:J1175)</f>
        <v>270.64</v>
      </c>
    </row>
    <row r="1177" spans="1:10">
      <c r="A1177" s="84"/>
      <c r="B1177" s="98"/>
      <c r="C1177" s="97" t="s">
        <v>259</v>
      </c>
      <c r="D1177" s="91">
        <v>3.9289900000000002</v>
      </c>
      <c r="E1177" s="91"/>
      <c r="F1177" s="91"/>
      <c r="G1177" s="91" t="s">
        <v>260</v>
      </c>
      <c r="H1177" s="91"/>
      <c r="I1177" s="91"/>
      <c r="J1177" s="275">
        <f>+ROUND(J1176/D1177,2)</f>
        <v>68.88</v>
      </c>
    </row>
    <row r="1178" spans="1:10">
      <c r="A1178" s="84"/>
      <c r="B1178" s="89" t="s">
        <v>228</v>
      </c>
      <c r="C1178" s="90" t="s">
        <v>261</v>
      </c>
      <c r="D1178" s="91"/>
      <c r="E1178" s="91"/>
      <c r="F1178" s="91"/>
      <c r="G1178" s="92" t="s">
        <v>230</v>
      </c>
      <c r="H1178" s="92" t="s">
        <v>262</v>
      </c>
      <c r="I1178" s="92" t="s">
        <v>263</v>
      </c>
      <c r="J1178" s="99" t="s">
        <v>264</v>
      </c>
    </row>
    <row r="1179" spans="1:10">
      <c r="A1179" s="84"/>
      <c r="B1179" s="89" t="s">
        <v>533</v>
      </c>
      <c r="C1179" s="90" t="s">
        <v>534</v>
      </c>
      <c r="D1179" s="91"/>
      <c r="E1179" s="91"/>
      <c r="F1179" s="91"/>
      <c r="G1179" s="92" t="s">
        <v>332</v>
      </c>
      <c r="H1179" s="92">
        <v>6.08</v>
      </c>
      <c r="I1179" s="92">
        <v>0.84645999999999999</v>
      </c>
      <c r="J1179" s="99">
        <f t="shared" ref="J1179:J1191" si="4">+ROUND(H1179*I1179,2)</f>
        <v>5.15</v>
      </c>
    </row>
    <row r="1180" spans="1:10">
      <c r="A1180" s="84"/>
      <c r="B1180" s="93" t="s">
        <v>535</v>
      </c>
      <c r="C1180" s="94" t="s">
        <v>536</v>
      </c>
      <c r="D1180" s="95"/>
      <c r="E1180" s="95"/>
      <c r="F1180" s="95"/>
      <c r="G1180" s="96" t="s">
        <v>234</v>
      </c>
      <c r="H1180" s="96">
        <v>30</v>
      </c>
      <c r="I1180" s="96">
        <v>0.63334000000000001</v>
      </c>
      <c r="J1180" s="271">
        <f t="shared" si="4"/>
        <v>19</v>
      </c>
    </row>
    <row r="1181" spans="1:10">
      <c r="A1181" s="84"/>
      <c r="B1181" s="93" t="s">
        <v>537</v>
      </c>
      <c r="C1181" s="94" t="s">
        <v>538</v>
      </c>
      <c r="D1181" s="95"/>
      <c r="E1181" s="95"/>
      <c r="F1181" s="95"/>
      <c r="G1181" s="96" t="s">
        <v>234</v>
      </c>
      <c r="H1181" s="96">
        <v>30</v>
      </c>
      <c r="I1181" s="96">
        <v>0.63334000000000001</v>
      </c>
      <c r="J1181" s="271">
        <f t="shared" si="4"/>
        <v>19</v>
      </c>
    </row>
    <row r="1182" spans="1:10">
      <c r="A1182" s="84"/>
      <c r="B1182" s="93" t="s">
        <v>539</v>
      </c>
      <c r="C1182" s="94" t="s">
        <v>540</v>
      </c>
      <c r="D1182" s="95"/>
      <c r="E1182" s="95"/>
      <c r="F1182" s="95"/>
      <c r="G1182" s="96" t="s">
        <v>234</v>
      </c>
      <c r="H1182" s="96">
        <v>94.9</v>
      </c>
      <c r="I1182" s="96">
        <v>0.36753999999999998</v>
      </c>
      <c r="J1182" s="271">
        <f t="shared" si="4"/>
        <v>34.880000000000003</v>
      </c>
    </row>
    <row r="1183" spans="1:10">
      <c r="A1183" s="84"/>
      <c r="B1183" s="93" t="s">
        <v>328</v>
      </c>
      <c r="C1183" s="94" t="s">
        <v>329</v>
      </c>
      <c r="D1183" s="95"/>
      <c r="E1183" s="95"/>
      <c r="F1183" s="95"/>
      <c r="G1183" s="96" t="s">
        <v>234</v>
      </c>
      <c r="H1183" s="96">
        <v>103.06</v>
      </c>
      <c r="I1183" s="96">
        <v>0.36753999999999998</v>
      </c>
      <c r="J1183" s="271">
        <f t="shared" si="4"/>
        <v>37.880000000000003</v>
      </c>
    </row>
    <row r="1184" spans="1:10">
      <c r="A1184" s="84"/>
      <c r="B1184" s="93" t="s">
        <v>541</v>
      </c>
      <c r="C1184" s="94" t="s">
        <v>542</v>
      </c>
      <c r="D1184" s="95"/>
      <c r="E1184" s="95"/>
      <c r="F1184" s="95"/>
      <c r="G1184" s="96" t="s">
        <v>234</v>
      </c>
      <c r="H1184" s="96">
        <v>94.9</v>
      </c>
      <c r="I1184" s="96">
        <v>0.36753999999999998</v>
      </c>
      <c r="J1184" s="271">
        <f t="shared" si="4"/>
        <v>34.880000000000003</v>
      </c>
    </row>
    <row r="1185" spans="1:10">
      <c r="A1185" s="84"/>
      <c r="B1185" s="93" t="s">
        <v>543</v>
      </c>
      <c r="C1185" s="94" t="s">
        <v>544</v>
      </c>
      <c r="D1185" s="95"/>
      <c r="E1185" s="95"/>
      <c r="F1185" s="95"/>
      <c r="G1185" s="96" t="s">
        <v>234</v>
      </c>
      <c r="H1185" s="96">
        <v>101.47</v>
      </c>
      <c r="I1185" s="96">
        <v>0.36753999999999998</v>
      </c>
      <c r="J1185" s="271">
        <f t="shared" si="4"/>
        <v>37.29</v>
      </c>
    </row>
    <row r="1186" spans="1:10">
      <c r="A1186" s="84"/>
      <c r="B1186" s="93" t="s">
        <v>545</v>
      </c>
      <c r="C1186" s="94" t="s">
        <v>546</v>
      </c>
      <c r="D1186" s="95"/>
      <c r="E1186" s="95"/>
      <c r="F1186" s="95"/>
      <c r="G1186" s="96" t="s">
        <v>332</v>
      </c>
      <c r="H1186" s="96">
        <v>0.62</v>
      </c>
      <c r="I1186" s="96">
        <v>282.15206999999998</v>
      </c>
      <c r="J1186" s="271">
        <f t="shared" si="4"/>
        <v>174.93</v>
      </c>
    </row>
    <row r="1187" spans="1:10">
      <c r="A1187" s="84"/>
      <c r="B1187" s="93" t="s">
        <v>547</v>
      </c>
      <c r="C1187" s="94" t="s">
        <v>548</v>
      </c>
      <c r="D1187" s="95"/>
      <c r="E1187" s="95"/>
      <c r="F1187" s="95"/>
      <c r="G1187" s="96" t="s">
        <v>270</v>
      </c>
      <c r="H1187" s="96">
        <v>33.81</v>
      </c>
      <c r="I1187" s="96">
        <v>8.4999999999999995E-4</v>
      </c>
      <c r="J1187" s="271">
        <f t="shared" si="4"/>
        <v>0.03</v>
      </c>
    </row>
    <row r="1188" spans="1:10">
      <c r="A1188" s="84"/>
      <c r="B1188" s="93" t="s">
        <v>549</v>
      </c>
      <c r="C1188" s="94" t="s">
        <v>550</v>
      </c>
      <c r="D1188" s="95"/>
      <c r="E1188" s="95"/>
      <c r="F1188" s="95"/>
      <c r="G1188" s="96" t="s">
        <v>270</v>
      </c>
      <c r="H1188" s="96">
        <v>1.75</v>
      </c>
      <c r="I1188" s="96">
        <v>0.95001000000000002</v>
      </c>
      <c r="J1188" s="271">
        <f t="shared" si="4"/>
        <v>1.66</v>
      </c>
    </row>
    <row r="1189" spans="1:10">
      <c r="A1189" s="84"/>
      <c r="B1189" s="93" t="s">
        <v>343</v>
      </c>
      <c r="C1189" s="94" t="s">
        <v>344</v>
      </c>
      <c r="D1189" s="95"/>
      <c r="E1189" s="95"/>
      <c r="F1189" s="95"/>
      <c r="G1189" s="96" t="s">
        <v>270</v>
      </c>
      <c r="H1189" s="96">
        <v>1.75</v>
      </c>
      <c r="I1189" s="96">
        <v>0.55130999999999997</v>
      </c>
      <c r="J1189" s="271">
        <f t="shared" si="4"/>
        <v>0.96</v>
      </c>
    </row>
    <row r="1190" spans="1:10">
      <c r="A1190" s="84"/>
      <c r="B1190" s="93" t="s">
        <v>551</v>
      </c>
      <c r="C1190" s="94" t="s">
        <v>552</v>
      </c>
      <c r="D1190" s="95"/>
      <c r="E1190" s="95"/>
      <c r="F1190" s="95"/>
      <c r="G1190" s="96" t="s">
        <v>270</v>
      </c>
      <c r="H1190" s="96">
        <v>1.75</v>
      </c>
      <c r="I1190" s="96">
        <v>0.55130999999999997</v>
      </c>
      <c r="J1190" s="271">
        <f t="shared" si="4"/>
        <v>0.96</v>
      </c>
    </row>
    <row r="1191" spans="1:10">
      <c r="A1191" s="84"/>
      <c r="B1191" s="93" t="s">
        <v>553</v>
      </c>
      <c r="C1191" s="94" t="s">
        <v>554</v>
      </c>
      <c r="D1191" s="95"/>
      <c r="E1191" s="95"/>
      <c r="F1191" s="95"/>
      <c r="G1191" s="96" t="s">
        <v>270</v>
      </c>
      <c r="H1191" s="96">
        <v>33.81</v>
      </c>
      <c r="I1191" s="96">
        <v>0.28215000000000001</v>
      </c>
      <c r="J1191" s="271">
        <f t="shared" si="4"/>
        <v>9.5399999999999991</v>
      </c>
    </row>
    <row r="1192" spans="1:10">
      <c r="A1192" s="84"/>
      <c r="B1192" s="89"/>
      <c r="C1192" s="97"/>
      <c r="D1192" s="91"/>
      <c r="E1192" s="91"/>
      <c r="F1192" s="91"/>
      <c r="G1192" s="91" t="s">
        <v>275</v>
      </c>
      <c r="H1192" s="91"/>
      <c r="I1192" s="91"/>
      <c r="J1192" s="99">
        <f>+SUBTOTAL(9,J1179:J1191)</f>
        <v>376.15999999999997</v>
      </c>
    </row>
    <row r="1193" spans="1:10">
      <c r="A1193" s="84"/>
      <c r="B1193" s="89" t="s">
        <v>228</v>
      </c>
      <c r="C1193" s="90" t="s">
        <v>276</v>
      </c>
      <c r="D1193" s="91"/>
      <c r="E1193" s="91"/>
      <c r="F1193" s="91"/>
      <c r="G1193" s="92" t="s">
        <v>230</v>
      </c>
      <c r="H1193" s="92" t="s">
        <v>262</v>
      </c>
      <c r="I1193" s="92" t="s">
        <v>263</v>
      </c>
      <c r="J1193" s="99" t="s">
        <v>264</v>
      </c>
    </row>
    <row r="1194" spans="1:10">
      <c r="A1194" s="84"/>
      <c r="B1194" s="89" t="s">
        <v>231</v>
      </c>
      <c r="C1194" s="90"/>
      <c r="D1194" s="91"/>
      <c r="E1194" s="91"/>
      <c r="F1194" s="91"/>
      <c r="G1194" s="92"/>
      <c r="H1194" s="92"/>
      <c r="I1194" s="92"/>
      <c r="J1194" s="99"/>
    </row>
    <row r="1195" spans="1:10">
      <c r="A1195" s="84"/>
      <c r="B1195" s="93" t="s">
        <v>231</v>
      </c>
      <c r="C1195" s="94"/>
      <c r="D1195" s="95"/>
      <c r="E1195" s="95"/>
      <c r="F1195" s="95"/>
      <c r="G1195" s="96"/>
      <c r="H1195" s="96"/>
      <c r="I1195" s="96"/>
      <c r="J1195" s="271"/>
    </row>
    <row r="1196" spans="1:10">
      <c r="A1196" s="84"/>
      <c r="B1196" s="93" t="s">
        <v>231</v>
      </c>
      <c r="C1196" s="94"/>
      <c r="D1196" s="95"/>
      <c r="E1196" s="95"/>
      <c r="F1196" s="95"/>
      <c r="G1196" s="96"/>
      <c r="H1196" s="96"/>
      <c r="I1196" s="96"/>
      <c r="J1196" s="271"/>
    </row>
    <row r="1197" spans="1:10">
      <c r="A1197" s="84"/>
      <c r="B1197" s="93" t="s">
        <v>231</v>
      </c>
      <c r="C1197" s="94"/>
      <c r="D1197" s="95"/>
      <c r="E1197" s="95"/>
      <c r="F1197" s="95"/>
      <c r="G1197" s="96"/>
      <c r="H1197" s="96"/>
      <c r="I1197" s="96"/>
      <c r="J1197" s="271"/>
    </row>
    <row r="1198" spans="1:10">
      <c r="A1198" s="84"/>
      <c r="B1198" s="93" t="s">
        <v>231</v>
      </c>
      <c r="C1198" s="94"/>
      <c r="D1198" s="95"/>
      <c r="E1198" s="95"/>
      <c r="F1198" s="95"/>
      <c r="G1198" s="96"/>
      <c r="H1198" s="96"/>
      <c r="I1198" s="96"/>
      <c r="J1198" s="271"/>
    </row>
    <row r="1199" spans="1:10">
      <c r="A1199" s="84"/>
      <c r="B1199" s="89"/>
      <c r="C1199" s="97"/>
      <c r="D1199" s="91"/>
      <c r="E1199" s="91"/>
      <c r="F1199" s="91"/>
      <c r="G1199" s="91" t="s">
        <v>279</v>
      </c>
      <c r="H1199" s="91"/>
      <c r="I1199" s="91"/>
      <c r="J1199" s="99">
        <f>+SUBTOTAL(9,J1194:J1198)</f>
        <v>0</v>
      </c>
    </row>
    <row r="1200" spans="1:10">
      <c r="A1200" s="84"/>
      <c r="B1200" s="89" t="s">
        <v>228</v>
      </c>
      <c r="C1200" s="90" t="s">
        <v>280</v>
      </c>
      <c r="D1200" s="92" t="s">
        <v>281</v>
      </c>
      <c r="E1200" s="92" t="s">
        <v>282</v>
      </c>
      <c r="F1200" s="92" t="s">
        <v>283</v>
      </c>
      <c r="G1200" s="92" t="s">
        <v>284</v>
      </c>
      <c r="H1200" s="92" t="s">
        <v>285</v>
      </c>
      <c r="I1200" s="92" t="s">
        <v>263</v>
      </c>
      <c r="J1200" s="99" t="s">
        <v>286</v>
      </c>
    </row>
    <row r="1201" spans="1:10">
      <c r="A1201" s="84"/>
      <c r="B1201" s="89" t="s">
        <v>555</v>
      </c>
      <c r="C1201" s="90" t="s">
        <v>556</v>
      </c>
      <c r="D1201" s="92" t="s">
        <v>289</v>
      </c>
      <c r="E1201" s="92">
        <v>0</v>
      </c>
      <c r="F1201" s="92">
        <v>56.58</v>
      </c>
      <c r="G1201" s="92">
        <v>56.58</v>
      </c>
      <c r="H1201" s="92">
        <v>0.74</v>
      </c>
      <c r="I1201" s="92">
        <v>8.4999999999999995E-4</v>
      </c>
      <c r="J1201" s="99">
        <f>+ROUND(G1201*H1201*I1201,2)</f>
        <v>0.04</v>
      </c>
    </row>
    <row r="1202" spans="1:10">
      <c r="A1202" s="84"/>
      <c r="B1202" s="93" t="s">
        <v>557</v>
      </c>
      <c r="C1202" s="94" t="s">
        <v>558</v>
      </c>
      <c r="D1202" s="96" t="s">
        <v>289</v>
      </c>
      <c r="E1202" s="96">
        <v>0</v>
      </c>
      <c r="F1202" s="96">
        <v>124</v>
      </c>
      <c r="G1202" s="96">
        <v>124</v>
      </c>
      <c r="H1202" s="96">
        <v>0.79</v>
      </c>
      <c r="I1202" s="96">
        <v>0.95001000000000002</v>
      </c>
      <c r="J1202" s="271">
        <f>+ROUND(G1202*H1202*I1202,2)</f>
        <v>93.06</v>
      </c>
    </row>
    <row r="1203" spans="1:10">
      <c r="A1203" s="84"/>
      <c r="B1203" s="93" t="s">
        <v>353</v>
      </c>
      <c r="C1203" s="94" t="s">
        <v>354</v>
      </c>
      <c r="D1203" s="96" t="s">
        <v>289</v>
      </c>
      <c r="E1203" s="96">
        <v>0</v>
      </c>
      <c r="F1203" s="96">
        <v>147</v>
      </c>
      <c r="G1203" s="96">
        <v>147</v>
      </c>
      <c r="H1203" s="96">
        <v>0.79</v>
      </c>
      <c r="I1203" s="96">
        <v>0.55130999999999997</v>
      </c>
      <c r="J1203" s="271">
        <f>+ROUND(G1203*H1203*I1203,2)</f>
        <v>64.02</v>
      </c>
    </row>
    <row r="1204" spans="1:10">
      <c r="A1204" s="84"/>
      <c r="B1204" s="93" t="s">
        <v>559</v>
      </c>
      <c r="C1204" s="94" t="s">
        <v>560</v>
      </c>
      <c r="D1204" s="96" t="s">
        <v>289</v>
      </c>
      <c r="E1204" s="96">
        <v>0</v>
      </c>
      <c r="F1204" s="96">
        <v>147</v>
      </c>
      <c r="G1204" s="96">
        <v>147</v>
      </c>
      <c r="H1204" s="96">
        <v>0.79</v>
      </c>
      <c r="I1204" s="96">
        <v>0.55130999999999997</v>
      </c>
      <c r="J1204" s="271">
        <f>+ROUND(G1204*H1204*I1204,2)</f>
        <v>64.02</v>
      </c>
    </row>
    <row r="1205" spans="1:10">
      <c r="A1205" s="84"/>
      <c r="B1205" s="93" t="s">
        <v>561</v>
      </c>
      <c r="C1205" s="94" t="s">
        <v>562</v>
      </c>
      <c r="D1205" s="96" t="s">
        <v>289</v>
      </c>
      <c r="E1205" s="96">
        <v>0</v>
      </c>
      <c r="F1205" s="96">
        <v>56.58</v>
      </c>
      <c r="G1205" s="96">
        <v>56.58</v>
      </c>
      <c r="H1205" s="96">
        <v>0.74</v>
      </c>
      <c r="I1205" s="96">
        <v>0.28215000000000001</v>
      </c>
      <c r="J1205" s="271">
        <f>+ROUND(G1205*H1205*I1205,2)</f>
        <v>11.81</v>
      </c>
    </row>
    <row r="1206" spans="1:10">
      <c r="A1206" s="84"/>
      <c r="B1206" s="93" t="s">
        <v>231</v>
      </c>
      <c r="C1206" s="94"/>
      <c r="D1206" s="96"/>
      <c r="E1206" s="96"/>
      <c r="F1206" s="96"/>
      <c r="G1206" s="96"/>
      <c r="H1206" s="96"/>
      <c r="I1206" s="96"/>
      <c r="J1206" s="271"/>
    </row>
    <row r="1207" spans="1:10">
      <c r="A1207" s="84"/>
      <c r="B1207" s="93" t="s">
        <v>231</v>
      </c>
      <c r="C1207" s="94"/>
      <c r="D1207" s="96"/>
      <c r="E1207" s="96"/>
      <c r="F1207" s="96"/>
      <c r="G1207" s="96"/>
      <c r="H1207" s="96"/>
      <c r="I1207" s="96"/>
      <c r="J1207" s="271"/>
    </row>
    <row r="1208" spans="1:10">
      <c r="A1208" s="84"/>
      <c r="B1208" s="89"/>
      <c r="C1208" s="97"/>
      <c r="D1208" s="91"/>
      <c r="E1208" s="91"/>
      <c r="F1208" s="91"/>
      <c r="G1208" s="91" t="s">
        <v>290</v>
      </c>
      <c r="H1208" s="91"/>
      <c r="I1208" s="91"/>
      <c r="J1208" s="99">
        <f>+SUBTOTAL(9,J1201:J1207)</f>
        <v>232.95</v>
      </c>
    </row>
    <row r="1209" spans="1:10">
      <c r="A1209" s="84"/>
      <c r="B1209" s="89" t="s">
        <v>291</v>
      </c>
      <c r="C1209" s="97"/>
      <c r="D1209" s="91"/>
      <c r="E1209" s="91"/>
      <c r="F1209" s="91"/>
      <c r="G1209" s="91"/>
      <c r="H1209" s="91"/>
      <c r="I1209" s="91"/>
      <c r="J1209" s="99">
        <f>+SUBTOTAL(9,J1177:J1207)</f>
        <v>677.9899999999999</v>
      </c>
    </row>
    <row r="1210" spans="1:10">
      <c r="A1210" s="84"/>
      <c r="B1210" s="89" t="s">
        <v>292</v>
      </c>
      <c r="C1210" s="97"/>
      <c r="D1210" s="91">
        <v>0</v>
      </c>
      <c r="E1210" s="91"/>
      <c r="F1210" s="91"/>
      <c r="G1210" s="91"/>
      <c r="H1210" s="91"/>
      <c r="I1210" s="91"/>
      <c r="J1210" s="99">
        <f>+ROUND(J1209*D1210/100,2)</f>
        <v>0</v>
      </c>
    </row>
    <row r="1211" spans="1:10" ht="14.4" thickBot="1">
      <c r="A1211" s="84"/>
      <c r="B1211" s="89" t="s">
        <v>293</v>
      </c>
      <c r="C1211" s="97"/>
      <c r="D1211" s="91"/>
      <c r="E1211" s="91"/>
      <c r="F1211" s="91"/>
      <c r="G1211" s="91"/>
      <c r="H1211" s="91"/>
      <c r="I1211" s="91"/>
      <c r="J1211" s="99">
        <f>+J1209+ J1210</f>
        <v>677.9899999999999</v>
      </c>
    </row>
    <row r="1212" spans="1:10">
      <c r="A1212" s="84"/>
      <c r="B1212" s="85" t="s">
        <v>294</v>
      </c>
      <c r="C1212" s="86"/>
      <c r="D1212" s="88"/>
      <c r="E1212" s="88"/>
      <c r="F1212" s="88" t="s">
        <v>295</v>
      </c>
      <c r="G1212" s="88"/>
      <c r="H1212" s="88"/>
      <c r="I1212" s="88" t="s">
        <v>296</v>
      </c>
      <c r="J1212" s="270"/>
    </row>
    <row r="1213" spans="1:10">
      <c r="A1213" s="84"/>
      <c r="B1213" s="93" t="s">
        <v>297</v>
      </c>
      <c r="C1213" s="84"/>
      <c r="D1213" s="95"/>
      <c r="E1213" s="95"/>
      <c r="F1213" s="95" t="s">
        <v>298</v>
      </c>
      <c r="G1213" s="95"/>
      <c r="H1213" s="95"/>
      <c r="I1213" s="95"/>
      <c r="J1213" s="276"/>
    </row>
    <row r="1214" spans="1:10">
      <c r="A1214" s="84"/>
      <c r="B1214" s="93" t="s">
        <v>299</v>
      </c>
      <c r="C1214" s="84"/>
      <c r="D1214" s="95"/>
      <c r="E1214" s="95"/>
      <c r="F1214" s="95" t="s">
        <v>300</v>
      </c>
      <c r="G1214" s="95"/>
      <c r="H1214" s="95"/>
      <c r="I1214" s="95"/>
      <c r="J1214" s="276"/>
    </row>
    <row r="1215" spans="1:10" ht="14.4" thickBot="1">
      <c r="A1215" s="84"/>
      <c r="B1215" s="100" t="s">
        <v>301</v>
      </c>
      <c r="C1215" s="84"/>
      <c r="D1215" s="95"/>
      <c r="E1215" s="95"/>
      <c r="F1215" s="95"/>
      <c r="G1215" s="95"/>
      <c r="H1215" s="95"/>
      <c r="I1215" s="95"/>
      <c r="J1215" s="277"/>
    </row>
    <row r="1216" spans="1:10">
      <c r="A1216" s="84"/>
      <c r="B1216" s="86"/>
      <c r="C1216" s="86"/>
      <c r="D1216" s="88"/>
      <c r="E1216" s="88"/>
      <c r="F1216" s="88"/>
      <c r="G1216" s="88"/>
      <c r="H1216" s="88"/>
      <c r="I1216" s="88"/>
      <c r="J1216" s="88"/>
    </row>
    <row r="1217" spans="1:10" ht="14.4" thickBot="1">
      <c r="A1217" s="84"/>
      <c r="B1217" s="84"/>
      <c r="C1217" s="84"/>
      <c r="D1217" s="95"/>
      <c r="E1217" s="95"/>
      <c r="F1217" s="95"/>
      <c r="G1217" s="95"/>
      <c r="H1217" s="95"/>
      <c r="I1217" s="95"/>
      <c r="J1217" s="95"/>
    </row>
    <row r="1218" spans="1:10">
      <c r="A1218" s="84"/>
      <c r="B1218" s="85"/>
      <c r="C1218" s="86"/>
      <c r="D1218" s="87" t="s">
        <v>227</v>
      </c>
      <c r="E1218" s="87"/>
      <c r="F1218" s="87"/>
      <c r="G1218" s="88"/>
      <c r="H1218" s="88"/>
      <c r="I1218" s="88"/>
      <c r="J1218" s="270"/>
    </row>
    <row r="1219" spans="1:10">
      <c r="A1219" s="84"/>
      <c r="B1219" s="89" t="s">
        <v>228</v>
      </c>
      <c r="C1219" s="90" t="s">
        <v>92</v>
      </c>
      <c r="D1219" s="91"/>
      <c r="E1219" s="91"/>
      <c r="F1219" s="91"/>
      <c r="G1219" s="91"/>
      <c r="H1219" s="92" t="s">
        <v>229</v>
      </c>
      <c r="I1219" s="91"/>
      <c r="J1219" s="99" t="s">
        <v>230</v>
      </c>
    </row>
    <row r="1220" spans="1:10">
      <c r="A1220" s="84"/>
      <c r="B1220" s="93" t="s">
        <v>231</v>
      </c>
      <c r="C1220" s="94" t="s">
        <v>563</v>
      </c>
      <c r="D1220" s="95"/>
      <c r="E1220" s="95"/>
      <c r="F1220" s="95"/>
      <c r="G1220" s="95"/>
      <c r="H1220" s="96" t="s">
        <v>233</v>
      </c>
      <c r="I1220" s="95"/>
      <c r="J1220" s="271" t="s">
        <v>386</v>
      </c>
    </row>
    <row r="1221" spans="1:10">
      <c r="A1221" s="84"/>
      <c r="B1221" s="89"/>
      <c r="C1221" s="90"/>
      <c r="D1221" s="91"/>
      <c r="E1221" s="92"/>
      <c r="F1221" s="92" t="s">
        <v>235</v>
      </c>
      <c r="G1221" s="92"/>
      <c r="H1221" s="92" t="s">
        <v>236</v>
      </c>
      <c r="I1221" s="92"/>
      <c r="J1221" s="99" t="s">
        <v>237</v>
      </c>
    </row>
    <row r="1222" spans="1:10">
      <c r="A1222" s="84"/>
      <c r="B1222" s="93" t="s">
        <v>228</v>
      </c>
      <c r="C1222" s="94" t="s">
        <v>238</v>
      </c>
      <c r="D1222" s="95"/>
      <c r="E1222" s="96" t="s">
        <v>239</v>
      </c>
      <c r="F1222" s="92" t="s">
        <v>240</v>
      </c>
      <c r="G1222" s="92" t="s">
        <v>241</v>
      </c>
      <c r="H1222" s="92" t="s">
        <v>240</v>
      </c>
      <c r="I1222" s="272" t="s">
        <v>241</v>
      </c>
      <c r="J1222" s="271" t="s">
        <v>242</v>
      </c>
    </row>
    <row r="1223" spans="1:10">
      <c r="A1223" s="84"/>
      <c r="B1223" s="273" t="s">
        <v>564</v>
      </c>
      <c r="C1223" s="90" t="s">
        <v>565</v>
      </c>
      <c r="D1223" s="91"/>
      <c r="E1223" s="92">
        <v>1</v>
      </c>
      <c r="F1223" s="92">
        <v>0.47</v>
      </c>
      <c r="G1223" s="92">
        <v>0.53</v>
      </c>
      <c r="H1223" s="92">
        <v>222.83</v>
      </c>
      <c r="I1223" s="92">
        <v>100.17</v>
      </c>
      <c r="J1223" s="99">
        <f>+ROUND(E1223* ((F1223*H1223) + (G1223*I1223)),2)</f>
        <v>157.82</v>
      </c>
    </row>
    <row r="1224" spans="1:10">
      <c r="A1224" s="84"/>
      <c r="B1224" s="274" t="s">
        <v>566</v>
      </c>
      <c r="C1224" s="94" t="s">
        <v>567</v>
      </c>
      <c r="D1224" s="95"/>
      <c r="E1224" s="96">
        <v>1</v>
      </c>
      <c r="F1224" s="96">
        <v>1</v>
      </c>
      <c r="G1224" s="96">
        <v>0</v>
      </c>
      <c r="H1224" s="96">
        <v>49.21</v>
      </c>
      <c r="I1224" s="96">
        <v>41.72</v>
      </c>
      <c r="J1224" s="271">
        <f>+ROUND(E1224* ((F1224*H1224) + (G1224*I1224)),2)</f>
        <v>49.21</v>
      </c>
    </row>
    <row r="1225" spans="1:10">
      <c r="A1225" s="84"/>
      <c r="B1225" s="274" t="s">
        <v>568</v>
      </c>
      <c r="C1225" s="94" t="s">
        <v>569</v>
      </c>
      <c r="D1225" s="95"/>
      <c r="E1225" s="96">
        <v>1</v>
      </c>
      <c r="F1225" s="96">
        <v>1</v>
      </c>
      <c r="G1225" s="96">
        <v>0</v>
      </c>
      <c r="H1225" s="96">
        <v>45.03</v>
      </c>
      <c r="I1225" s="96">
        <v>7.15</v>
      </c>
      <c r="J1225" s="271">
        <f>+ROUND(E1225* ((F1225*H1225) + (G1225*I1225)),2)</f>
        <v>45.03</v>
      </c>
    </row>
    <row r="1226" spans="1:10">
      <c r="A1226" s="84"/>
      <c r="B1226" s="93" t="s">
        <v>231</v>
      </c>
      <c r="C1226" s="94"/>
      <c r="D1226" s="95"/>
      <c r="E1226" s="96"/>
      <c r="F1226" s="96"/>
      <c r="G1226" s="96"/>
      <c r="H1226" s="96"/>
      <c r="I1226" s="96"/>
      <c r="J1226" s="271"/>
    </row>
    <row r="1227" spans="1:10">
      <c r="A1227" s="84"/>
      <c r="B1227" s="93" t="s">
        <v>231</v>
      </c>
      <c r="C1227" s="94"/>
      <c r="D1227" s="95"/>
      <c r="E1227" s="96"/>
      <c r="F1227" s="96"/>
      <c r="G1227" s="96"/>
      <c r="H1227" s="96"/>
      <c r="I1227" s="96"/>
      <c r="J1227" s="271"/>
    </row>
    <row r="1228" spans="1:10">
      <c r="A1228" s="84"/>
      <c r="B1228" s="93" t="s">
        <v>231</v>
      </c>
      <c r="C1228" s="94"/>
      <c r="D1228" s="95"/>
      <c r="E1228" s="96"/>
      <c r="F1228" s="96"/>
      <c r="G1228" s="96"/>
      <c r="H1228" s="96"/>
      <c r="I1228" s="96"/>
      <c r="J1228" s="271"/>
    </row>
    <row r="1229" spans="1:10">
      <c r="A1229" s="84"/>
      <c r="B1229" s="93" t="s">
        <v>231</v>
      </c>
      <c r="C1229" s="94"/>
      <c r="D1229" s="95"/>
      <c r="E1229" s="96"/>
      <c r="F1229" s="96"/>
      <c r="G1229" s="96"/>
      <c r="H1229" s="96"/>
      <c r="I1229" s="96"/>
      <c r="J1229" s="271"/>
    </row>
    <row r="1230" spans="1:10">
      <c r="A1230" s="84"/>
      <c r="B1230" s="89"/>
      <c r="C1230" s="97"/>
      <c r="D1230" s="91"/>
      <c r="E1230" s="91"/>
      <c r="F1230" s="91"/>
      <c r="G1230" s="91" t="s">
        <v>249</v>
      </c>
      <c r="H1230" s="91"/>
      <c r="I1230" s="91"/>
      <c r="J1230" s="99">
        <f>+SUBTOTAL(9,J1223:J1229)</f>
        <v>252.06</v>
      </c>
    </row>
    <row r="1231" spans="1:10">
      <c r="A1231" s="84"/>
      <c r="B1231" s="89" t="s">
        <v>228</v>
      </c>
      <c r="C1231" s="90" t="s">
        <v>250</v>
      </c>
      <c r="D1231" s="91"/>
      <c r="E1231" s="91"/>
      <c r="F1231" s="91"/>
      <c r="G1231" s="91"/>
      <c r="H1231" s="92" t="s">
        <v>239</v>
      </c>
      <c r="I1231" s="92" t="s">
        <v>251</v>
      </c>
      <c r="J1231" s="99" t="s">
        <v>252</v>
      </c>
    </row>
    <row r="1232" spans="1:10">
      <c r="A1232" s="84"/>
      <c r="B1232" s="89" t="s">
        <v>253</v>
      </c>
      <c r="C1232" s="90" t="s">
        <v>254</v>
      </c>
      <c r="D1232" s="91"/>
      <c r="E1232" s="91"/>
      <c r="F1232" s="91"/>
      <c r="G1232" s="91"/>
      <c r="H1232" s="92">
        <v>2</v>
      </c>
      <c r="I1232" s="92">
        <v>21.04</v>
      </c>
      <c r="J1232" s="99">
        <f>+ROUND(H1232*I1232,2)</f>
        <v>42.08</v>
      </c>
    </row>
    <row r="1233" spans="1:10">
      <c r="A1233" s="84"/>
      <c r="B1233" s="93" t="s">
        <v>231</v>
      </c>
      <c r="C1233" s="94"/>
      <c r="D1233" s="95"/>
      <c r="E1233" s="95"/>
      <c r="F1233" s="95"/>
      <c r="G1233" s="95"/>
      <c r="H1233" s="96"/>
      <c r="I1233" s="96"/>
      <c r="J1233" s="271"/>
    </row>
    <row r="1234" spans="1:10">
      <c r="A1234" s="84"/>
      <c r="B1234" s="93" t="s">
        <v>231</v>
      </c>
      <c r="C1234" s="94"/>
      <c r="D1234" s="95"/>
      <c r="E1234" s="95"/>
      <c r="F1234" s="95"/>
      <c r="G1234" s="95"/>
      <c r="H1234" s="96"/>
      <c r="I1234" s="96"/>
      <c r="J1234" s="271"/>
    </row>
    <row r="1235" spans="1:10">
      <c r="A1235" s="84"/>
      <c r="B1235" s="93" t="s">
        <v>231</v>
      </c>
      <c r="C1235" s="94"/>
      <c r="D1235" s="95"/>
      <c r="E1235" s="95"/>
      <c r="F1235" s="95"/>
      <c r="G1235" s="95"/>
      <c r="H1235" s="96"/>
      <c r="I1235" s="96"/>
      <c r="J1235" s="271"/>
    </row>
    <row r="1236" spans="1:10">
      <c r="A1236" s="84"/>
      <c r="B1236" s="93" t="s">
        <v>231</v>
      </c>
      <c r="C1236" s="94"/>
      <c r="D1236" s="95"/>
      <c r="E1236" s="95"/>
      <c r="F1236" s="95"/>
      <c r="G1236" s="95"/>
      <c r="H1236" s="96"/>
      <c r="I1236" s="96"/>
      <c r="J1236" s="271"/>
    </row>
    <row r="1237" spans="1:10">
      <c r="A1237" s="84"/>
      <c r="B1237" s="93" t="s">
        <v>231</v>
      </c>
      <c r="C1237" s="94"/>
      <c r="D1237" s="95"/>
      <c r="E1237" s="95"/>
      <c r="F1237" s="95"/>
      <c r="G1237" s="95"/>
      <c r="H1237" s="96"/>
      <c r="I1237" s="96"/>
      <c r="J1237" s="271"/>
    </row>
    <row r="1238" spans="1:10">
      <c r="A1238" s="84"/>
      <c r="B1238" s="93" t="s">
        <v>231</v>
      </c>
      <c r="C1238" s="94"/>
      <c r="D1238" s="95"/>
      <c r="E1238" s="95"/>
      <c r="F1238" s="95"/>
      <c r="G1238" s="95"/>
      <c r="H1238" s="96"/>
      <c r="I1238" s="96"/>
      <c r="J1238" s="271"/>
    </row>
    <row r="1239" spans="1:10">
      <c r="A1239" s="84"/>
      <c r="B1239" s="89"/>
      <c r="C1239" s="97"/>
      <c r="D1239" s="91"/>
      <c r="E1239" s="91"/>
      <c r="F1239" s="91"/>
      <c r="G1239" s="91" t="s">
        <v>255</v>
      </c>
      <c r="H1239" s="91"/>
      <c r="I1239" s="91"/>
      <c r="J1239" s="99">
        <f>+SUBTOTAL(9,J1232:J1238)</f>
        <v>42.08</v>
      </c>
    </row>
    <row r="1240" spans="1:10">
      <c r="A1240" s="84"/>
      <c r="B1240" s="89"/>
      <c r="C1240" s="97"/>
      <c r="D1240" s="91"/>
      <c r="E1240" s="91"/>
      <c r="F1240" s="91" t="s">
        <v>256</v>
      </c>
      <c r="G1240" s="91"/>
      <c r="H1240" s="91"/>
      <c r="I1240" s="91">
        <v>0</v>
      </c>
      <c r="J1240" s="99">
        <f>+ROUND(I1240*J1239,2)</f>
        <v>0</v>
      </c>
    </row>
    <row r="1241" spans="1:10">
      <c r="A1241" s="84"/>
      <c r="B1241" s="89"/>
      <c r="C1241" s="97"/>
      <c r="D1241" s="91"/>
      <c r="E1241" s="91"/>
      <c r="F1241" s="91" t="s">
        <v>257</v>
      </c>
      <c r="G1241" s="91"/>
      <c r="H1241" s="91"/>
      <c r="I1241" s="91"/>
      <c r="J1241" s="99">
        <f>+SUBTOTAL(9,J1232:J1240)</f>
        <v>42.08</v>
      </c>
    </row>
    <row r="1242" spans="1:10">
      <c r="A1242" s="84"/>
      <c r="B1242" s="98"/>
      <c r="C1242" s="97"/>
      <c r="D1242" s="91"/>
      <c r="E1242" s="91"/>
      <c r="F1242" s="91"/>
      <c r="G1242" s="91" t="s">
        <v>258</v>
      </c>
      <c r="H1242" s="91"/>
      <c r="I1242" s="91"/>
      <c r="J1242" s="275">
        <f>+SUBTOTAL(9,J1223:J1241)</f>
        <v>294.14</v>
      </c>
    </row>
    <row r="1243" spans="1:10">
      <c r="A1243" s="84"/>
      <c r="B1243" s="98"/>
      <c r="C1243" s="97" t="s">
        <v>259</v>
      </c>
      <c r="D1243" s="91">
        <v>32.479999999999997</v>
      </c>
      <c r="E1243" s="91"/>
      <c r="F1243" s="91"/>
      <c r="G1243" s="91" t="s">
        <v>260</v>
      </c>
      <c r="H1243" s="91"/>
      <c r="I1243" s="91"/>
      <c r="J1243" s="275">
        <f>+ROUND(J1242/D1243,2)</f>
        <v>9.06</v>
      </c>
    </row>
    <row r="1244" spans="1:10">
      <c r="A1244" s="84"/>
      <c r="B1244" s="89" t="s">
        <v>228</v>
      </c>
      <c r="C1244" s="90" t="s">
        <v>261</v>
      </c>
      <c r="D1244" s="91"/>
      <c r="E1244" s="91"/>
      <c r="F1244" s="91"/>
      <c r="G1244" s="92" t="s">
        <v>230</v>
      </c>
      <c r="H1244" s="92" t="s">
        <v>262</v>
      </c>
      <c r="I1244" s="92" t="s">
        <v>263</v>
      </c>
      <c r="J1244" s="99" t="s">
        <v>264</v>
      </c>
    </row>
    <row r="1245" spans="1:10">
      <c r="A1245" s="84"/>
      <c r="B1245" s="89" t="s">
        <v>231</v>
      </c>
      <c r="C1245" s="90"/>
      <c r="D1245" s="91"/>
      <c r="E1245" s="91"/>
      <c r="F1245" s="91"/>
      <c r="G1245" s="92"/>
      <c r="H1245" s="92"/>
      <c r="I1245" s="92"/>
      <c r="J1245" s="99"/>
    </row>
    <row r="1246" spans="1:10">
      <c r="A1246" s="84"/>
      <c r="B1246" s="93" t="s">
        <v>231</v>
      </c>
      <c r="C1246" s="94"/>
      <c r="D1246" s="95"/>
      <c r="E1246" s="95"/>
      <c r="F1246" s="95"/>
      <c r="G1246" s="96"/>
      <c r="H1246" s="96"/>
      <c r="I1246" s="96"/>
      <c r="J1246" s="271"/>
    </row>
    <row r="1247" spans="1:10">
      <c r="A1247" s="84"/>
      <c r="B1247" s="93" t="s">
        <v>231</v>
      </c>
      <c r="C1247" s="94"/>
      <c r="D1247" s="95"/>
      <c r="E1247" s="95"/>
      <c r="F1247" s="95"/>
      <c r="G1247" s="96"/>
      <c r="H1247" s="96"/>
      <c r="I1247" s="96"/>
      <c r="J1247" s="271"/>
    </row>
    <row r="1248" spans="1:10">
      <c r="A1248" s="84"/>
      <c r="B1248" s="93" t="s">
        <v>231</v>
      </c>
      <c r="C1248" s="94"/>
      <c r="D1248" s="95"/>
      <c r="E1248" s="95"/>
      <c r="F1248" s="95"/>
      <c r="G1248" s="96"/>
      <c r="H1248" s="96"/>
      <c r="I1248" s="96"/>
      <c r="J1248" s="271"/>
    </row>
    <row r="1249" spans="1:10">
      <c r="A1249" s="84"/>
      <c r="B1249" s="93" t="s">
        <v>231</v>
      </c>
      <c r="C1249" s="94"/>
      <c r="D1249" s="95"/>
      <c r="E1249" s="95"/>
      <c r="F1249" s="95"/>
      <c r="G1249" s="96"/>
      <c r="H1249" s="96"/>
      <c r="I1249" s="96"/>
      <c r="J1249" s="271"/>
    </row>
    <row r="1250" spans="1:10">
      <c r="A1250" s="84"/>
      <c r="B1250" s="93" t="s">
        <v>231</v>
      </c>
      <c r="C1250" s="94"/>
      <c r="D1250" s="95"/>
      <c r="E1250" s="95"/>
      <c r="F1250" s="95"/>
      <c r="G1250" s="96"/>
      <c r="H1250" s="96"/>
      <c r="I1250" s="96"/>
      <c r="J1250" s="271"/>
    </row>
    <row r="1251" spans="1:10">
      <c r="A1251" s="84"/>
      <c r="B1251" s="93" t="s">
        <v>231</v>
      </c>
      <c r="C1251" s="94"/>
      <c r="D1251" s="95"/>
      <c r="E1251" s="95"/>
      <c r="F1251" s="95"/>
      <c r="G1251" s="96"/>
      <c r="H1251" s="96"/>
      <c r="I1251" s="96"/>
      <c r="J1251" s="271"/>
    </row>
    <row r="1252" spans="1:10">
      <c r="A1252" s="84"/>
      <c r="B1252" s="89"/>
      <c r="C1252" s="97"/>
      <c r="D1252" s="91"/>
      <c r="E1252" s="91"/>
      <c r="F1252" s="91"/>
      <c r="G1252" s="91" t="s">
        <v>275</v>
      </c>
      <c r="H1252" s="91"/>
      <c r="I1252" s="91"/>
      <c r="J1252" s="99">
        <f>+SUBTOTAL(9,J1245:J1251)</f>
        <v>0</v>
      </c>
    </row>
    <row r="1253" spans="1:10">
      <c r="A1253" s="84"/>
      <c r="B1253" s="89" t="s">
        <v>228</v>
      </c>
      <c r="C1253" s="90" t="s">
        <v>276</v>
      </c>
      <c r="D1253" s="91"/>
      <c r="E1253" s="91"/>
      <c r="F1253" s="91"/>
      <c r="G1253" s="92" t="s">
        <v>230</v>
      </c>
      <c r="H1253" s="92" t="s">
        <v>262</v>
      </c>
      <c r="I1253" s="92" t="s">
        <v>263</v>
      </c>
      <c r="J1253" s="99" t="s">
        <v>264</v>
      </c>
    </row>
    <row r="1254" spans="1:10">
      <c r="A1254" s="84"/>
      <c r="B1254" s="89" t="s">
        <v>570</v>
      </c>
      <c r="C1254" s="90" t="s">
        <v>571</v>
      </c>
      <c r="D1254" s="91"/>
      <c r="E1254" s="91"/>
      <c r="F1254" s="91"/>
      <c r="G1254" s="92" t="s">
        <v>332</v>
      </c>
      <c r="H1254" s="92">
        <v>12.44</v>
      </c>
      <c r="I1254" s="92">
        <v>13.26793</v>
      </c>
      <c r="J1254" s="99">
        <f>+ROUND(H1254*I1254,2)</f>
        <v>165.05</v>
      </c>
    </row>
    <row r="1255" spans="1:10">
      <c r="A1255" s="84"/>
      <c r="B1255" s="93" t="s">
        <v>572</v>
      </c>
      <c r="C1255" s="94" t="s">
        <v>573</v>
      </c>
      <c r="D1255" s="95"/>
      <c r="E1255" s="95"/>
      <c r="F1255" s="95"/>
      <c r="G1255" s="96" t="s">
        <v>234</v>
      </c>
      <c r="H1255" s="96">
        <v>609.72</v>
      </c>
      <c r="I1255" s="96">
        <v>0.18645</v>
      </c>
      <c r="J1255" s="271">
        <f>+ROUND(H1255*I1255,2)</f>
        <v>113.68</v>
      </c>
    </row>
    <row r="1256" spans="1:10">
      <c r="A1256" s="84"/>
      <c r="B1256" s="93" t="s">
        <v>574</v>
      </c>
      <c r="C1256" s="94" t="s">
        <v>575</v>
      </c>
      <c r="D1256" s="95"/>
      <c r="E1256" s="95"/>
      <c r="F1256" s="95"/>
      <c r="G1256" s="96" t="s">
        <v>375</v>
      </c>
      <c r="H1256" s="96">
        <v>9.67</v>
      </c>
      <c r="I1256" s="96">
        <v>1.679</v>
      </c>
      <c r="J1256" s="271">
        <f>+ROUND(H1256*I1256,2)</f>
        <v>16.239999999999998</v>
      </c>
    </row>
    <row r="1257" spans="1:10">
      <c r="A1257" s="84"/>
      <c r="B1257" s="93" t="s">
        <v>231</v>
      </c>
      <c r="C1257" s="94"/>
      <c r="D1257" s="95"/>
      <c r="E1257" s="95"/>
      <c r="F1257" s="95"/>
      <c r="G1257" s="96"/>
      <c r="H1257" s="96"/>
      <c r="I1257" s="96"/>
      <c r="J1257" s="271"/>
    </row>
    <row r="1258" spans="1:10">
      <c r="A1258" s="84"/>
      <c r="B1258" s="93" t="s">
        <v>231</v>
      </c>
      <c r="C1258" s="94"/>
      <c r="D1258" s="95"/>
      <c r="E1258" s="95"/>
      <c r="F1258" s="95"/>
      <c r="G1258" s="96"/>
      <c r="H1258" s="96"/>
      <c r="I1258" s="96"/>
      <c r="J1258" s="271"/>
    </row>
    <row r="1259" spans="1:10">
      <c r="A1259" s="84"/>
      <c r="B1259" s="89"/>
      <c r="C1259" s="97"/>
      <c r="D1259" s="91"/>
      <c r="E1259" s="91"/>
      <c r="F1259" s="91"/>
      <c r="G1259" s="91" t="s">
        <v>279</v>
      </c>
      <c r="H1259" s="91"/>
      <c r="I1259" s="91"/>
      <c r="J1259" s="99">
        <f>+SUBTOTAL(9,J1254:J1258)</f>
        <v>294.97000000000003</v>
      </c>
    </row>
    <row r="1260" spans="1:10">
      <c r="A1260" s="84"/>
      <c r="B1260" s="89" t="s">
        <v>228</v>
      </c>
      <c r="C1260" s="90" t="s">
        <v>280</v>
      </c>
      <c r="D1260" s="92" t="s">
        <v>281</v>
      </c>
      <c r="E1260" s="92" t="s">
        <v>282</v>
      </c>
      <c r="F1260" s="92" t="s">
        <v>283</v>
      </c>
      <c r="G1260" s="92" t="s">
        <v>284</v>
      </c>
      <c r="H1260" s="92" t="s">
        <v>285</v>
      </c>
      <c r="I1260" s="92" t="s">
        <v>263</v>
      </c>
      <c r="J1260" s="99" t="s">
        <v>286</v>
      </c>
    </row>
    <row r="1261" spans="1:10">
      <c r="A1261" s="84"/>
      <c r="B1261" s="89" t="s">
        <v>231</v>
      </c>
      <c r="C1261" s="90"/>
      <c r="D1261" s="92"/>
      <c r="E1261" s="92"/>
      <c r="F1261" s="92"/>
      <c r="G1261" s="92"/>
      <c r="H1261" s="92"/>
      <c r="I1261" s="92"/>
      <c r="J1261" s="99"/>
    </row>
    <row r="1262" spans="1:10">
      <c r="A1262" s="84"/>
      <c r="B1262" s="93" t="s">
        <v>231</v>
      </c>
      <c r="C1262" s="94"/>
      <c r="D1262" s="96"/>
      <c r="E1262" s="96"/>
      <c r="F1262" s="96"/>
      <c r="G1262" s="96"/>
      <c r="H1262" s="96"/>
      <c r="I1262" s="96"/>
      <c r="J1262" s="271"/>
    </row>
    <row r="1263" spans="1:10">
      <c r="A1263" s="84"/>
      <c r="B1263" s="93" t="s">
        <v>231</v>
      </c>
      <c r="C1263" s="94"/>
      <c r="D1263" s="96"/>
      <c r="E1263" s="96"/>
      <c r="F1263" s="96"/>
      <c r="G1263" s="96"/>
      <c r="H1263" s="96"/>
      <c r="I1263" s="96"/>
      <c r="J1263" s="271"/>
    </row>
    <row r="1264" spans="1:10">
      <c r="A1264" s="84"/>
      <c r="B1264" s="93" t="s">
        <v>231</v>
      </c>
      <c r="C1264" s="94"/>
      <c r="D1264" s="96"/>
      <c r="E1264" s="96"/>
      <c r="F1264" s="96"/>
      <c r="G1264" s="96"/>
      <c r="H1264" s="96"/>
      <c r="I1264" s="96"/>
      <c r="J1264" s="271"/>
    </row>
    <row r="1265" spans="1:10">
      <c r="A1265" s="84"/>
      <c r="B1265" s="93" t="s">
        <v>231</v>
      </c>
      <c r="C1265" s="94"/>
      <c r="D1265" s="96"/>
      <c r="E1265" s="96"/>
      <c r="F1265" s="96"/>
      <c r="G1265" s="96"/>
      <c r="H1265" s="96"/>
      <c r="I1265" s="96"/>
      <c r="J1265" s="271"/>
    </row>
    <row r="1266" spans="1:10">
      <c r="A1266" s="84"/>
      <c r="B1266" s="93" t="s">
        <v>231</v>
      </c>
      <c r="C1266" s="94"/>
      <c r="D1266" s="96"/>
      <c r="E1266" s="96"/>
      <c r="F1266" s="96"/>
      <c r="G1266" s="96"/>
      <c r="H1266" s="96"/>
      <c r="I1266" s="96"/>
      <c r="J1266" s="271"/>
    </row>
    <row r="1267" spans="1:10">
      <c r="A1267" s="84"/>
      <c r="B1267" s="93" t="s">
        <v>231</v>
      </c>
      <c r="C1267" s="94"/>
      <c r="D1267" s="96"/>
      <c r="E1267" s="96"/>
      <c r="F1267" s="96"/>
      <c r="G1267" s="96"/>
      <c r="H1267" s="96"/>
      <c r="I1267" s="96"/>
      <c r="J1267" s="271"/>
    </row>
    <row r="1268" spans="1:10">
      <c r="A1268" s="84"/>
      <c r="B1268" s="89"/>
      <c r="C1268" s="97"/>
      <c r="D1268" s="91"/>
      <c r="E1268" s="91"/>
      <c r="F1268" s="91"/>
      <c r="G1268" s="91" t="s">
        <v>290</v>
      </c>
      <c r="H1268" s="91"/>
      <c r="I1268" s="91"/>
      <c r="J1268" s="99">
        <f>+SUBTOTAL(9,J1261:J1267)</f>
        <v>0</v>
      </c>
    </row>
    <row r="1269" spans="1:10">
      <c r="A1269" s="84"/>
      <c r="B1269" s="89" t="s">
        <v>291</v>
      </c>
      <c r="C1269" s="97"/>
      <c r="D1269" s="91"/>
      <c r="E1269" s="91"/>
      <c r="F1269" s="91"/>
      <c r="G1269" s="91"/>
      <c r="H1269" s="91"/>
      <c r="I1269" s="91"/>
      <c r="J1269" s="99">
        <f>+SUBTOTAL(9,J1243:J1267)</f>
        <v>304.03000000000003</v>
      </c>
    </row>
    <row r="1270" spans="1:10">
      <c r="A1270" s="84"/>
      <c r="B1270" s="89" t="s">
        <v>292</v>
      </c>
      <c r="C1270" s="97"/>
      <c r="D1270" s="91">
        <v>0</v>
      </c>
      <c r="E1270" s="91"/>
      <c r="F1270" s="91"/>
      <c r="G1270" s="91"/>
      <c r="H1270" s="91"/>
      <c r="I1270" s="91"/>
      <c r="J1270" s="99">
        <f>+ROUND(J1269*D1270/100,2)</f>
        <v>0</v>
      </c>
    </row>
    <row r="1271" spans="1:10" ht="14.4" thickBot="1">
      <c r="A1271" s="84"/>
      <c r="B1271" s="89" t="s">
        <v>293</v>
      </c>
      <c r="C1271" s="97"/>
      <c r="D1271" s="91"/>
      <c r="E1271" s="91"/>
      <c r="F1271" s="91"/>
      <c r="G1271" s="91"/>
      <c r="H1271" s="91"/>
      <c r="I1271" s="91"/>
      <c r="J1271" s="99">
        <f>+J1269+ J1270</f>
        <v>304.03000000000003</v>
      </c>
    </row>
    <row r="1272" spans="1:10">
      <c r="A1272" s="84"/>
      <c r="B1272" s="85" t="s">
        <v>294</v>
      </c>
      <c r="C1272" s="86"/>
      <c r="D1272" s="88"/>
      <c r="E1272" s="88"/>
      <c r="F1272" s="88" t="s">
        <v>295</v>
      </c>
      <c r="G1272" s="88"/>
      <c r="H1272" s="88"/>
      <c r="I1272" s="88" t="s">
        <v>296</v>
      </c>
      <c r="J1272" s="270"/>
    </row>
    <row r="1273" spans="1:10">
      <c r="A1273" s="84"/>
      <c r="B1273" s="93" t="s">
        <v>297</v>
      </c>
      <c r="C1273" s="84"/>
      <c r="D1273" s="95"/>
      <c r="E1273" s="95"/>
      <c r="F1273" s="95" t="s">
        <v>298</v>
      </c>
      <c r="G1273" s="95"/>
      <c r="H1273" s="95"/>
      <c r="I1273" s="95"/>
      <c r="J1273" s="276"/>
    </row>
    <row r="1274" spans="1:10">
      <c r="A1274" s="84"/>
      <c r="B1274" s="93" t="s">
        <v>299</v>
      </c>
      <c r="C1274" s="84"/>
      <c r="D1274" s="95"/>
      <c r="E1274" s="95"/>
      <c r="F1274" s="95" t="s">
        <v>300</v>
      </c>
      <c r="G1274" s="95"/>
      <c r="H1274" s="95"/>
      <c r="I1274" s="95"/>
      <c r="J1274" s="276"/>
    </row>
    <row r="1275" spans="1:10" ht="14.4" thickBot="1">
      <c r="A1275" s="84"/>
      <c r="B1275" s="100" t="s">
        <v>301</v>
      </c>
      <c r="C1275" s="84"/>
      <c r="D1275" s="95"/>
      <c r="E1275" s="95"/>
      <c r="F1275" s="95"/>
      <c r="G1275" s="95"/>
      <c r="H1275" s="95"/>
      <c r="I1275" s="95"/>
      <c r="J1275" s="277"/>
    </row>
    <row r="1276" spans="1:10">
      <c r="A1276" s="84"/>
      <c r="B1276" s="86"/>
      <c r="C1276" s="86"/>
      <c r="D1276" s="88"/>
      <c r="E1276" s="88"/>
      <c r="F1276" s="88"/>
      <c r="G1276" s="88"/>
      <c r="H1276" s="88"/>
      <c r="I1276" s="88"/>
      <c r="J1276" s="88"/>
    </row>
    <row r="1277" spans="1:10" ht="14.4" thickBot="1">
      <c r="A1277" s="84"/>
      <c r="B1277" s="84"/>
      <c r="C1277" s="84"/>
      <c r="D1277" s="95"/>
      <c r="E1277" s="95"/>
      <c r="F1277" s="95"/>
      <c r="G1277" s="95"/>
      <c r="H1277" s="95"/>
      <c r="I1277" s="95"/>
      <c r="J1277" s="95"/>
    </row>
    <row r="1278" spans="1:10">
      <c r="A1278" s="84"/>
      <c r="B1278" s="85"/>
      <c r="C1278" s="86"/>
      <c r="D1278" s="87" t="s">
        <v>227</v>
      </c>
      <c r="E1278" s="87"/>
      <c r="F1278" s="87"/>
      <c r="G1278" s="88"/>
      <c r="H1278" s="88"/>
      <c r="I1278" s="88"/>
      <c r="J1278" s="270"/>
    </row>
    <row r="1279" spans="1:10">
      <c r="A1279" s="84"/>
      <c r="B1279" s="89" t="s">
        <v>228</v>
      </c>
      <c r="C1279" s="90" t="s">
        <v>92</v>
      </c>
      <c r="D1279" s="91"/>
      <c r="E1279" s="91"/>
      <c r="F1279" s="91"/>
      <c r="G1279" s="91"/>
      <c r="H1279" s="92" t="s">
        <v>229</v>
      </c>
      <c r="I1279" s="91"/>
      <c r="J1279" s="99" t="s">
        <v>230</v>
      </c>
    </row>
    <row r="1280" spans="1:10">
      <c r="A1280" s="84"/>
      <c r="B1280" s="93" t="s">
        <v>570</v>
      </c>
      <c r="C1280" s="94" t="s">
        <v>576</v>
      </c>
      <c r="D1280" s="95"/>
      <c r="E1280" s="95"/>
      <c r="F1280" s="95"/>
      <c r="G1280" s="95"/>
      <c r="H1280" s="96" t="s">
        <v>233</v>
      </c>
      <c r="I1280" s="95"/>
      <c r="J1280" s="271" t="s">
        <v>332</v>
      </c>
    </row>
    <row r="1281" spans="1:10">
      <c r="A1281" s="84"/>
      <c r="B1281" s="89"/>
      <c r="C1281" s="90"/>
      <c r="D1281" s="91"/>
      <c r="E1281" s="92"/>
      <c r="F1281" s="92" t="s">
        <v>235</v>
      </c>
      <c r="G1281" s="92"/>
      <c r="H1281" s="92" t="s">
        <v>236</v>
      </c>
      <c r="I1281" s="92"/>
      <c r="J1281" s="99" t="s">
        <v>237</v>
      </c>
    </row>
    <row r="1282" spans="1:10">
      <c r="A1282" s="84"/>
      <c r="B1282" s="93" t="s">
        <v>228</v>
      </c>
      <c r="C1282" s="94" t="s">
        <v>238</v>
      </c>
      <c r="D1282" s="95"/>
      <c r="E1282" s="96" t="s">
        <v>239</v>
      </c>
      <c r="F1282" s="92" t="s">
        <v>240</v>
      </c>
      <c r="G1282" s="92" t="s">
        <v>241</v>
      </c>
      <c r="H1282" s="92" t="s">
        <v>240</v>
      </c>
      <c r="I1282" s="272" t="s">
        <v>241</v>
      </c>
      <c r="J1282" s="271" t="s">
        <v>242</v>
      </c>
    </row>
    <row r="1283" spans="1:10">
      <c r="A1283" s="84"/>
      <c r="B1283" s="89" t="s">
        <v>231</v>
      </c>
      <c r="C1283" s="90"/>
      <c r="D1283" s="91"/>
      <c r="E1283" s="92"/>
      <c r="F1283" s="92"/>
      <c r="G1283" s="92"/>
      <c r="H1283" s="92"/>
      <c r="I1283" s="92"/>
      <c r="J1283" s="99"/>
    </row>
    <row r="1284" spans="1:10">
      <c r="A1284" s="84"/>
      <c r="B1284" s="93" t="s">
        <v>231</v>
      </c>
      <c r="C1284" s="94"/>
      <c r="D1284" s="95"/>
      <c r="E1284" s="96"/>
      <c r="F1284" s="96"/>
      <c r="G1284" s="96"/>
      <c r="H1284" s="96"/>
      <c r="I1284" s="96"/>
      <c r="J1284" s="271"/>
    </row>
    <row r="1285" spans="1:10">
      <c r="A1285" s="84"/>
      <c r="B1285" s="93" t="s">
        <v>231</v>
      </c>
      <c r="C1285" s="94"/>
      <c r="D1285" s="95"/>
      <c r="E1285" s="96"/>
      <c r="F1285" s="96"/>
      <c r="G1285" s="96"/>
      <c r="H1285" s="96"/>
      <c r="I1285" s="96"/>
      <c r="J1285" s="271"/>
    </row>
    <row r="1286" spans="1:10">
      <c r="A1286" s="84"/>
      <c r="B1286" s="93" t="s">
        <v>231</v>
      </c>
      <c r="C1286" s="94"/>
      <c r="D1286" s="95"/>
      <c r="E1286" s="96"/>
      <c r="F1286" s="96"/>
      <c r="G1286" s="96"/>
      <c r="H1286" s="96"/>
      <c r="I1286" s="96"/>
      <c r="J1286" s="271"/>
    </row>
    <row r="1287" spans="1:10">
      <c r="A1287" s="84"/>
      <c r="B1287" s="93" t="s">
        <v>231</v>
      </c>
      <c r="C1287" s="94"/>
      <c r="D1287" s="95"/>
      <c r="E1287" s="96"/>
      <c r="F1287" s="96"/>
      <c r="G1287" s="96"/>
      <c r="H1287" s="96"/>
      <c r="I1287" s="96"/>
      <c r="J1287" s="271"/>
    </row>
    <row r="1288" spans="1:10">
      <c r="A1288" s="84"/>
      <c r="B1288" s="93" t="s">
        <v>231</v>
      </c>
      <c r="C1288" s="94"/>
      <c r="D1288" s="95"/>
      <c r="E1288" s="96"/>
      <c r="F1288" s="96"/>
      <c r="G1288" s="96"/>
      <c r="H1288" s="96"/>
      <c r="I1288" s="96"/>
      <c r="J1288" s="271"/>
    </row>
    <row r="1289" spans="1:10">
      <c r="A1289" s="84"/>
      <c r="B1289" s="93" t="s">
        <v>231</v>
      </c>
      <c r="C1289" s="94"/>
      <c r="D1289" s="95"/>
      <c r="E1289" s="96"/>
      <c r="F1289" s="96"/>
      <c r="G1289" s="96"/>
      <c r="H1289" s="96"/>
      <c r="I1289" s="96"/>
      <c r="J1289" s="271"/>
    </row>
    <row r="1290" spans="1:10">
      <c r="A1290" s="84"/>
      <c r="B1290" s="89"/>
      <c r="C1290" s="97"/>
      <c r="D1290" s="91"/>
      <c r="E1290" s="91"/>
      <c r="F1290" s="91"/>
      <c r="G1290" s="91" t="s">
        <v>249</v>
      </c>
      <c r="H1290" s="91"/>
      <c r="I1290" s="91"/>
      <c r="J1290" s="99">
        <f>+SUBTOTAL(9,J1283:J1289)</f>
        <v>0</v>
      </c>
    </row>
    <row r="1291" spans="1:10">
      <c r="A1291" s="84"/>
      <c r="B1291" s="89" t="s">
        <v>228</v>
      </c>
      <c r="C1291" s="90" t="s">
        <v>250</v>
      </c>
      <c r="D1291" s="91"/>
      <c r="E1291" s="91"/>
      <c r="F1291" s="91"/>
      <c r="G1291" s="91"/>
      <c r="H1291" s="92" t="s">
        <v>239</v>
      </c>
      <c r="I1291" s="92" t="s">
        <v>251</v>
      </c>
      <c r="J1291" s="99" t="s">
        <v>252</v>
      </c>
    </row>
    <row r="1292" spans="1:10">
      <c r="A1292" s="84"/>
      <c r="B1292" s="89" t="s">
        <v>461</v>
      </c>
      <c r="C1292" s="90" t="s">
        <v>462</v>
      </c>
      <c r="D1292" s="91"/>
      <c r="E1292" s="91"/>
      <c r="F1292" s="91"/>
      <c r="G1292" s="91"/>
      <c r="H1292" s="92">
        <v>0.09</v>
      </c>
      <c r="I1292" s="92">
        <v>22.84</v>
      </c>
      <c r="J1292" s="99">
        <f>+ROUND(H1292*I1292,2)</f>
        <v>2.06</v>
      </c>
    </row>
    <row r="1293" spans="1:10">
      <c r="A1293" s="84"/>
      <c r="B1293" s="93" t="s">
        <v>577</v>
      </c>
      <c r="C1293" s="94" t="s">
        <v>578</v>
      </c>
      <c r="D1293" s="95"/>
      <c r="E1293" s="95"/>
      <c r="F1293" s="95"/>
      <c r="G1293" s="95"/>
      <c r="H1293" s="96">
        <v>0.09</v>
      </c>
      <c r="I1293" s="96">
        <v>31.65</v>
      </c>
      <c r="J1293" s="271">
        <f>+ROUND(H1293*I1293,2)</f>
        <v>2.85</v>
      </c>
    </row>
    <row r="1294" spans="1:10">
      <c r="A1294" s="84"/>
      <c r="B1294" s="93" t="s">
        <v>231</v>
      </c>
      <c r="C1294" s="94"/>
      <c r="D1294" s="95"/>
      <c r="E1294" s="95"/>
      <c r="F1294" s="95"/>
      <c r="G1294" s="95"/>
      <c r="H1294" s="96"/>
      <c r="I1294" s="96"/>
      <c r="J1294" s="271"/>
    </row>
    <row r="1295" spans="1:10">
      <c r="A1295" s="84"/>
      <c r="B1295" s="93" t="s">
        <v>231</v>
      </c>
      <c r="C1295" s="94"/>
      <c r="D1295" s="95"/>
      <c r="E1295" s="95"/>
      <c r="F1295" s="95"/>
      <c r="G1295" s="95"/>
      <c r="H1295" s="96"/>
      <c r="I1295" s="96"/>
      <c r="J1295" s="271"/>
    </row>
    <row r="1296" spans="1:10">
      <c r="A1296" s="84"/>
      <c r="B1296" s="93" t="s">
        <v>231</v>
      </c>
      <c r="C1296" s="94"/>
      <c r="D1296" s="95"/>
      <c r="E1296" s="95"/>
      <c r="F1296" s="95"/>
      <c r="G1296" s="95"/>
      <c r="H1296" s="96"/>
      <c r="I1296" s="96"/>
      <c r="J1296" s="271"/>
    </row>
    <row r="1297" spans="1:10">
      <c r="A1297" s="84"/>
      <c r="B1297" s="93" t="s">
        <v>231</v>
      </c>
      <c r="C1297" s="94"/>
      <c r="D1297" s="95"/>
      <c r="E1297" s="95"/>
      <c r="F1297" s="95"/>
      <c r="G1297" s="95"/>
      <c r="H1297" s="96"/>
      <c r="I1297" s="96"/>
      <c r="J1297" s="271"/>
    </row>
    <row r="1298" spans="1:10">
      <c r="A1298" s="84"/>
      <c r="B1298" s="93" t="s">
        <v>231</v>
      </c>
      <c r="C1298" s="94"/>
      <c r="D1298" s="95"/>
      <c r="E1298" s="95"/>
      <c r="F1298" s="95"/>
      <c r="G1298" s="95"/>
      <c r="H1298" s="96"/>
      <c r="I1298" s="96"/>
      <c r="J1298" s="271"/>
    </row>
    <row r="1299" spans="1:10">
      <c r="A1299" s="84"/>
      <c r="B1299" s="89"/>
      <c r="C1299" s="97"/>
      <c r="D1299" s="91"/>
      <c r="E1299" s="91"/>
      <c r="F1299" s="91"/>
      <c r="G1299" s="91" t="s">
        <v>255</v>
      </c>
      <c r="H1299" s="91"/>
      <c r="I1299" s="91"/>
      <c r="J1299" s="99">
        <f>+SUBTOTAL(9,J1292:J1298)</f>
        <v>4.91</v>
      </c>
    </row>
    <row r="1300" spans="1:10">
      <c r="A1300" s="84"/>
      <c r="B1300" s="89"/>
      <c r="C1300" s="97"/>
      <c r="D1300" s="91"/>
      <c r="E1300" s="91"/>
      <c r="F1300" s="91" t="s">
        <v>256</v>
      </c>
      <c r="G1300" s="91"/>
      <c r="H1300" s="91"/>
      <c r="I1300" s="91">
        <v>0</v>
      </c>
      <c r="J1300" s="99">
        <f>+ROUND(I1300*J1299,2)</f>
        <v>0</v>
      </c>
    </row>
    <row r="1301" spans="1:10">
      <c r="A1301" s="84"/>
      <c r="B1301" s="89"/>
      <c r="C1301" s="97"/>
      <c r="D1301" s="91"/>
      <c r="E1301" s="91"/>
      <c r="F1301" s="91" t="s">
        <v>257</v>
      </c>
      <c r="G1301" s="91"/>
      <c r="H1301" s="91"/>
      <c r="I1301" s="91"/>
      <c r="J1301" s="99">
        <f>+SUBTOTAL(9,J1292:J1300)</f>
        <v>4.91</v>
      </c>
    </row>
    <row r="1302" spans="1:10">
      <c r="A1302" s="84"/>
      <c r="B1302" s="98"/>
      <c r="C1302" s="97"/>
      <c r="D1302" s="91"/>
      <c r="E1302" s="91"/>
      <c r="F1302" s="91"/>
      <c r="G1302" s="91" t="s">
        <v>258</v>
      </c>
      <c r="H1302" s="91"/>
      <c r="I1302" s="91"/>
      <c r="J1302" s="275">
        <f>+SUBTOTAL(9,J1283:J1301)</f>
        <v>4.91</v>
      </c>
    </row>
    <row r="1303" spans="1:10">
      <c r="A1303" s="84"/>
      <c r="B1303" s="98"/>
      <c r="C1303" s="97" t="s">
        <v>259</v>
      </c>
      <c r="D1303" s="91">
        <v>1</v>
      </c>
      <c r="E1303" s="91"/>
      <c r="F1303" s="91"/>
      <c r="G1303" s="91" t="s">
        <v>260</v>
      </c>
      <c r="H1303" s="91"/>
      <c r="I1303" s="91"/>
      <c r="J1303" s="275">
        <f>+ROUND(J1302/D1303,2)</f>
        <v>4.91</v>
      </c>
    </row>
    <row r="1304" spans="1:10">
      <c r="A1304" s="84"/>
      <c r="B1304" s="89" t="s">
        <v>228</v>
      </c>
      <c r="C1304" s="90" t="s">
        <v>261</v>
      </c>
      <c r="D1304" s="91"/>
      <c r="E1304" s="91"/>
      <c r="F1304" s="91"/>
      <c r="G1304" s="92" t="s">
        <v>230</v>
      </c>
      <c r="H1304" s="92" t="s">
        <v>262</v>
      </c>
      <c r="I1304" s="92" t="s">
        <v>263</v>
      </c>
      <c r="J1304" s="99" t="s">
        <v>264</v>
      </c>
    </row>
    <row r="1305" spans="1:10">
      <c r="A1305" s="84"/>
      <c r="B1305" s="89" t="s">
        <v>579</v>
      </c>
      <c r="C1305" s="90" t="s">
        <v>580</v>
      </c>
      <c r="D1305" s="91"/>
      <c r="E1305" s="91"/>
      <c r="F1305" s="91"/>
      <c r="G1305" s="92" t="s">
        <v>332</v>
      </c>
      <c r="H1305" s="92">
        <v>6.6</v>
      </c>
      <c r="I1305" s="92">
        <v>1.1000000000000001</v>
      </c>
      <c r="J1305" s="99">
        <f>+ROUND(H1305*I1305,2)</f>
        <v>7.26</v>
      </c>
    </row>
    <row r="1306" spans="1:10">
      <c r="A1306" s="84"/>
      <c r="B1306" s="93" t="s">
        <v>581</v>
      </c>
      <c r="C1306" s="94" t="s">
        <v>582</v>
      </c>
      <c r="D1306" s="95"/>
      <c r="E1306" s="95"/>
      <c r="F1306" s="95"/>
      <c r="G1306" s="96" t="s">
        <v>332</v>
      </c>
      <c r="H1306" s="96">
        <v>12.85</v>
      </c>
      <c r="I1306" s="96">
        <v>1.4999999999999999E-2</v>
      </c>
      <c r="J1306" s="271">
        <f>+ROUND(H1306*I1306,2)</f>
        <v>0.19</v>
      </c>
    </row>
    <row r="1307" spans="1:10">
      <c r="A1307" s="84"/>
      <c r="B1307" s="93" t="s">
        <v>583</v>
      </c>
      <c r="C1307" s="94" t="s">
        <v>584</v>
      </c>
      <c r="D1307" s="95"/>
      <c r="E1307" s="95"/>
      <c r="F1307" s="95"/>
      <c r="G1307" s="96" t="s">
        <v>270</v>
      </c>
      <c r="H1307" s="96">
        <v>33.81</v>
      </c>
      <c r="I1307" s="96">
        <v>1.1000000000000001E-3</v>
      </c>
      <c r="J1307" s="271">
        <f>+ROUND(H1307*I1307,2)</f>
        <v>0.04</v>
      </c>
    </row>
    <row r="1308" spans="1:10">
      <c r="A1308" s="84"/>
      <c r="B1308" s="93" t="s">
        <v>585</v>
      </c>
      <c r="C1308" s="94" t="s">
        <v>586</v>
      </c>
      <c r="D1308" s="95"/>
      <c r="E1308" s="95"/>
      <c r="F1308" s="95"/>
      <c r="G1308" s="96" t="s">
        <v>270</v>
      </c>
      <c r="H1308" s="96">
        <v>33.81</v>
      </c>
      <c r="I1308" s="96">
        <v>2.0000000000000002E-5</v>
      </c>
      <c r="J1308" s="271">
        <f>+ROUND(H1308*I1308,2)</f>
        <v>0</v>
      </c>
    </row>
    <row r="1309" spans="1:10">
      <c r="A1309" s="84"/>
      <c r="B1309" s="93" t="s">
        <v>231</v>
      </c>
      <c r="C1309" s="94"/>
      <c r="D1309" s="95"/>
      <c r="E1309" s="95"/>
      <c r="F1309" s="95"/>
      <c r="G1309" s="96"/>
      <c r="H1309" s="96"/>
      <c r="I1309" s="96"/>
      <c r="J1309" s="271"/>
    </row>
    <row r="1310" spans="1:10">
      <c r="A1310" s="84"/>
      <c r="B1310" s="93" t="s">
        <v>231</v>
      </c>
      <c r="C1310" s="94"/>
      <c r="D1310" s="95"/>
      <c r="E1310" s="95"/>
      <c r="F1310" s="95"/>
      <c r="G1310" s="96"/>
      <c r="H1310" s="96"/>
      <c r="I1310" s="96"/>
      <c r="J1310" s="271"/>
    </row>
    <row r="1311" spans="1:10">
      <c r="A1311" s="84"/>
      <c r="B1311" s="93" t="s">
        <v>231</v>
      </c>
      <c r="C1311" s="94"/>
      <c r="D1311" s="95"/>
      <c r="E1311" s="95"/>
      <c r="F1311" s="95"/>
      <c r="G1311" s="96"/>
      <c r="H1311" s="96"/>
      <c r="I1311" s="96"/>
      <c r="J1311" s="271"/>
    </row>
    <row r="1312" spans="1:10">
      <c r="A1312" s="84"/>
      <c r="B1312" s="89"/>
      <c r="C1312" s="97"/>
      <c r="D1312" s="91"/>
      <c r="E1312" s="91"/>
      <c r="F1312" s="91"/>
      <c r="G1312" s="91" t="s">
        <v>275</v>
      </c>
      <c r="H1312" s="91"/>
      <c r="I1312" s="91"/>
      <c r="J1312" s="99">
        <f>+SUBTOTAL(9,J1305:J1311)</f>
        <v>7.49</v>
      </c>
    </row>
    <row r="1313" spans="1:10">
      <c r="A1313" s="84"/>
      <c r="B1313" s="89" t="s">
        <v>228</v>
      </c>
      <c r="C1313" s="90" t="s">
        <v>276</v>
      </c>
      <c r="D1313" s="91"/>
      <c r="E1313" s="91"/>
      <c r="F1313" s="91"/>
      <c r="G1313" s="92" t="s">
        <v>230</v>
      </c>
      <c r="H1313" s="92" t="s">
        <v>262</v>
      </c>
      <c r="I1313" s="92" t="s">
        <v>263</v>
      </c>
      <c r="J1313" s="99" t="s">
        <v>264</v>
      </c>
    </row>
    <row r="1314" spans="1:10">
      <c r="A1314" s="84"/>
      <c r="B1314" s="89" t="s">
        <v>231</v>
      </c>
      <c r="C1314" s="90"/>
      <c r="D1314" s="91"/>
      <c r="E1314" s="91"/>
      <c r="F1314" s="91"/>
      <c r="G1314" s="92"/>
      <c r="H1314" s="92"/>
      <c r="I1314" s="92"/>
      <c r="J1314" s="99"/>
    </row>
    <row r="1315" spans="1:10">
      <c r="A1315" s="84"/>
      <c r="B1315" s="93" t="s">
        <v>231</v>
      </c>
      <c r="C1315" s="94"/>
      <c r="D1315" s="95"/>
      <c r="E1315" s="95"/>
      <c r="F1315" s="95"/>
      <c r="G1315" s="96"/>
      <c r="H1315" s="96"/>
      <c r="I1315" s="96"/>
      <c r="J1315" s="271"/>
    </row>
    <row r="1316" spans="1:10">
      <c r="A1316" s="84"/>
      <c r="B1316" s="93" t="s">
        <v>231</v>
      </c>
      <c r="C1316" s="94"/>
      <c r="D1316" s="95"/>
      <c r="E1316" s="95"/>
      <c r="F1316" s="95"/>
      <c r="G1316" s="96"/>
      <c r="H1316" s="96"/>
      <c r="I1316" s="96"/>
      <c r="J1316" s="271"/>
    </row>
    <row r="1317" spans="1:10">
      <c r="A1317" s="84"/>
      <c r="B1317" s="93" t="s">
        <v>231</v>
      </c>
      <c r="C1317" s="94"/>
      <c r="D1317" s="95"/>
      <c r="E1317" s="95"/>
      <c r="F1317" s="95"/>
      <c r="G1317" s="96"/>
      <c r="H1317" s="96"/>
      <c r="I1317" s="96"/>
      <c r="J1317" s="271"/>
    </row>
    <row r="1318" spans="1:10">
      <c r="A1318" s="84"/>
      <c r="B1318" s="93" t="s">
        <v>231</v>
      </c>
      <c r="C1318" s="94"/>
      <c r="D1318" s="95"/>
      <c r="E1318" s="95"/>
      <c r="F1318" s="95"/>
      <c r="G1318" s="96"/>
      <c r="H1318" s="96"/>
      <c r="I1318" s="96"/>
      <c r="J1318" s="271"/>
    </row>
    <row r="1319" spans="1:10">
      <c r="A1319" s="84"/>
      <c r="B1319" s="89"/>
      <c r="C1319" s="97"/>
      <c r="D1319" s="91"/>
      <c r="E1319" s="91"/>
      <c r="F1319" s="91"/>
      <c r="G1319" s="91" t="s">
        <v>279</v>
      </c>
      <c r="H1319" s="91"/>
      <c r="I1319" s="91"/>
      <c r="J1319" s="99">
        <f>+SUBTOTAL(9,J1314:J1318)</f>
        <v>0</v>
      </c>
    </row>
    <row r="1320" spans="1:10">
      <c r="A1320" s="84"/>
      <c r="B1320" s="89" t="s">
        <v>228</v>
      </c>
      <c r="C1320" s="90" t="s">
        <v>280</v>
      </c>
      <c r="D1320" s="92" t="s">
        <v>281</v>
      </c>
      <c r="E1320" s="92" t="s">
        <v>282</v>
      </c>
      <c r="F1320" s="92" t="s">
        <v>283</v>
      </c>
      <c r="G1320" s="92" t="s">
        <v>284</v>
      </c>
      <c r="H1320" s="92" t="s">
        <v>285</v>
      </c>
      <c r="I1320" s="92" t="s">
        <v>263</v>
      </c>
      <c r="J1320" s="99" t="s">
        <v>286</v>
      </c>
    </row>
    <row r="1321" spans="1:10">
      <c r="A1321" s="84"/>
      <c r="B1321" s="89" t="s">
        <v>587</v>
      </c>
      <c r="C1321" s="90" t="s">
        <v>588</v>
      </c>
      <c r="D1321" s="92" t="s">
        <v>289</v>
      </c>
      <c r="E1321" s="92">
        <v>0</v>
      </c>
      <c r="F1321" s="92">
        <v>56.58</v>
      </c>
      <c r="G1321" s="92">
        <v>56.58</v>
      </c>
      <c r="H1321" s="92">
        <v>0.74</v>
      </c>
      <c r="I1321" s="92">
        <v>1.1000000000000001E-3</v>
      </c>
      <c r="J1321" s="99">
        <f>+ROUND(G1321*H1321*I1321,2)</f>
        <v>0.05</v>
      </c>
    </row>
    <row r="1322" spans="1:10">
      <c r="A1322" s="84"/>
      <c r="B1322" s="93" t="s">
        <v>589</v>
      </c>
      <c r="C1322" s="94" t="s">
        <v>590</v>
      </c>
      <c r="D1322" s="96" t="s">
        <v>289</v>
      </c>
      <c r="E1322" s="96">
        <v>0</v>
      </c>
      <c r="F1322" s="96">
        <v>56.58</v>
      </c>
      <c r="G1322" s="96">
        <v>56.58</v>
      </c>
      <c r="H1322" s="96">
        <v>0.74</v>
      </c>
      <c r="I1322" s="96">
        <v>2.0000000000000002E-5</v>
      </c>
      <c r="J1322" s="271">
        <f>+ROUND(G1322*H1322*I1322,2)</f>
        <v>0</v>
      </c>
    </row>
    <row r="1323" spans="1:10">
      <c r="A1323" s="84"/>
      <c r="B1323" s="93" t="s">
        <v>231</v>
      </c>
      <c r="C1323" s="94"/>
      <c r="D1323" s="96"/>
      <c r="E1323" s="96"/>
      <c r="F1323" s="96"/>
      <c r="G1323" s="96"/>
      <c r="H1323" s="96"/>
      <c r="I1323" s="96"/>
      <c r="J1323" s="271"/>
    </row>
    <row r="1324" spans="1:10">
      <c r="A1324" s="84"/>
      <c r="B1324" s="93" t="s">
        <v>231</v>
      </c>
      <c r="C1324" s="94"/>
      <c r="D1324" s="96"/>
      <c r="E1324" s="96"/>
      <c r="F1324" s="96"/>
      <c r="G1324" s="96"/>
      <c r="H1324" s="96"/>
      <c r="I1324" s="96"/>
      <c r="J1324" s="271"/>
    </row>
    <row r="1325" spans="1:10">
      <c r="A1325" s="84"/>
      <c r="B1325" s="93" t="s">
        <v>231</v>
      </c>
      <c r="C1325" s="94"/>
      <c r="D1325" s="96"/>
      <c r="E1325" s="96"/>
      <c r="F1325" s="96"/>
      <c r="G1325" s="96"/>
      <c r="H1325" s="96"/>
      <c r="I1325" s="96"/>
      <c r="J1325" s="271"/>
    </row>
    <row r="1326" spans="1:10">
      <c r="A1326" s="84"/>
      <c r="B1326" s="93" t="s">
        <v>231</v>
      </c>
      <c r="C1326" s="94"/>
      <c r="D1326" s="96"/>
      <c r="E1326" s="96"/>
      <c r="F1326" s="96"/>
      <c r="G1326" s="96"/>
      <c r="H1326" s="96"/>
      <c r="I1326" s="96"/>
      <c r="J1326" s="271"/>
    </row>
    <row r="1327" spans="1:10">
      <c r="A1327" s="84"/>
      <c r="B1327" s="93" t="s">
        <v>231</v>
      </c>
      <c r="C1327" s="94"/>
      <c r="D1327" s="96"/>
      <c r="E1327" s="96"/>
      <c r="F1327" s="96"/>
      <c r="G1327" s="96"/>
      <c r="H1327" s="96"/>
      <c r="I1327" s="96"/>
      <c r="J1327" s="271"/>
    </row>
    <row r="1328" spans="1:10">
      <c r="A1328" s="84"/>
      <c r="B1328" s="89"/>
      <c r="C1328" s="97"/>
      <c r="D1328" s="91"/>
      <c r="E1328" s="91"/>
      <c r="F1328" s="91"/>
      <c r="G1328" s="91" t="s">
        <v>290</v>
      </c>
      <c r="H1328" s="91"/>
      <c r="I1328" s="91"/>
      <c r="J1328" s="99">
        <f>+SUBTOTAL(9,J1321:J1327)</f>
        <v>0.05</v>
      </c>
    </row>
    <row r="1329" spans="1:10">
      <c r="A1329" s="84"/>
      <c r="B1329" s="89" t="s">
        <v>291</v>
      </c>
      <c r="C1329" s="97"/>
      <c r="D1329" s="91"/>
      <c r="E1329" s="91"/>
      <c r="F1329" s="91"/>
      <c r="G1329" s="91"/>
      <c r="H1329" s="91"/>
      <c r="I1329" s="91"/>
      <c r="J1329" s="99">
        <f>+SUBTOTAL(9,J1303:J1327)</f>
        <v>12.45</v>
      </c>
    </row>
    <row r="1330" spans="1:10">
      <c r="A1330" s="84"/>
      <c r="B1330" s="89" t="s">
        <v>292</v>
      </c>
      <c r="C1330" s="97"/>
      <c r="D1330" s="91">
        <v>0</v>
      </c>
      <c r="E1330" s="91"/>
      <c r="F1330" s="91"/>
      <c r="G1330" s="91"/>
      <c r="H1330" s="91"/>
      <c r="I1330" s="91"/>
      <c r="J1330" s="99">
        <f>+ROUND(J1329*D1330/100,2)</f>
        <v>0</v>
      </c>
    </row>
    <row r="1331" spans="1:10" ht="14.4" thickBot="1">
      <c r="A1331" s="84"/>
      <c r="B1331" s="89" t="s">
        <v>293</v>
      </c>
      <c r="C1331" s="97"/>
      <c r="D1331" s="91"/>
      <c r="E1331" s="91"/>
      <c r="F1331" s="91"/>
      <c r="G1331" s="91"/>
      <c r="H1331" s="91"/>
      <c r="I1331" s="91"/>
      <c r="J1331" s="99">
        <f>+J1329+ J1330</f>
        <v>12.45</v>
      </c>
    </row>
    <row r="1332" spans="1:10">
      <c r="A1332" s="84"/>
      <c r="B1332" s="85" t="s">
        <v>294</v>
      </c>
      <c r="C1332" s="86"/>
      <c r="D1332" s="88"/>
      <c r="E1332" s="88"/>
      <c r="F1332" s="88" t="s">
        <v>295</v>
      </c>
      <c r="G1332" s="88"/>
      <c r="H1332" s="88"/>
      <c r="I1332" s="88" t="s">
        <v>296</v>
      </c>
      <c r="J1332" s="270"/>
    </row>
    <row r="1333" spans="1:10">
      <c r="A1333" s="84"/>
      <c r="B1333" s="93" t="s">
        <v>297</v>
      </c>
      <c r="C1333" s="84"/>
      <c r="D1333" s="95"/>
      <c r="E1333" s="95"/>
      <c r="F1333" s="95" t="s">
        <v>298</v>
      </c>
      <c r="G1333" s="95"/>
      <c r="H1333" s="95"/>
      <c r="I1333" s="95"/>
      <c r="J1333" s="276"/>
    </row>
    <row r="1334" spans="1:10">
      <c r="A1334" s="84"/>
      <c r="B1334" s="93" t="s">
        <v>299</v>
      </c>
      <c r="C1334" s="84"/>
      <c r="D1334" s="95"/>
      <c r="E1334" s="95"/>
      <c r="F1334" s="95" t="s">
        <v>300</v>
      </c>
      <c r="G1334" s="95"/>
      <c r="H1334" s="95"/>
      <c r="I1334" s="95"/>
      <c r="J1334" s="276"/>
    </row>
    <row r="1335" spans="1:10" ht="14.4" thickBot="1">
      <c r="A1335" s="84"/>
      <c r="B1335" s="100" t="s">
        <v>301</v>
      </c>
      <c r="C1335" s="84"/>
      <c r="D1335" s="95"/>
      <c r="E1335" s="95"/>
      <c r="F1335" s="95"/>
      <c r="G1335" s="95"/>
      <c r="H1335" s="95"/>
      <c r="I1335" s="95"/>
      <c r="J1335" s="277"/>
    </row>
    <row r="1336" spans="1:10">
      <c r="A1336" s="84"/>
      <c r="B1336" s="86"/>
      <c r="C1336" s="86"/>
      <c r="D1336" s="88"/>
      <c r="E1336" s="88"/>
      <c r="F1336" s="88"/>
      <c r="G1336" s="88"/>
      <c r="H1336" s="88"/>
      <c r="I1336" s="88"/>
      <c r="J1336" s="88"/>
    </row>
    <row r="1337" spans="1:10" ht="14.4" thickBot="1">
      <c r="A1337" s="84"/>
      <c r="B1337" s="84"/>
      <c r="C1337" s="84"/>
      <c r="D1337" s="95"/>
      <c r="E1337" s="95"/>
      <c r="F1337" s="95"/>
      <c r="G1337" s="95"/>
      <c r="H1337" s="95"/>
      <c r="I1337" s="95"/>
      <c r="J1337" s="95"/>
    </row>
    <row r="1338" spans="1:10">
      <c r="A1338" s="84"/>
      <c r="B1338" s="85"/>
      <c r="C1338" s="86"/>
      <c r="D1338" s="87" t="s">
        <v>227</v>
      </c>
      <c r="E1338" s="87"/>
      <c r="F1338" s="87"/>
      <c r="G1338" s="88"/>
      <c r="H1338" s="88"/>
      <c r="I1338" s="88"/>
      <c r="J1338" s="270"/>
    </row>
    <row r="1339" spans="1:10">
      <c r="A1339" s="84"/>
      <c r="B1339" s="89" t="s">
        <v>228</v>
      </c>
      <c r="C1339" s="90" t="s">
        <v>92</v>
      </c>
      <c r="D1339" s="91"/>
      <c r="E1339" s="91"/>
      <c r="F1339" s="91"/>
      <c r="G1339" s="91"/>
      <c r="H1339" s="92" t="s">
        <v>229</v>
      </c>
      <c r="I1339" s="91"/>
      <c r="J1339" s="99" t="s">
        <v>230</v>
      </c>
    </row>
    <row r="1340" spans="1:10">
      <c r="A1340" s="84"/>
      <c r="B1340" s="93" t="s">
        <v>572</v>
      </c>
      <c r="C1340" s="94" t="s">
        <v>591</v>
      </c>
      <c r="D1340" s="95"/>
      <c r="E1340" s="95"/>
      <c r="F1340" s="95"/>
      <c r="G1340" s="95"/>
      <c r="H1340" s="96" t="s">
        <v>233</v>
      </c>
      <c r="I1340" s="95"/>
      <c r="J1340" s="271" t="s">
        <v>234</v>
      </c>
    </row>
    <row r="1341" spans="1:10">
      <c r="A1341" s="84"/>
      <c r="B1341" s="89"/>
      <c r="C1341" s="90"/>
      <c r="D1341" s="91"/>
      <c r="E1341" s="92"/>
      <c r="F1341" s="92" t="s">
        <v>235</v>
      </c>
      <c r="G1341" s="92"/>
      <c r="H1341" s="92" t="s">
        <v>236</v>
      </c>
      <c r="I1341" s="92"/>
      <c r="J1341" s="99" t="s">
        <v>237</v>
      </c>
    </row>
    <row r="1342" spans="1:10">
      <c r="A1342" s="84"/>
      <c r="B1342" s="93" t="s">
        <v>228</v>
      </c>
      <c r="C1342" s="94" t="s">
        <v>238</v>
      </c>
      <c r="D1342" s="95"/>
      <c r="E1342" s="96" t="s">
        <v>239</v>
      </c>
      <c r="F1342" s="92" t="s">
        <v>240</v>
      </c>
      <c r="G1342" s="92" t="s">
        <v>241</v>
      </c>
      <c r="H1342" s="92" t="s">
        <v>240</v>
      </c>
      <c r="I1342" s="272" t="s">
        <v>241</v>
      </c>
      <c r="J1342" s="271" t="s">
        <v>242</v>
      </c>
    </row>
    <row r="1343" spans="1:10">
      <c r="A1343" s="84"/>
      <c r="B1343" s="273" t="s">
        <v>523</v>
      </c>
      <c r="C1343" s="90" t="s">
        <v>524</v>
      </c>
      <c r="D1343" s="91"/>
      <c r="E1343" s="92">
        <v>1</v>
      </c>
      <c r="F1343" s="92">
        <v>1</v>
      </c>
      <c r="G1343" s="92">
        <v>0</v>
      </c>
      <c r="H1343" s="92">
        <v>1.17</v>
      </c>
      <c r="I1343" s="92">
        <v>0.78</v>
      </c>
      <c r="J1343" s="99">
        <f>+ROUND(E1343* ((F1343*H1343) + (G1343*I1343)),2)</f>
        <v>1.17</v>
      </c>
    </row>
    <row r="1344" spans="1:10">
      <c r="A1344" s="84"/>
      <c r="B1344" s="274" t="s">
        <v>525</v>
      </c>
      <c r="C1344" s="94" t="s">
        <v>526</v>
      </c>
      <c r="D1344" s="95"/>
      <c r="E1344" s="96">
        <v>3</v>
      </c>
      <c r="F1344" s="96">
        <v>0.4</v>
      </c>
      <c r="G1344" s="96">
        <v>0.6</v>
      </c>
      <c r="H1344" s="96">
        <v>1.54</v>
      </c>
      <c r="I1344" s="96">
        <v>1.05</v>
      </c>
      <c r="J1344" s="271">
        <f>+ROUND(E1344* ((F1344*H1344) + (G1344*I1344)),2)</f>
        <v>3.74</v>
      </c>
    </row>
    <row r="1345" spans="1:10">
      <c r="A1345" s="84"/>
      <c r="B1345" s="274" t="s">
        <v>527</v>
      </c>
      <c r="C1345" s="94" t="s">
        <v>528</v>
      </c>
      <c r="D1345" s="95"/>
      <c r="E1345" s="96">
        <v>4</v>
      </c>
      <c r="F1345" s="96">
        <v>0.88</v>
      </c>
      <c r="G1345" s="96">
        <v>0.12</v>
      </c>
      <c r="H1345" s="96">
        <v>0.74</v>
      </c>
      <c r="I1345" s="96">
        <v>0.5</v>
      </c>
      <c r="J1345" s="271">
        <f>+ROUND(E1345* ((F1345*H1345) + (G1345*I1345)),2)</f>
        <v>2.84</v>
      </c>
    </row>
    <row r="1346" spans="1:10">
      <c r="A1346" s="84"/>
      <c r="B1346" s="274" t="s">
        <v>529</v>
      </c>
      <c r="C1346" s="94" t="s">
        <v>530</v>
      </c>
      <c r="D1346" s="95"/>
      <c r="E1346" s="96">
        <v>1</v>
      </c>
      <c r="F1346" s="96">
        <v>1</v>
      </c>
      <c r="G1346" s="96">
        <v>0</v>
      </c>
      <c r="H1346" s="96">
        <v>48.13</v>
      </c>
      <c r="I1346" s="96">
        <v>28.28</v>
      </c>
      <c r="J1346" s="271">
        <f>+ROUND(E1346* ((F1346*H1346) + (G1346*I1346)),2)</f>
        <v>48.13</v>
      </c>
    </row>
    <row r="1347" spans="1:10">
      <c r="A1347" s="84"/>
      <c r="B1347" s="93" t="s">
        <v>231</v>
      </c>
      <c r="C1347" s="94"/>
      <c r="D1347" s="95"/>
      <c r="E1347" s="96"/>
      <c r="F1347" s="96"/>
      <c r="G1347" s="96"/>
      <c r="H1347" s="96"/>
      <c r="I1347" s="96"/>
      <c r="J1347" s="271"/>
    </row>
    <row r="1348" spans="1:10">
      <c r="A1348" s="84"/>
      <c r="B1348" s="93" t="s">
        <v>231</v>
      </c>
      <c r="C1348" s="94"/>
      <c r="D1348" s="95"/>
      <c r="E1348" s="96"/>
      <c r="F1348" s="96"/>
      <c r="G1348" s="96"/>
      <c r="H1348" s="96"/>
      <c r="I1348" s="96"/>
      <c r="J1348" s="271"/>
    </row>
    <row r="1349" spans="1:10">
      <c r="A1349" s="84"/>
      <c r="B1349" s="93" t="s">
        <v>231</v>
      </c>
      <c r="C1349" s="94"/>
      <c r="D1349" s="95"/>
      <c r="E1349" s="96"/>
      <c r="F1349" s="96"/>
      <c r="G1349" s="96"/>
      <c r="H1349" s="96"/>
      <c r="I1349" s="96"/>
      <c r="J1349" s="271"/>
    </row>
    <row r="1350" spans="1:10">
      <c r="A1350" s="84"/>
      <c r="B1350" s="89"/>
      <c r="C1350" s="97"/>
      <c r="D1350" s="91"/>
      <c r="E1350" s="91"/>
      <c r="F1350" s="91"/>
      <c r="G1350" s="91" t="s">
        <v>249</v>
      </c>
      <c r="H1350" s="91"/>
      <c r="I1350" s="91"/>
      <c r="J1350" s="99">
        <f>+SUBTOTAL(9,J1343:J1349)</f>
        <v>55.88</v>
      </c>
    </row>
    <row r="1351" spans="1:10">
      <c r="A1351" s="84"/>
      <c r="B1351" s="89" t="s">
        <v>228</v>
      </c>
      <c r="C1351" s="90" t="s">
        <v>250</v>
      </c>
      <c r="D1351" s="91"/>
      <c r="E1351" s="91"/>
      <c r="F1351" s="91"/>
      <c r="G1351" s="91"/>
      <c r="H1351" s="92" t="s">
        <v>239</v>
      </c>
      <c r="I1351" s="92" t="s">
        <v>251</v>
      </c>
      <c r="J1351" s="99" t="s">
        <v>252</v>
      </c>
    </row>
    <row r="1352" spans="1:10">
      <c r="A1352" s="84"/>
      <c r="B1352" s="89" t="s">
        <v>531</v>
      </c>
      <c r="C1352" s="90" t="s">
        <v>532</v>
      </c>
      <c r="D1352" s="91"/>
      <c r="E1352" s="91"/>
      <c r="F1352" s="91"/>
      <c r="G1352" s="91"/>
      <c r="H1352" s="92">
        <v>1</v>
      </c>
      <c r="I1352" s="92">
        <v>25.37</v>
      </c>
      <c r="J1352" s="99">
        <f>+ROUND(H1352*I1352,2)</f>
        <v>25.37</v>
      </c>
    </row>
    <row r="1353" spans="1:10">
      <c r="A1353" s="84"/>
      <c r="B1353" s="93" t="s">
        <v>253</v>
      </c>
      <c r="C1353" s="94" t="s">
        <v>254</v>
      </c>
      <c r="D1353" s="95"/>
      <c r="E1353" s="95"/>
      <c r="F1353" s="95"/>
      <c r="G1353" s="95"/>
      <c r="H1353" s="96">
        <v>9</v>
      </c>
      <c r="I1353" s="96">
        <v>21.04</v>
      </c>
      <c r="J1353" s="271">
        <f>+ROUND(H1353*I1353,2)</f>
        <v>189.36</v>
      </c>
    </row>
    <row r="1354" spans="1:10">
      <c r="A1354" s="84"/>
      <c r="B1354" s="93" t="s">
        <v>231</v>
      </c>
      <c r="C1354" s="94"/>
      <c r="D1354" s="95"/>
      <c r="E1354" s="95"/>
      <c r="F1354" s="95"/>
      <c r="G1354" s="95"/>
      <c r="H1354" s="96"/>
      <c r="I1354" s="96"/>
      <c r="J1354" s="271"/>
    </row>
    <row r="1355" spans="1:10">
      <c r="A1355" s="84"/>
      <c r="B1355" s="93" t="s">
        <v>231</v>
      </c>
      <c r="C1355" s="94"/>
      <c r="D1355" s="95"/>
      <c r="E1355" s="95"/>
      <c r="F1355" s="95"/>
      <c r="G1355" s="95"/>
      <c r="H1355" s="96"/>
      <c r="I1355" s="96"/>
      <c r="J1355" s="271"/>
    </row>
    <row r="1356" spans="1:10">
      <c r="A1356" s="84"/>
      <c r="B1356" s="93" t="s">
        <v>231</v>
      </c>
      <c r="C1356" s="94"/>
      <c r="D1356" s="95"/>
      <c r="E1356" s="95"/>
      <c r="F1356" s="95"/>
      <c r="G1356" s="95"/>
      <c r="H1356" s="96"/>
      <c r="I1356" s="96"/>
      <c r="J1356" s="271"/>
    </row>
    <row r="1357" spans="1:10">
      <c r="A1357" s="84"/>
      <c r="B1357" s="93" t="s">
        <v>231</v>
      </c>
      <c r="C1357" s="94"/>
      <c r="D1357" s="95"/>
      <c r="E1357" s="95"/>
      <c r="F1357" s="95"/>
      <c r="G1357" s="95"/>
      <c r="H1357" s="96"/>
      <c r="I1357" s="96"/>
      <c r="J1357" s="271"/>
    </row>
    <row r="1358" spans="1:10">
      <c r="A1358" s="84"/>
      <c r="B1358" s="93" t="s">
        <v>231</v>
      </c>
      <c r="C1358" s="94"/>
      <c r="D1358" s="95"/>
      <c r="E1358" s="95"/>
      <c r="F1358" s="95"/>
      <c r="G1358" s="95"/>
      <c r="H1358" s="96"/>
      <c r="I1358" s="96"/>
      <c r="J1358" s="271"/>
    </row>
    <row r="1359" spans="1:10">
      <c r="A1359" s="84"/>
      <c r="B1359" s="89"/>
      <c r="C1359" s="97"/>
      <c r="D1359" s="91"/>
      <c r="E1359" s="91"/>
      <c r="F1359" s="91"/>
      <c r="G1359" s="91" t="s">
        <v>255</v>
      </c>
      <c r="H1359" s="91"/>
      <c r="I1359" s="91"/>
      <c r="J1359" s="99">
        <f>+SUBTOTAL(9,J1352:J1358)</f>
        <v>214.73000000000002</v>
      </c>
    </row>
    <row r="1360" spans="1:10">
      <c r="A1360" s="84"/>
      <c r="B1360" s="89"/>
      <c r="C1360" s="97"/>
      <c r="D1360" s="91"/>
      <c r="E1360" s="91"/>
      <c r="F1360" s="91" t="s">
        <v>256</v>
      </c>
      <c r="G1360" s="91"/>
      <c r="H1360" s="91"/>
      <c r="I1360" s="91">
        <v>0</v>
      </c>
      <c r="J1360" s="99">
        <f>+ROUND(I1360*J1359,2)</f>
        <v>0</v>
      </c>
    </row>
    <row r="1361" spans="1:10">
      <c r="A1361" s="84"/>
      <c r="B1361" s="89"/>
      <c r="C1361" s="97"/>
      <c r="D1361" s="91"/>
      <c r="E1361" s="91"/>
      <c r="F1361" s="91" t="s">
        <v>257</v>
      </c>
      <c r="G1361" s="91"/>
      <c r="H1361" s="91"/>
      <c r="I1361" s="91"/>
      <c r="J1361" s="99">
        <f>+SUBTOTAL(9,J1352:J1360)</f>
        <v>214.73000000000002</v>
      </c>
    </row>
    <row r="1362" spans="1:10">
      <c r="A1362" s="84"/>
      <c r="B1362" s="98"/>
      <c r="C1362" s="97"/>
      <c r="D1362" s="91"/>
      <c r="E1362" s="91"/>
      <c r="F1362" s="91"/>
      <c r="G1362" s="91" t="s">
        <v>258</v>
      </c>
      <c r="H1362" s="91"/>
      <c r="I1362" s="91"/>
      <c r="J1362" s="275">
        <f>+SUBTOTAL(9,J1343:J1361)</f>
        <v>270.61</v>
      </c>
    </row>
    <row r="1363" spans="1:10">
      <c r="A1363" s="84"/>
      <c r="B1363" s="98"/>
      <c r="C1363" s="97" t="s">
        <v>259</v>
      </c>
      <c r="D1363" s="91">
        <v>3.8906299999999998</v>
      </c>
      <c r="E1363" s="91"/>
      <c r="F1363" s="91"/>
      <c r="G1363" s="91" t="s">
        <v>260</v>
      </c>
      <c r="H1363" s="91"/>
      <c r="I1363" s="91"/>
      <c r="J1363" s="275">
        <f>+ROUND(J1362/D1363,2)</f>
        <v>69.55</v>
      </c>
    </row>
    <row r="1364" spans="1:10">
      <c r="A1364" s="84"/>
      <c r="B1364" s="89" t="s">
        <v>228</v>
      </c>
      <c r="C1364" s="90" t="s">
        <v>261</v>
      </c>
      <c r="D1364" s="91"/>
      <c r="E1364" s="91"/>
      <c r="F1364" s="91"/>
      <c r="G1364" s="92" t="s">
        <v>230</v>
      </c>
      <c r="H1364" s="92" t="s">
        <v>262</v>
      </c>
      <c r="I1364" s="92" t="s">
        <v>263</v>
      </c>
      <c r="J1364" s="99" t="s">
        <v>264</v>
      </c>
    </row>
    <row r="1365" spans="1:10">
      <c r="A1365" s="84"/>
      <c r="B1365" s="89" t="s">
        <v>533</v>
      </c>
      <c r="C1365" s="90" t="s">
        <v>534</v>
      </c>
      <c r="D1365" s="91"/>
      <c r="E1365" s="91"/>
      <c r="F1365" s="91"/>
      <c r="G1365" s="92" t="s">
        <v>332</v>
      </c>
      <c r="H1365" s="92">
        <v>6.08</v>
      </c>
      <c r="I1365" s="92">
        <v>0.94593000000000005</v>
      </c>
      <c r="J1365" s="99">
        <f t="shared" ref="J1365:J1374" si="5">+ROUND(H1365*I1365,2)</f>
        <v>5.75</v>
      </c>
    </row>
    <row r="1366" spans="1:10">
      <c r="A1366" s="84"/>
      <c r="B1366" s="93" t="s">
        <v>537</v>
      </c>
      <c r="C1366" s="94" t="s">
        <v>538</v>
      </c>
      <c r="D1366" s="95"/>
      <c r="E1366" s="95"/>
      <c r="F1366" s="95"/>
      <c r="G1366" s="96" t="s">
        <v>234</v>
      </c>
      <c r="H1366" s="96">
        <v>30</v>
      </c>
      <c r="I1366" s="96">
        <v>0.61458999999999997</v>
      </c>
      <c r="J1366" s="271">
        <f t="shared" si="5"/>
        <v>18.440000000000001</v>
      </c>
    </row>
    <row r="1367" spans="1:10">
      <c r="A1367" s="84"/>
      <c r="B1367" s="93" t="s">
        <v>328</v>
      </c>
      <c r="C1367" s="94" t="s">
        <v>329</v>
      </c>
      <c r="D1367" s="95"/>
      <c r="E1367" s="95"/>
      <c r="F1367" s="95"/>
      <c r="G1367" s="96" t="s">
        <v>234</v>
      </c>
      <c r="H1367" s="96">
        <v>103.06</v>
      </c>
      <c r="I1367" s="96">
        <v>0.36753999999999998</v>
      </c>
      <c r="J1367" s="271">
        <f t="shared" si="5"/>
        <v>37.880000000000003</v>
      </c>
    </row>
    <row r="1368" spans="1:10">
      <c r="A1368" s="84"/>
      <c r="B1368" s="93" t="s">
        <v>543</v>
      </c>
      <c r="C1368" s="94" t="s">
        <v>544</v>
      </c>
      <c r="D1368" s="95"/>
      <c r="E1368" s="95"/>
      <c r="F1368" s="95"/>
      <c r="G1368" s="96" t="s">
        <v>234</v>
      </c>
      <c r="H1368" s="96">
        <v>101.47</v>
      </c>
      <c r="I1368" s="96">
        <v>0.36753999999999998</v>
      </c>
      <c r="J1368" s="271">
        <f t="shared" si="5"/>
        <v>37.29</v>
      </c>
    </row>
    <row r="1369" spans="1:10">
      <c r="A1369" s="84"/>
      <c r="B1369" s="93" t="s">
        <v>545</v>
      </c>
      <c r="C1369" s="94" t="s">
        <v>546</v>
      </c>
      <c r="D1369" s="95"/>
      <c r="E1369" s="95"/>
      <c r="F1369" s="95"/>
      <c r="G1369" s="96" t="s">
        <v>332</v>
      </c>
      <c r="H1369" s="96">
        <v>0.62</v>
      </c>
      <c r="I1369" s="96">
        <v>315.31031000000002</v>
      </c>
      <c r="J1369" s="271">
        <f t="shared" si="5"/>
        <v>195.49</v>
      </c>
    </row>
    <row r="1370" spans="1:10">
      <c r="A1370" s="84"/>
      <c r="B1370" s="93" t="s">
        <v>547</v>
      </c>
      <c r="C1370" s="94" t="s">
        <v>548</v>
      </c>
      <c r="D1370" s="95"/>
      <c r="E1370" s="95"/>
      <c r="F1370" s="95"/>
      <c r="G1370" s="96" t="s">
        <v>270</v>
      </c>
      <c r="H1370" s="96">
        <v>33.81</v>
      </c>
      <c r="I1370" s="96">
        <v>9.5E-4</v>
      </c>
      <c r="J1370" s="271">
        <f t="shared" si="5"/>
        <v>0.03</v>
      </c>
    </row>
    <row r="1371" spans="1:10">
      <c r="A1371" s="84"/>
      <c r="B1371" s="93" t="s">
        <v>549</v>
      </c>
      <c r="C1371" s="94" t="s">
        <v>550</v>
      </c>
      <c r="D1371" s="95"/>
      <c r="E1371" s="95"/>
      <c r="F1371" s="95"/>
      <c r="G1371" s="96" t="s">
        <v>270</v>
      </c>
      <c r="H1371" s="96">
        <v>1.75</v>
      </c>
      <c r="I1371" s="96">
        <v>0.92188999999999999</v>
      </c>
      <c r="J1371" s="271">
        <f t="shared" si="5"/>
        <v>1.61</v>
      </c>
    </row>
    <row r="1372" spans="1:10">
      <c r="A1372" s="84"/>
      <c r="B1372" s="93" t="s">
        <v>343</v>
      </c>
      <c r="C1372" s="94" t="s">
        <v>344</v>
      </c>
      <c r="D1372" s="95"/>
      <c r="E1372" s="95"/>
      <c r="F1372" s="95"/>
      <c r="G1372" s="96" t="s">
        <v>270</v>
      </c>
      <c r="H1372" s="96">
        <v>1.75</v>
      </c>
      <c r="I1372" s="96">
        <v>0.55130999999999997</v>
      </c>
      <c r="J1372" s="271">
        <f t="shared" si="5"/>
        <v>0.96</v>
      </c>
    </row>
    <row r="1373" spans="1:10">
      <c r="A1373" s="84"/>
      <c r="B1373" s="93" t="s">
        <v>551</v>
      </c>
      <c r="C1373" s="94" t="s">
        <v>552</v>
      </c>
      <c r="D1373" s="95"/>
      <c r="E1373" s="95"/>
      <c r="F1373" s="95"/>
      <c r="G1373" s="96" t="s">
        <v>270</v>
      </c>
      <c r="H1373" s="96">
        <v>1.75</v>
      </c>
      <c r="I1373" s="96">
        <v>0.55130999999999997</v>
      </c>
      <c r="J1373" s="271">
        <f t="shared" si="5"/>
        <v>0.96</v>
      </c>
    </row>
    <row r="1374" spans="1:10">
      <c r="A1374" s="84"/>
      <c r="B1374" s="93" t="s">
        <v>553</v>
      </c>
      <c r="C1374" s="94" t="s">
        <v>554</v>
      </c>
      <c r="D1374" s="95"/>
      <c r="E1374" s="95"/>
      <c r="F1374" s="95"/>
      <c r="G1374" s="96" t="s">
        <v>270</v>
      </c>
      <c r="H1374" s="96">
        <v>33.81</v>
      </c>
      <c r="I1374" s="96">
        <v>0.31530999999999998</v>
      </c>
      <c r="J1374" s="271">
        <f t="shared" si="5"/>
        <v>10.66</v>
      </c>
    </row>
    <row r="1375" spans="1:10">
      <c r="A1375" s="84"/>
      <c r="B1375" s="89"/>
      <c r="C1375" s="97"/>
      <c r="D1375" s="91"/>
      <c r="E1375" s="91"/>
      <c r="F1375" s="91"/>
      <c r="G1375" s="91" t="s">
        <v>275</v>
      </c>
      <c r="H1375" s="91"/>
      <c r="I1375" s="91"/>
      <c r="J1375" s="99">
        <f>+SUBTOTAL(9,J1365:J1374)</f>
        <v>309.07</v>
      </c>
    </row>
    <row r="1376" spans="1:10">
      <c r="A1376" s="84"/>
      <c r="B1376" s="89" t="s">
        <v>228</v>
      </c>
      <c r="C1376" s="90" t="s">
        <v>276</v>
      </c>
      <c r="D1376" s="91"/>
      <c r="E1376" s="91"/>
      <c r="F1376" s="91"/>
      <c r="G1376" s="92" t="s">
        <v>230</v>
      </c>
      <c r="H1376" s="92" t="s">
        <v>262</v>
      </c>
      <c r="I1376" s="92" t="s">
        <v>263</v>
      </c>
      <c r="J1376" s="99" t="s">
        <v>264</v>
      </c>
    </row>
    <row r="1377" spans="1:10">
      <c r="A1377" s="84"/>
      <c r="B1377" s="89" t="s">
        <v>231</v>
      </c>
      <c r="C1377" s="90"/>
      <c r="D1377" s="91"/>
      <c r="E1377" s="91"/>
      <c r="F1377" s="91"/>
      <c r="G1377" s="92"/>
      <c r="H1377" s="92"/>
      <c r="I1377" s="92"/>
      <c r="J1377" s="99"/>
    </row>
    <row r="1378" spans="1:10">
      <c r="A1378" s="84"/>
      <c r="B1378" s="93" t="s">
        <v>231</v>
      </c>
      <c r="C1378" s="94"/>
      <c r="D1378" s="95"/>
      <c r="E1378" s="95"/>
      <c r="F1378" s="95"/>
      <c r="G1378" s="96"/>
      <c r="H1378" s="96"/>
      <c r="I1378" s="96"/>
      <c r="J1378" s="271"/>
    </row>
    <row r="1379" spans="1:10">
      <c r="A1379" s="84"/>
      <c r="B1379" s="93" t="s">
        <v>231</v>
      </c>
      <c r="C1379" s="94"/>
      <c r="D1379" s="95"/>
      <c r="E1379" s="95"/>
      <c r="F1379" s="95"/>
      <c r="G1379" s="96"/>
      <c r="H1379" s="96"/>
      <c r="I1379" s="96"/>
      <c r="J1379" s="271"/>
    </row>
    <row r="1380" spans="1:10">
      <c r="A1380" s="84"/>
      <c r="B1380" s="93" t="s">
        <v>231</v>
      </c>
      <c r="C1380" s="94"/>
      <c r="D1380" s="95"/>
      <c r="E1380" s="95"/>
      <c r="F1380" s="95"/>
      <c r="G1380" s="96"/>
      <c r="H1380" s="96"/>
      <c r="I1380" s="96"/>
      <c r="J1380" s="271"/>
    </row>
    <row r="1381" spans="1:10">
      <c r="A1381" s="84"/>
      <c r="B1381" s="93" t="s">
        <v>231</v>
      </c>
      <c r="C1381" s="94"/>
      <c r="D1381" s="95"/>
      <c r="E1381" s="95"/>
      <c r="F1381" s="95"/>
      <c r="G1381" s="96"/>
      <c r="H1381" s="96"/>
      <c r="I1381" s="96"/>
      <c r="J1381" s="271"/>
    </row>
    <row r="1382" spans="1:10">
      <c r="A1382" s="84"/>
      <c r="B1382" s="89"/>
      <c r="C1382" s="97"/>
      <c r="D1382" s="91"/>
      <c r="E1382" s="91"/>
      <c r="F1382" s="91"/>
      <c r="G1382" s="91" t="s">
        <v>279</v>
      </c>
      <c r="H1382" s="91"/>
      <c r="I1382" s="91"/>
      <c r="J1382" s="99">
        <f>+SUBTOTAL(9,J1377:J1381)</f>
        <v>0</v>
      </c>
    </row>
    <row r="1383" spans="1:10">
      <c r="A1383" s="84"/>
      <c r="B1383" s="89" t="s">
        <v>228</v>
      </c>
      <c r="C1383" s="90" t="s">
        <v>280</v>
      </c>
      <c r="D1383" s="92" t="s">
        <v>281</v>
      </c>
      <c r="E1383" s="92" t="s">
        <v>282</v>
      </c>
      <c r="F1383" s="92" t="s">
        <v>283</v>
      </c>
      <c r="G1383" s="92" t="s">
        <v>284</v>
      </c>
      <c r="H1383" s="92" t="s">
        <v>285</v>
      </c>
      <c r="I1383" s="92" t="s">
        <v>263</v>
      </c>
      <c r="J1383" s="99" t="s">
        <v>286</v>
      </c>
    </row>
    <row r="1384" spans="1:10">
      <c r="A1384" s="84"/>
      <c r="B1384" s="89" t="s">
        <v>555</v>
      </c>
      <c r="C1384" s="90" t="s">
        <v>556</v>
      </c>
      <c r="D1384" s="92" t="s">
        <v>289</v>
      </c>
      <c r="E1384" s="92">
        <v>0</v>
      </c>
      <c r="F1384" s="92">
        <v>56.58</v>
      </c>
      <c r="G1384" s="92">
        <v>56.58</v>
      </c>
      <c r="H1384" s="92">
        <v>0.74</v>
      </c>
      <c r="I1384" s="92">
        <v>9.5E-4</v>
      </c>
      <c r="J1384" s="99">
        <f>+ROUND(G1384*H1384*I1384,2)</f>
        <v>0.04</v>
      </c>
    </row>
    <row r="1385" spans="1:10">
      <c r="A1385" s="84"/>
      <c r="B1385" s="93" t="s">
        <v>557</v>
      </c>
      <c r="C1385" s="94" t="s">
        <v>558</v>
      </c>
      <c r="D1385" s="96" t="s">
        <v>289</v>
      </c>
      <c r="E1385" s="96">
        <v>0</v>
      </c>
      <c r="F1385" s="96">
        <v>124</v>
      </c>
      <c r="G1385" s="96">
        <v>124</v>
      </c>
      <c r="H1385" s="96">
        <v>0.79</v>
      </c>
      <c r="I1385" s="96">
        <v>0.92188999999999999</v>
      </c>
      <c r="J1385" s="271">
        <f>+ROUND(G1385*H1385*I1385,2)</f>
        <v>90.31</v>
      </c>
    </row>
    <row r="1386" spans="1:10">
      <c r="A1386" s="84"/>
      <c r="B1386" s="93" t="s">
        <v>353</v>
      </c>
      <c r="C1386" s="94" t="s">
        <v>354</v>
      </c>
      <c r="D1386" s="96" t="s">
        <v>289</v>
      </c>
      <c r="E1386" s="96">
        <v>0</v>
      </c>
      <c r="F1386" s="96">
        <v>147</v>
      </c>
      <c r="G1386" s="96">
        <v>147</v>
      </c>
      <c r="H1386" s="96">
        <v>0.79</v>
      </c>
      <c r="I1386" s="96">
        <v>0.55130999999999997</v>
      </c>
      <c r="J1386" s="271">
        <f>+ROUND(G1386*H1386*I1386,2)</f>
        <v>64.02</v>
      </c>
    </row>
    <row r="1387" spans="1:10">
      <c r="A1387" s="84"/>
      <c r="B1387" s="93" t="s">
        <v>559</v>
      </c>
      <c r="C1387" s="94" t="s">
        <v>560</v>
      </c>
      <c r="D1387" s="96" t="s">
        <v>289</v>
      </c>
      <c r="E1387" s="96">
        <v>0</v>
      </c>
      <c r="F1387" s="96">
        <v>147</v>
      </c>
      <c r="G1387" s="96">
        <v>147</v>
      </c>
      <c r="H1387" s="96">
        <v>0.79</v>
      </c>
      <c r="I1387" s="96">
        <v>0.55130999999999997</v>
      </c>
      <c r="J1387" s="271">
        <f>+ROUND(G1387*H1387*I1387,2)</f>
        <v>64.02</v>
      </c>
    </row>
    <row r="1388" spans="1:10">
      <c r="A1388" s="84"/>
      <c r="B1388" s="93" t="s">
        <v>561</v>
      </c>
      <c r="C1388" s="94" t="s">
        <v>562</v>
      </c>
      <c r="D1388" s="96" t="s">
        <v>289</v>
      </c>
      <c r="E1388" s="96">
        <v>0</v>
      </c>
      <c r="F1388" s="96">
        <v>56.58</v>
      </c>
      <c r="G1388" s="96">
        <v>56.58</v>
      </c>
      <c r="H1388" s="96">
        <v>0.74</v>
      </c>
      <c r="I1388" s="96">
        <v>0.31530999999999998</v>
      </c>
      <c r="J1388" s="271">
        <f>+ROUND(G1388*H1388*I1388,2)</f>
        <v>13.2</v>
      </c>
    </row>
    <row r="1389" spans="1:10">
      <c r="A1389" s="84"/>
      <c r="B1389" s="93" t="s">
        <v>231</v>
      </c>
      <c r="C1389" s="94"/>
      <c r="D1389" s="96"/>
      <c r="E1389" s="96"/>
      <c r="F1389" s="96"/>
      <c r="G1389" s="96"/>
      <c r="H1389" s="96"/>
      <c r="I1389" s="96"/>
      <c r="J1389" s="271"/>
    </row>
    <row r="1390" spans="1:10">
      <c r="A1390" s="84"/>
      <c r="B1390" s="93" t="s">
        <v>231</v>
      </c>
      <c r="C1390" s="94"/>
      <c r="D1390" s="96"/>
      <c r="E1390" s="96"/>
      <c r="F1390" s="96"/>
      <c r="G1390" s="96"/>
      <c r="H1390" s="96"/>
      <c r="I1390" s="96"/>
      <c r="J1390" s="271"/>
    </row>
    <row r="1391" spans="1:10">
      <c r="A1391" s="84"/>
      <c r="B1391" s="89"/>
      <c r="C1391" s="97"/>
      <c r="D1391" s="91"/>
      <c r="E1391" s="91"/>
      <c r="F1391" s="91"/>
      <c r="G1391" s="91" t="s">
        <v>290</v>
      </c>
      <c r="H1391" s="91"/>
      <c r="I1391" s="91"/>
      <c r="J1391" s="99">
        <f>+SUBTOTAL(9,J1384:J1390)</f>
        <v>231.58999999999997</v>
      </c>
    </row>
    <row r="1392" spans="1:10">
      <c r="A1392" s="84"/>
      <c r="B1392" s="89" t="s">
        <v>291</v>
      </c>
      <c r="C1392" s="97"/>
      <c r="D1392" s="91"/>
      <c r="E1392" s="91"/>
      <c r="F1392" s="91"/>
      <c r="G1392" s="91"/>
      <c r="H1392" s="91"/>
      <c r="I1392" s="91"/>
      <c r="J1392" s="99">
        <f>+SUBTOTAL(9,J1363:J1390)</f>
        <v>610.21</v>
      </c>
    </row>
    <row r="1393" spans="1:10">
      <c r="A1393" s="84"/>
      <c r="B1393" s="89" t="s">
        <v>292</v>
      </c>
      <c r="C1393" s="97"/>
      <c r="D1393" s="91">
        <v>0</v>
      </c>
      <c r="E1393" s="91"/>
      <c r="F1393" s="91"/>
      <c r="G1393" s="91"/>
      <c r="H1393" s="91"/>
      <c r="I1393" s="91"/>
      <c r="J1393" s="99">
        <f>+ROUND(J1392*D1393/100,2)</f>
        <v>0</v>
      </c>
    </row>
    <row r="1394" spans="1:10" ht="14.4" thickBot="1">
      <c r="A1394" s="84"/>
      <c r="B1394" s="89" t="s">
        <v>293</v>
      </c>
      <c r="C1394" s="97"/>
      <c r="D1394" s="91"/>
      <c r="E1394" s="91"/>
      <c r="F1394" s="91"/>
      <c r="G1394" s="91"/>
      <c r="H1394" s="91"/>
      <c r="I1394" s="91"/>
      <c r="J1394" s="99">
        <f>+J1392+ J1393</f>
        <v>610.21</v>
      </c>
    </row>
    <row r="1395" spans="1:10">
      <c r="A1395" s="84"/>
      <c r="B1395" s="85" t="s">
        <v>294</v>
      </c>
      <c r="C1395" s="86"/>
      <c r="D1395" s="88"/>
      <c r="E1395" s="88"/>
      <c r="F1395" s="88" t="s">
        <v>295</v>
      </c>
      <c r="G1395" s="88"/>
      <c r="H1395" s="88"/>
      <c r="I1395" s="88" t="s">
        <v>296</v>
      </c>
      <c r="J1395" s="270"/>
    </row>
    <row r="1396" spans="1:10">
      <c r="A1396" s="84"/>
      <c r="B1396" s="93" t="s">
        <v>297</v>
      </c>
      <c r="C1396" s="84"/>
      <c r="D1396" s="95"/>
      <c r="E1396" s="95"/>
      <c r="F1396" s="95" t="s">
        <v>298</v>
      </c>
      <c r="G1396" s="95"/>
      <c r="H1396" s="95"/>
      <c r="I1396" s="95"/>
      <c r="J1396" s="276"/>
    </row>
    <row r="1397" spans="1:10">
      <c r="A1397" s="84"/>
      <c r="B1397" s="93" t="s">
        <v>299</v>
      </c>
      <c r="C1397" s="84"/>
      <c r="D1397" s="95"/>
      <c r="E1397" s="95"/>
      <c r="F1397" s="95" t="s">
        <v>300</v>
      </c>
      <c r="G1397" s="95"/>
      <c r="H1397" s="95"/>
      <c r="I1397" s="95"/>
      <c r="J1397" s="276"/>
    </row>
    <row r="1398" spans="1:10" ht="14.4" thickBot="1">
      <c r="A1398" s="84"/>
      <c r="B1398" s="100" t="s">
        <v>301</v>
      </c>
      <c r="C1398" s="84"/>
      <c r="D1398" s="95"/>
      <c r="E1398" s="95"/>
      <c r="F1398" s="95"/>
      <c r="G1398" s="95"/>
      <c r="H1398" s="95"/>
      <c r="I1398" s="95"/>
      <c r="J1398" s="277"/>
    </row>
    <row r="1399" spans="1:10">
      <c r="A1399" s="84"/>
      <c r="B1399" s="86"/>
      <c r="C1399" s="86"/>
      <c r="D1399" s="88"/>
      <c r="E1399" s="88"/>
      <c r="F1399" s="88"/>
      <c r="G1399" s="88"/>
      <c r="H1399" s="88"/>
      <c r="I1399" s="88"/>
      <c r="J1399" s="88"/>
    </row>
    <row r="1400" spans="1:10" ht="14.4" thickBot="1">
      <c r="A1400" s="84"/>
      <c r="B1400" s="84"/>
      <c r="C1400" s="84"/>
      <c r="D1400" s="95"/>
      <c r="E1400" s="95"/>
      <c r="F1400" s="95"/>
      <c r="G1400" s="95"/>
      <c r="H1400" s="95"/>
      <c r="I1400" s="95"/>
      <c r="J1400" s="95"/>
    </row>
    <row r="1401" spans="1:10">
      <c r="A1401" s="84"/>
      <c r="B1401" s="85"/>
      <c r="C1401" s="86"/>
      <c r="D1401" s="87" t="s">
        <v>227</v>
      </c>
      <c r="E1401" s="87"/>
      <c r="F1401" s="87"/>
      <c r="G1401" s="88"/>
      <c r="H1401" s="88"/>
      <c r="I1401" s="88"/>
      <c r="J1401" s="270"/>
    </row>
    <row r="1402" spans="1:10">
      <c r="A1402" s="84"/>
      <c r="B1402" s="89" t="s">
        <v>228</v>
      </c>
      <c r="C1402" s="90" t="s">
        <v>92</v>
      </c>
      <c r="D1402" s="91"/>
      <c r="E1402" s="91"/>
      <c r="F1402" s="91"/>
      <c r="G1402" s="91"/>
      <c r="H1402" s="92" t="s">
        <v>229</v>
      </c>
      <c r="I1402" s="91"/>
      <c r="J1402" s="99" t="s">
        <v>230</v>
      </c>
    </row>
    <row r="1403" spans="1:10">
      <c r="A1403" s="84"/>
      <c r="B1403" s="93" t="s">
        <v>574</v>
      </c>
      <c r="C1403" s="94" t="s">
        <v>592</v>
      </c>
      <c r="D1403" s="95"/>
      <c r="E1403" s="95"/>
      <c r="F1403" s="95"/>
      <c r="G1403" s="95"/>
      <c r="H1403" s="96" t="s">
        <v>233</v>
      </c>
      <c r="I1403" s="95"/>
      <c r="J1403" s="271" t="s">
        <v>375</v>
      </c>
    </row>
    <row r="1404" spans="1:10">
      <c r="A1404" s="84"/>
      <c r="B1404" s="89"/>
      <c r="C1404" s="90"/>
      <c r="D1404" s="91"/>
      <c r="E1404" s="92"/>
      <c r="F1404" s="92" t="s">
        <v>235</v>
      </c>
      <c r="G1404" s="92"/>
      <c r="H1404" s="92" t="s">
        <v>236</v>
      </c>
      <c r="I1404" s="92"/>
      <c r="J1404" s="99" t="s">
        <v>237</v>
      </c>
    </row>
    <row r="1405" spans="1:10">
      <c r="A1405" s="84"/>
      <c r="B1405" s="93" t="s">
        <v>228</v>
      </c>
      <c r="C1405" s="94" t="s">
        <v>238</v>
      </c>
      <c r="D1405" s="95"/>
      <c r="E1405" s="96" t="s">
        <v>239</v>
      </c>
      <c r="F1405" s="92" t="s">
        <v>240</v>
      </c>
      <c r="G1405" s="92" t="s">
        <v>241</v>
      </c>
      <c r="H1405" s="92" t="s">
        <v>240</v>
      </c>
      <c r="I1405" s="272" t="s">
        <v>241</v>
      </c>
      <c r="J1405" s="271" t="s">
        <v>242</v>
      </c>
    </row>
    <row r="1406" spans="1:10">
      <c r="A1406" s="84"/>
      <c r="B1406" s="89" t="s">
        <v>231</v>
      </c>
      <c r="C1406" s="90"/>
      <c r="D1406" s="91"/>
      <c r="E1406" s="92"/>
      <c r="F1406" s="92"/>
      <c r="G1406" s="92"/>
      <c r="H1406" s="92"/>
      <c r="I1406" s="92"/>
      <c r="J1406" s="99"/>
    </row>
    <row r="1407" spans="1:10">
      <c r="A1407" s="84"/>
      <c r="B1407" s="93" t="s">
        <v>231</v>
      </c>
      <c r="C1407" s="94"/>
      <c r="D1407" s="95"/>
      <c r="E1407" s="96"/>
      <c r="F1407" s="96"/>
      <c r="G1407" s="96"/>
      <c r="H1407" s="96"/>
      <c r="I1407" s="96"/>
      <c r="J1407" s="271"/>
    </row>
    <row r="1408" spans="1:10">
      <c r="A1408" s="84"/>
      <c r="B1408" s="93" t="s">
        <v>231</v>
      </c>
      <c r="C1408" s="94"/>
      <c r="D1408" s="95"/>
      <c r="E1408" s="96"/>
      <c r="F1408" s="96"/>
      <c r="G1408" s="96"/>
      <c r="H1408" s="96"/>
      <c r="I1408" s="96"/>
      <c r="J1408" s="271"/>
    </row>
    <row r="1409" spans="1:10">
      <c r="A1409" s="84"/>
      <c r="B1409" s="93" t="s">
        <v>231</v>
      </c>
      <c r="C1409" s="94"/>
      <c r="D1409" s="95"/>
      <c r="E1409" s="96"/>
      <c r="F1409" s="96"/>
      <c r="G1409" s="96"/>
      <c r="H1409" s="96"/>
      <c r="I1409" s="96"/>
      <c r="J1409" s="271"/>
    </row>
    <row r="1410" spans="1:10">
      <c r="A1410" s="84"/>
      <c r="B1410" s="93" t="s">
        <v>231</v>
      </c>
      <c r="C1410" s="94"/>
      <c r="D1410" s="95"/>
      <c r="E1410" s="96"/>
      <c r="F1410" s="96"/>
      <c r="G1410" s="96"/>
      <c r="H1410" s="96"/>
      <c r="I1410" s="96"/>
      <c r="J1410" s="271"/>
    </row>
    <row r="1411" spans="1:10">
      <c r="A1411" s="84"/>
      <c r="B1411" s="93" t="s">
        <v>231</v>
      </c>
      <c r="C1411" s="94"/>
      <c r="D1411" s="95"/>
      <c r="E1411" s="96"/>
      <c r="F1411" s="96"/>
      <c r="G1411" s="96"/>
      <c r="H1411" s="96"/>
      <c r="I1411" s="96"/>
      <c r="J1411" s="271"/>
    </row>
    <row r="1412" spans="1:10">
      <c r="A1412" s="84"/>
      <c r="B1412" s="93" t="s">
        <v>231</v>
      </c>
      <c r="C1412" s="94"/>
      <c r="D1412" s="95"/>
      <c r="E1412" s="96"/>
      <c r="F1412" s="96"/>
      <c r="G1412" s="96"/>
      <c r="H1412" s="96"/>
      <c r="I1412" s="96"/>
      <c r="J1412" s="271"/>
    </row>
    <row r="1413" spans="1:10">
      <c r="A1413" s="84"/>
      <c r="B1413" s="89"/>
      <c r="C1413" s="97"/>
      <c r="D1413" s="91"/>
      <c r="E1413" s="91"/>
      <c r="F1413" s="91"/>
      <c r="G1413" s="91" t="s">
        <v>249</v>
      </c>
      <c r="H1413" s="91"/>
      <c r="I1413" s="91"/>
      <c r="J1413" s="99">
        <f>+SUBTOTAL(9,J1406:J1412)</f>
        <v>0</v>
      </c>
    </row>
    <row r="1414" spans="1:10">
      <c r="A1414" s="84"/>
      <c r="B1414" s="89" t="s">
        <v>228</v>
      </c>
      <c r="C1414" s="90" t="s">
        <v>250</v>
      </c>
      <c r="D1414" s="91"/>
      <c r="E1414" s="91"/>
      <c r="F1414" s="91"/>
      <c r="G1414" s="91"/>
      <c r="H1414" s="92" t="s">
        <v>239</v>
      </c>
      <c r="I1414" s="92" t="s">
        <v>251</v>
      </c>
      <c r="J1414" s="99" t="s">
        <v>252</v>
      </c>
    </row>
    <row r="1415" spans="1:10">
      <c r="A1415" s="84"/>
      <c r="B1415" s="89" t="s">
        <v>431</v>
      </c>
      <c r="C1415" s="90" t="s">
        <v>432</v>
      </c>
      <c r="D1415" s="91"/>
      <c r="E1415" s="91"/>
      <c r="F1415" s="91"/>
      <c r="G1415" s="91"/>
      <c r="H1415" s="92">
        <v>0.2</v>
      </c>
      <c r="I1415" s="92">
        <v>29.27</v>
      </c>
      <c r="J1415" s="99">
        <f>+ROUND(H1415*I1415,2)</f>
        <v>5.85</v>
      </c>
    </row>
    <row r="1416" spans="1:10">
      <c r="A1416" s="84"/>
      <c r="B1416" s="93" t="s">
        <v>231</v>
      </c>
      <c r="C1416" s="94"/>
      <c r="D1416" s="95"/>
      <c r="E1416" s="95"/>
      <c r="F1416" s="95"/>
      <c r="G1416" s="95"/>
      <c r="H1416" s="96"/>
      <c r="I1416" s="96"/>
      <c r="J1416" s="271"/>
    </row>
    <row r="1417" spans="1:10">
      <c r="A1417" s="84"/>
      <c r="B1417" s="93" t="s">
        <v>231</v>
      </c>
      <c r="C1417" s="94"/>
      <c r="D1417" s="95"/>
      <c r="E1417" s="95"/>
      <c r="F1417" s="95"/>
      <c r="G1417" s="95"/>
      <c r="H1417" s="96"/>
      <c r="I1417" s="96"/>
      <c r="J1417" s="271"/>
    </row>
    <row r="1418" spans="1:10">
      <c r="A1418" s="84"/>
      <c r="B1418" s="93" t="s">
        <v>231</v>
      </c>
      <c r="C1418" s="94"/>
      <c r="D1418" s="95"/>
      <c r="E1418" s="95"/>
      <c r="F1418" s="95"/>
      <c r="G1418" s="95"/>
      <c r="H1418" s="96"/>
      <c r="I1418" s="96"/>
      <c r="J1418" s="271"/>
    </row>
    <row r="1419" spans="1:10">
      <c r="A1419" s="84"/>
      <c r="B1419" s="93" t="s">
        <v>231</v>
      </c>
      <c r="C1419" s="94"/>
      <c r="D1419" s="95"/>
      <c r="E1419" s="95"/>
      <c r="F1419" s="95"/>
      <c r="G1419" s="95"/>
      <c r="H1419" s="96"/>
      <c r="I1419" s="96"/>
      <c r="J1419" s="271"/>
    </row>
    <row r="1420" spans="1:10">
      <c r="A1420" s="84"/>
      <c r="B1420" s="93" t="s">
        <v>231</v>
      </c>
      <c r="C1420" s="94"/>
      <c r="D1420" s="95"/>
      <c r="E1420" s="95"/>
      <c r="F1420" s="95"/>
      <c r="G1420" s="95"/>
      <c r="H1420" s="96"/>
      <c r="I1420" s="96"/>
      <c r="J1420" s="271"/>
    </row>
    <row r="1421" spans="1:10">
      <c r="A1421" s="84"/>
      <c r="B1421" s="93" t="s">
        <v>231</v>
      </c>
      <c r="C1421" s="94"/>
      <c r="D1421" s="95"/>
      <c r="E1421" s="95"/>
      <c r="F1421" s="95"/>
      <c r="G1421" s="95"/>
      <c r="H1421" s="96"/>
      <c r="I1421" s="96"/>
      <c r="J1421" s="271"/>
    </row>
    <row r="1422" spans="1:10">
      <c r="A1422" s="84"/>
      <c r="B1422" s="89"/>
      <c r="C1422" s="97"/>
      <c r="D1422" s="91"/>
      <c r="E1422" s="91"/>
      <c r="F1422" s="91"/>
      <c r="G1422" s="91" t="s">
        <v>255</v>
      </c>
      <c r="H1422" s="91"/>
      <c r="I1422" s="91"/>
      <c r="J1422" s="99">
        <f>+SUBTOTAL(9,J1415:J1421)</f>
        <v>5.85</v>
      </c>
    </row>
    <row r="1423" spans="1:10">
      <c r="A1423" s="84"/>
      <c r="B1423" s="89"/>
      <c r="C1423" s="97"/>
      <c r="D1423" s="91"/>
      <c r="E1423" s="91"/>
      <c r="F1423" s="91" t="s">
        <v>256</v>
      </c>
      <c r="G1423" s="91"/>
      <c r="H1423" s="91"/>
      <c r="I1423" s="91">
        <v>0</v>
      </c>
      <c r="J1423" s="99">
        <f>+ROUND(I1423*J1422,2)</f>
        <v>0</v>
      </c>
    </row>
    <row r="1424" spans="1:10">
      <c r="A1424" s="84"/>
      <c r="B1424" s="89"/>
      <c r="C1424" s="97"/>
      <c r="D1424" s="91"/>
      <c r="E1424" s="91"/>
      <c r="F1424" s="91" t="s">
        <v>257</v>
      </c>
      <c r="G1424" s="91"/>
      <c r="H1424" s="91"/>
      <c r="I1424" s="91"/>
      <c r="J1424" s="99">
        <f>+SUBTOTAL(9,J1415:J1423)</f>
        <v>5.85</v>
      </c>
    </row>
    <row r="1425" spans="1:10">
      <c r="A1425" s="84"/>
      <c r="B1425" s="98"/>
      <c r="C1425" s="97"/>
      <c r="D1425" s="91"/>
      <c r="E1425" s="91"/>
      <c r="F1425" s="91"/>
      <c r="G1425" s="91" t="s">
        <v>258</v>
      </c>
      <c r="H1425" s="91"/>
      <c r="I1425" s="91"/>
      <c r="J1425" s="275">
        <f>+SUBTOTAL(9,J1406:J1424)</f>
        <v>5.85</v>
      </c>
    </row>
    <row r="1426" spans="1:10">
      <c r="A1426" s="84"/>
      <c r="B1426" s="98"/>
      <c r="C1426" s="97" t="s">
        <v>259</v>
      </c>
      <c r="D1426" s="91">
        <v>1</v>
      </c>
      <c r="E1426" s="91"/>
      <c r="F1426" s="91"/>
      <c r="G1426" s="91" t="s">
        <v>260</v>
      </c>
      <c r="H1426" s="91"/>
      <c r="I1426" s="91"/>
      <c r="J1426" s="275">
        <f>+ROUND(J1425/D1426,2)</f>
        <v>5.85</v>
      </c>
    </row>
    <row r="1427" spans="1:10">
      <c r="A1427" s="84"/>
      <c r="B1427" s="89" t="s">
        <v>228</v>
      </c>
      <c r="C1427" s="90" t="s">
        <v>261</v>
      </c>
      <c r="D1427" s="91"/>
      <c r="E1427" s="91"/>
      <c r="F1427" s="91"/>
      <c r="G1427" s="92" t="s">
        <v>230</v>
      </c>
      <c r="H1427" s="92" t="s">
        <v>262</v>
      </c>
      <c r="I1427" s="92" t="s">
        <v>263</v>
      </c>
      <c r="J1427" s="99" t="s">
        <v>264</v>
      </c>
    </row>
    <row r="1428" spans="1:10">
      <c r="A1428" s="84"/>
      <c r="B1428" s="89" t="s">
        <v>593</v>
      </c>
      <c r="C1428" s="90" t="s">
        <v>594</v>
      </c>
      <c r="D1428" s="91"/>
      <c r="E1428" s="91"/>
      <c r="F1428" s="91"/>
      <c r="G1428" s="92" t="s">
        <v>332</v>
      </c>
      <c r="H1428" s="92">
        <v>10.76</v>
      </c>
      <c r="I1428" s="92">
        <v>0.27349000000000001</v>
      </c>
      <c r="J1428" s="99">
        <f t="shared" ref="J1428:J1433" si="6">+ROUND(H1428*I1428,2)</f>
        <v>2.94</v>
      </c>
    </row>
    <row r="1429" spans="1:10">
      <c r="A1429" s="84"/>
      <c r="B1429" s="93" t="s">
        <v>595</v>
      </c>
      <c r="C1429" s="94" t="s">
        <v>596</v>
      </c>
      <c r="D1429" s="95"/>
      <c r="E1429" s="95"/>
      <c r="F1429" s="95"/>
      <c r="G1429" s="96" t="s">
        <v>386</v>
      </c>
      <c r="H1429" s="96">
        <v>26.49</v>
      </c>
      <c r="I1429" s="96">
        <v>1.8749999999999999E-2</v>
      </c>
      <c r="J1429" s="271">
        <f t="shared" si="6"/>
        <v>0.5</v>
      </c>
    </row>
    <row r="1430" spans="1:10">
      <c r="A1430" s="84"/>
      <c r="B1430" s="93" t="s">
        <v>597</v>
      </c>
      <c r="C1430" s="94" t="s">
        <v>598</v>
      </c>
      <c r="D1430" s="95"/>
      <c r="E1430" s="95"/>
      <c r="F1430" s="95"/>
      <c r="G1430" s="96" t="s">
        <v>337</v>
      </c>
      <c r="H1430" s="96">
        <v>17.309999999999999</v>
      </c>
      <c r="I1430" s="96">
        <v>1.333E-2</v>
      </c>
      <c r="J1430" s="271">
        <f t="shared" si="6"/>
        <v>0.23</v>
      </c>
    </row>
    <row r="1431" spans="1:10">
      <c r="A1431" s="84"/>
      <c r="B1431" s="93" t="s">
        <v>599</v>
      </c>
      <c r="C1431" s="94" t="s">
        <v>600</v>
      </c>
      <c r="D1431" s="95"/>
      <c r="E1431" s="95"/>
      <c r="F1431" s="95"/>
      <c r="G1431" s="96" t="s">
        <v>270</v>
      </c>
      <c r="H1431" s="96">
        <v>33.99</v>
      </c>
      <c r="I1431" s="96">
        <v>2.7E-4</v>
      </c>
      <c r="J1431" s="271">
        <f t="shared" si="6"/>
        <v>0.01</v>
      </c>
    </row>
    <row r="1432" spans="1:10">
      <c r="A1432" s="84"/>
      <c r="B1432" s="93" t="s">
        <v>601</v>
      </c>
      <c r="C1432" s="94" t="s">
        <v>602</v>
      </c>
      <c r="D1432" s="95"/>
      <c r="E1432" s="95"/>
      <c r="F1432" s="95"/>
      <c r="G1432" s="96" t="s">
        <v>270</v>
      </c>
      <c r="H1432" s="96">
        <v>33.99</v>
      </c>
      <c r="I1432" s="96">
        <v>6.9999999999999994E-5</v>
      </c>
      <c r="J1432" s="271">
        <f t="shared" si="6"/>
        <v>0</v>
      </c>
    </row>
    <row r="1433" spans="1:10">
      <c r="A1433" s="84"/>
      <c r="B1433" s="93" t="s">
        <v>603</v>
      </c>
      <c r="C1433" s="94" t="s">
        <v>604</v>
      </c>
      <c r="D1433" s="95"/>
      <c r="E1433" s="95"/>
      <c r="F1433" s="95"/>
      <c r="G1433" s="96" t="s">
        <v>270</v>
      </c>
      <c r="H1433" s="96">
        <v>33.81</v>
      </c>
      <c r="I1433" s="96">
        <v>1.0000000000000001E-5</v>
      </c>
      <c r="J1433" s="271">
        <f t="shared" si="6"/>
        <v>0</v>
      </c>
    </row>
    <row r="1434" spans="1:10">
      <c r="A1434" s="84"/>
      <c r="B1434" s="93" t="s">
        <v>231</v>
      </c>
      <c r="C1434" s="94"/>
      <c r="D1434" s="95"/>
      <c r="E1434" s="95"/>
      <c r="F1434" s="95"/>
      <c r="G1434" s="96"/>
      <c r="H1434" s="96"/>
      <c r="I1434" s="96"/>
      <c r="J1434" s="271"/>
    </row>
    <row r="1435" spans="1:10">
      <c r="A1435" s="84"/>
      <c r="B1435" s="89"/>
      <c r="C1435" s="97"/>
      <c r="D1435" s="91"/>
      <c r="E1435" s="91"/>
      <c r="F1435" s="91"/>
      <c r="G1435" s="91" t="s">
        <v>275</v>
      </c>
      <c r="H1435" s="91"/>
      <c r="I1435" s="91"/>
      <c r="J1435" s="99">
        <f>+SUBTOTAL(9,J1428:J1434)</f>
        <v>3.6799999999999997</v>
      </c>
    </row>
    <row r="1436" spans="1:10">
      <c r="A1436" s="84"/>
      <c r="B1436" s="89" t="s">
        <v>228</v>
      </c>
      <c r="C1436" s="90" t="s">
        <v>276</v>
      </c>
      <c r="D1436" s="91"/>
      <c r="E1436" s="91"/>
      <c r="F1436" s="91"/>
      <c r="G1436" s="92" t="s">
        <v>230</v>
      </c>
      <c r="H1436" s="92" t="s">
        <v>262</v>
      </c>
      <c r="I1436" s="92" t="s">
        <v>263</v>
      </c>
      <c r="J1436" s="99" t="s">
        <v>264</v>
      </c>
    </row>
    <row r="1437" spans="1:10">
      <c r="A1437" s="84"/>
      <c r="B1437" s="89" t="s">
        <v>605</v>
      </c>
      <c r="C1437" s="90" t="s">
        <v>606</v>
      </c>
      <c r="D1437" s="91"/>
      <c r="E1437" s="91"/>
      <c r="F1437" s="91"/>
      <c r="G1437" s="92" t="s">
        <v>386</v>
      </c>
      <c r="H1437" s="92">
        <v>1.35</v>
      </c>
      <c r="I1437" s="92">
        <v>4.9169999999999998E-2</v>
      </c>
      <c r="J1437" s="99">
        <f>+ROUND(H1437*I1437,2)</f>
        <v>7.0000000000000007E-2</v>
      </c>
    </row>
    <row r="1438" spans="1:10">
      <c r="A1438" s="84"/>
      <c r="B1438" s="93" t="s">
        <v>607</v>
      </c>
      <c r="C1438" s="94" t="s">
        <v>608</v>
      </c>
      <c r="D1438" s="95"/>
      <c r="E1438" s="95"/>
      <c r="F1438" s="95"/>
      <c r="G1438" s="96" t="s">
        <v>267</v>
      </c>
      <c r="H1438" s="96">
        <v>0.18</v>
      </c>
      <c r="I1438" s="96">
        <v>1.2500000000000001E-2</v>
      </c>
      <c r="J1438" s="271">
        <f>+ROUND(H1438*I1438,2)</f>
        <v>0</v>
      </c>
    </row>
    <row r="1439" spans="1:10">
      <c r="A1439" s="84"/>
      <c r="B1439" s="93" t="s">
        <v>609</v>
      </c>
      <c r="C1439" s="94" t="s">
        <v>610</v>
      </c>
      <c r="D1439" s="95"/>
      <c r="E1439" s="95"/>
      <c r="F1439" s="95"/>
      <c r="G1439" s="96" t="s">
        <v>332</v>
      </c>
      <c r="H1439" s="96">
        <v>102.22</v>
      </c>
      <c r="I1439" s="96">
        <v>4.6999999999999999E-4</v>
      </c>
      <c r="J1439" s="271">
        <f>+ROUND(H1439*I1439,2)</f>
        <v>0.05</v>
      </c>
    </row>
    <row r="1440" spans="1:10">
      <c r="A1440" s="84"/>
      <c r="B1440" s="93" t="s">
        <v>231</v>
      </c>
      <c r="C1440" s="94"/>
      <c r="D1440" s="95"/>
      <c r="E1440" s="95"/>
      <c r="F1440" s="95"/>
      <c r="G1440" s="96"/>
      <c r="H1440" s="96"/>
      <c r="I1440" s="96"/>
      <c r="J1440" s="271"/>
    </row>
    <row r="1441" spans="1:10">
      <c r="A1441" s="84"/>
      <c r="B1441" s="93" t="s">
        <v>231</v>
      </c>
      <c r="C1441" s="94"/>
      <c r="D1441" s="95"/>
      <c r="E1441" s="95"/>
      <c r="F1441" s="95"/>
      <c r="G1441" s="96"/>
      <c r="H1441" s="96"/>
      <c r="I1441" s="96"/>
      <c r="J1441" s="271"/>
    </row>
    <row r="1442" spans="1:10">
      <c r="A1442" s="84"/>
      <c r="B1442" s="89"/>
      <c r="C1442" s="97"/>
      <c r="D1442" s="91"/>
      <c r="E1442" s="91"/>
      <c r="F1442" s="91"/>
      <c r="G1442" s="91" t="s">
        <v>279</v>
      </c>
      <c r="H1442" s="91"/>
      <c r="I1442" s="91"/>
      <c r="J1442" s="99">
        <f>+SUBTOTAL(9,J1437:J1441)</f>
        <v>0.12000000000000001</v>
      </c>
    </row>
    <row r="1443" spans="1:10">
      <c r="A1443" s="84"/>
      <c r="B1443" s="89" t="s">
        <v>228</v>
      </c>
      <c r="C1443" s="90" t="s">
        <v>280</v>
      </c>
      <c r="D1443" s="92" t="s">
        <v>281</v>
      </c>
      <c r="E1443" s="92" t="s">
        <v>282</v>
      </c>
      <c r="F1443" s="92" t="s">
        <v>283</v>
      </c>
      <c r="G1443" s="92" t="s">
        <v>284</v>
      </c>
      <c r="H1443" s="92" t="s">
        <v>285</v>
      </c>
      <c r="I1443" s="92" t="s">
        <v>263</v>
      </c>
      <c r="J1443" s="99" t="s">
        <v>286</v>
      </c>
    </row>
    <row r="1444" spans="1:10">
      <c r="A1444" s="84"/>
      <c r="B1444" s="89" t="s">
        <v>611</v>
      </c>
      <c r="C1444" s="90" t="s">
        <v>612</v>
      </c>
      <c r="D1444" s="92" t="s">
        <v>289</v>
      </c>
      <c r="E1444" s="92">
        <v>0</v>
      </c>
      <c r="F1444" s="92">
        <v>56.58</v>
      </c>
      <c r="G1444" s="92">
        <v>56.58</v>
      </c>
      <c r="H1444" s="92">
        <v>0.74</v>
      </c>
      <c r="I1444" s="92">
        <v>2.7E-4</v>
      </c>
      <c r="J1444" s="99">
        <f>+ROUND(G1444*H1444*I1444,2)</f>
        <v>0.01</v>
      </c>
    </row>
    <row r="1445" spans="1:10">
      <c r="A1445" s="84"/>
      <c r="B1445" s="93" t="s">
        <v>613</v>
      </c>
      <c r="C1445" s="94" t="s">
        <v>614</v>
      </c>
      <c r="D1445" s="96" t="s">
        <v>289</v>
      </c>
      <c r="E1445" s="96">
        <v>0</v>
      </c>
      <c r="F1445" s="96">
        <v>56.58</v>
      </c>
      <c r="G1445" s="96">
        <v>56.58</v>
      </c>
      <c r="H1445" s="96">
        <v>0.74</v>
      </c>
      <c r="I1445" s="96">
        <v>6.9999999999999994E-5</v>
      </c>
      <c r="J1445" s="271">
        <f>+ROUND(G1445*H1445*I1445,2)</f>
        <v>0</v>
      </c>
    </row>
    <row r="1446" spans="1:10">
      <c r="A1446" s="84"/>
      <c r="B1446" s="93" t="s">
        <v>615</v>
      </c>
      <c r="C1446" s="94" t="s">
        <v>616</v>
      </c>
      <c r="D1446" s="96" t="s">
        <v>289</v>
      </c>
      <c r="E1446" s="96">
        <v>0</v>
      </c>
      <c r="F1446" s="96">
        <v>56.58</v>
      </c>
      <c r="G1446" s="96">
        <v>56.58</v>
      </c>
      <c r="H1446" s="96">
        <v>0.74</v>
      </c>
      <c r="I1446" s="96">
        <v>1.0000000000000001E-5</v>
      </c>
      <c r="J1446" s="271">
        <f>+ROUND(G1446*H1446*I1446,2)</f>
        <v>0</v>
      </c>
    </row>
    <row r="1447" spans="1:10">
      <c r="A1447" s="84"/>
      <c r="B1447" s="93" t="s">
        <v>231</v>
      </c>
      <c r="C1447" s="94"/>
      <c r="D1447" s="96"/>
      <c r="E1447" s="96"/>
      <c r="F1447" s="96"/>
      <c r="G1447" s="96"/>
      <c r="H1447" s="96"/>
      <c r="I1447" s="96"/>
      <c r="J1447" s="271"/>
    </row>
    <row r="1448" spans="1:10">
      <c r="A1448" s="84"/>
      <c r="B1448" s="93" t="s">
        <v>231</v>
      </c>
      <c r="C1448" s="94"/>
      <c r="D1448" s="96"/>
      <c r="E1448" s="96"/>
      <c r="F1448" s="96"/>
      <c r="G1448" s="96"/>
      <c r="H1448" s="96"/>
      <c r="I1448" s="96"/>
      <c r="J1448" s="271"/>
    </row>
    <row r="1449" spans="1:10">
      <c r="A1449" s="84"/>
      <c r="B1449" s="93" t="s">
        <v>231</v>
      </c>
      <c r="C1449" s="94"/>
      <c r="D1449" s="96"/>
      <c r="E1449" s="96"/>
      <c r="F1449" s="96"/>
      <c r="G1449" s="96"/>
      <c r="H1449" s="96"/>
      <c r="I1449" s="96"/>
      <c r="J1449" s="271"/>
    </row>
    <row r="1450" spans="1:10">
      <c r="A1450" s="84"/>
      <c r="B1450" s="93" t="s">
        <v>231</v>
      </c>
      <c r="C1450" s="94"/>
      <c r="D1450" s="96"/>
      <c r="E1450" s="96"/>
      <c r="F1450" s="96"/>
      <c r="G1450" s="96"/>
      <c r="H1450" s="96"/>
      <c r="I1450" s="96"/>
      <c r="J1450" s="271"/>
    </row>
    <row r="1451" spans="1:10">
      <c r="A1451" s="84"/>
      <c r="B1451" s="89"/>
      <c r="C1451" s="97"/>
      <c r="D1451" s="91"/>
      <c r="E1451" s="91"/>
      <c r="F1451" s="91"/>
      <c r="G1451" s="91" t="s">
        <v>290</v>
      </c>
      <c r="H1451" s="91"/>
      <c r="I1451" s="91"/>
      <c r="J1451" s="99">
        <f>+SUBTOTAL(9,J1444:J1450)</f>
        <v>0.01</v>
      </c>
    </row>
    <row r="1452" spans="1:10">
      <c r="A1452" s="84"/>
      <c r="B1452" s="89" t="s">
        <v>291</v>
      </c>
      <c r="C1452" s="97"/>
      <c r="D1452" s="91"/>
      <c r="E1452" s="91"/>
      <c r="F1452" s="91"/>
      <c r="G1452" s="91"/>
      <c r="H1452" s="91"/>
      <c r="I1452" s="91"/>
      <c r="J1452" s="99">
        <f>+SUBTOTAL(9,J1426:J1450)</f>
        <v>9.66</v>
      </c>
    </row>
    <row r="1453" spans="1:10">
      <c r="A1453" s="84"/>
      <c r="B1453" s="89" t="s">
        <v>292</v>
      </c>
      <c r="C1453" s="97"/>
      <c r="D1453" s="91">
        <v>0</v>
      </c>
      <c r="E1453" s="91"/>
      <c r="F1453" s="91"/>
      <c r="G1453" s="91"/>
      <c r="H1453" s="91"/>
      <c r="I1453" s="91"/>
      <c r="J1453" s="99">
        <f>+ROUND(J1452*D1453/100,2)</f>
        <v>0</v>
      </c>
    </row>
    <row r="1454" spans="1:10" ht="14.4" thickBot="1">
      <c r="A1454" s="84"/>
      <c r="B1454" s="89" t="s">
        <v>293</v>
      </c>
      <c r="C1454" s="97"/>
      <c r="D1454" s="91"/>
      <c r="E1454" s="91"/>
      <c r="F1454" s="91"/>
      <c r="G1454" s="91"/>
      <c r="H1454" s="91"/>
      <c r="I1454" s="91"/>
      <c r="J1454" s="99">
        <f>+J1452+ J1453</f>
        <v>9.66</v>
      </c>
    </row>
    <row r="1455" spans="1:10">
      <c r="A1455" s="84"/>
      <c r="B1455" s="85" t="s">
        <v>294</v>
      </c>
      <c r="C1455" s="86"/>
      <c r="D1455" s="88"/>
      <c r="E1455" s="88"/>
      <c r="F1455" s="88" t="s">
        <v>295</v>
      </c>
      <c r="G1455" s="88"/>
      <c r="H1455" s="88"/>
      <c r="I1455" s="88" t="s">
        <v>296</v>
      </c>
      <c r="J1455" s="270"/>
    </row>
    <row r="1456" spans="1:10">
      <c r="A1456" s="84"/>
      <c r="B1456" s="93" t="s">
        <v>297</v>
      </c>
      <c r="C1456" s="84"/>
      <c r="D1456" s="95"/>
      <c r="E1456" s="95"/>
      <c r="F1456" s="95" t="s">
        <v>298</v>
      </c>
      <c r="G1456" s="95"/>
      <c r="H1456" s="95"/>
      <c r="I1456" s="95"/>
      <c r="J1456" s="276"/>
    </row>
    <row r="1457" spans="1:10">
      <c r="A1457" s="84"/>
      <c r="B1457" s="93" t="s">
        <v>299</v>
      </c>
      <c r="C1457" s="84"/>
      <c r="D1457" s="95"/>
      <c r="E1457" s="95"/>
      <c r="F1457" s="95" t="s">
        <v>300</v>
      </c>
      <c r="G1457" s="95"/>
      <c r="H1457" s="95"/>
      <c r="I1457" s="95"/>
      <c r="J1457" s="276"/>
    </row>
    <row r="1458" spans="1:10" ht="14.4" thickBot="1">
      <c r="A1458" s="84"/>
      <c r="B1458" s="100" t="s">
        <v>301</v>
      </c>
      <c r="C1458" s="84"/>
      <c r="D1458" s="95"/>
      <c r="E1458" s="95"/>
      <c r="F1458" s="95"/>
      <c r="G1458" s="95"/>
      <c r="H1458" s="95"/>
      <c r="I1458" s="95"/>
      <c r="J1458" s="277"/>
    </row>
    <row r="1459" spans="1:10">
      <c r="A1459" s="84"/>
      <c r="B1459" s="86"/>
      <c r="C1459" s="86"/>
      <c r="D1459" s="88"/>
      <c r="E1459" s="88"/>
      <c r="F1459" s="88"/>
      <c r="G1459" s="88"/>
      <c r="H1459" s="88"/>
      <c r="I1459" s="88"/>
      <c r="J1459" s="88"/>
    </row>
    <row r="1460" spans="1:10" ht="14.4" thickBot="1">
      <c r="A1460" s="84"/>
      <c r="B1460" s="84"/>
      <c r="C1460" s="84"/>
      <c r="D1460" s="95"/>
      <c r="E1460" s="95"/>
      <c r="F1460" s="95"/>
      <c r="G1460" s="95"/>
      <c r="H1460" s="95"/>
      <c r="I1460" s="95"/>
      <c r="J1460" s="95"/>
    </row>
    <row r="1461" spans="1:10">
      <c r="A1461" s="84"/>
      <c r="B1461" s="85"/>
      <c r="C1461" s="86"/>
      <c r="D1461" s="87" t="s">
        <v>227</v>
      </c>
      <c r="E1461" s="87"/>
      <c r="F1461" s="87"/>
      <c r="G1461" s="88"/>
      <c r="H1461" s="88"/>
      <c r="I1461" s="88"/>
      <c r="J1461" s="270"/>
    </row>
    <row r="1462" spans="1:10">
      <c r="A1462" s="84"/>
      <c r="B1462" s="89" t="s">
        <v>228</v>
      </c>
      <c r="C1462" s="90" t="s">
        <v>92</v>
      </c>
      <c r="D1462" s="91"/>
      <c r="E1462" s="91"/>
      <c r="F1462" s="91"/>
      <c r="G1462" s="91"/>
      <c r="H1462" s="92" t="s">
        <v>229</v>
      </c>
      <c r="I1462" s="91"/>
      <c r="J1462" s="99" t="s">
        <v>230</v>
      </c>
    </row>
    <row r="1463" spans="1:10">
      <c r="A1463" s="84"/>
      <c r="B1463" s="93" t="s">
        <v>605</v>
      </c>
      <c r="C1463" s="94" t="s">
        <v>617</v>
      </c>
      <c r="D1463" s="95"/>
      <c r="E1463" s="95"/>
      <c r="F1463" s="95"/>
      <c r="G1463" s="95"/>
      <c r="H1463" s="96" t="s">
        <v>233</v>
      </c>
      <c r="I1463" s="95"/>
      <c r="J1463" s="271" t="s">
        <v>386</v>
      </c>
    </row>
    <row r="1464" spans="1:10">
      <c r="A1464" s="84"/>
      <c r="B1464" s="89"/>
      <c r="C1464" s="90"/>
      <c r="D1464" s="91"/>
      <c r="E1464" s="92"/>
      <c r="F1464" s="92" t="s">
        <v>235</v>
      </c>
      <c r="G1464" s="92"/>
      <c r="H1464" s="92" t="s">
        <v>236</v>
      </c>
      <c r="I1464" s="92"/>
      <c r="J1464" s="99" t="s">
        <v>237</v>
      </c>
    </row>
    <row r="1465" spans="1:10">
      <c r="A1465" s="84"/>
      <c r="B1465" s="93" t="s">
        <v>228</v>
      </c>
      <c r="C1465" s="94" t="s">
        <v>238</v>
      </c>
      <c r="D1465" s="95"/>
      <c r="E1465" s="96" t="s">
        <v>239</v>
      </c>
      <c r="F1465" s="92" t="s">
        <v>240</v>
      </c>
      <c r="G1465" s="92" t="s">
        <v>241</v>
      </c>
      <c r="H1465" s="92" t="s">
        <v>240</v>
      </c>
      <c r="I1465" s="272" t="s">
        <v>241</v>
      </c>
      <c r="J1465" s="271" t="s">
        <v>242</v>
      </c>
    </row>
    <row r="1466" spans="1:10">
      <c r="A1466" s="84"/>
      <c r="B1466" s="273" t="s">
        <v>618</v>
      </c>
      <c r="C1466" s="90" t="s">
        <v>619</v>
      </c>
      <c r="D1466" s="91"/>
      <c r="E1466" s="92">
        <v>1</v>
      </c>
      <c r="F1466" s="92">
        <v>1</v>
      </c>
      <c r="G1466" s="92">
        <v>0</v>
      </c>
      <c r="H1466" s="92">
        <v>1.05</v>
      </c>
      <c r="I1466" s="92">
        <v>0.57999999999999996</v>
      </c>
      <c r="J1466" s="99">
        <f>+ROUND(E1466* ((F1466*H1466) + (G1466*I1466)),2)</f>
        <v>1.05</v>
      </c>
    </row>
    <row r="1467" spans="1:10">
      <c r="A1467" s="84"/>
      <c r="B1467" s="93" t="s">
        <v>231</v>
      </c>
      <c r="C1467" s="94"/>
      <c r="D1467" s="95"/>
      <c r="E1467" s="96"/>
      <c r="F1467" s="96"/>
      <c r="G1467" s="96"/>
      <c r="H1467" s="96"/>
      <c r="I1467" s="96"/>
      <c r="J1467" s="271"/>
    </row>
    <row r="1468" spans="1:10">
      <c r="A1468" s="84"/>
      <c r="B1468" s="93" t="s">
        <v>231</v>
      </c>
      <c r="C1468" s="94"/>
      <c r="D1468" s="95"/>
      <c r="E1468" s="96"/>
      <c r="F1468" s="96"/>
      <c r="G1468" s="96"/>
      <c r="H1468" s="96"/>
      <c r="I1468" s="96"/>
      <c r="J1468" s="271"/>
    </row>
    <row r="1469" spans="1:10">
      <c r="A1469" s="84"/>
      <c r="B1469" s="93" t="s">
        <v>231</v>
      </c>
      <c r="C1469" s="94"/>
      <c r="D1469" s="95"/>
      <c r="E1469" s="96"/>
      <c r="F1469" s="96"/>
      <c r="G1469" s="96"/>
      <c r="H1469" s="96"/>
      <c r="I1469" s="96"/>
      <c r="J1469" s="271"/>
    </row>
    <row r="1470" spans="1:10">
      <c r="A1470" s="84"/>
      <c r="B1470" s="93" t="s">
        <v>231</v>
      </c>
      <c r="C1470" s="94"/>
      <c r="D1470" s="95"/>
      <c r="E1470" s="96"/>
      <c r="F1470" s="96"/>
      <c r="G1470" s="96"/>
      <c r="H1470" s="96"/>
      <c r="I1470" s="96"/>
      <c r="J1470" s="271"/>
    </row>
    <row r="1471" spans="1:10">
      <c r="A1471" s="84"/>
      <c r="B1471" s="93" t="s">
        <v>231</v>
      </c>
      <c r="C1471" s="94"/>
      <c r="D1471" s="95"/>
      <c r="E1471" s="96"/>
      <c r="F1471" s="96"/>
      <c r="G1471" s="96"/>
      <c r="H1471" s="96"/>
      <c r="I1471" s="96"/>
      <c r="J1471" s="271"/>
    </row>
    <row r="1472" spans="1:10">
      <c r="A1472" s="84"/>
      <c r="B1472" s="93" t="s">
        <v>231</v>
      </c>
      <c r="C1472" s="94"/>
      <c r="D1472" s="95"/>
      <c r="E1472" s="96"/>
      <c r="F1472" s="96"/>
      <c r="G1472" s="96"/>
      <c r="H1472" s="96"/>
      <c r="I1472" s="96"/>
      <c r="J1472" s="271"/>
    </row>
    <row r="1473" spans="1:10">
      <c r="A1473" s="84"/>
      <c r="B1473" s="89"/>
      <c r="C1473" s="97"/>
      <c r="D1473" s="91"/>
      <c r="E1473" s="91"/>
      <c r="F1473" s="91"/>
      <c r="G1473" s="91" t="s">
        <v>249</v>
      </c>
      <c r="H1473" s="91"/>
      <c r="I1473" s="91"/>
      <c r="J1473" s="99">
        <f>+SUBTOTAL(9,J1466:J1472)</f>
        <v>1.05</v>
      </c>
    </row>
    <row r="1474" spans="1:10">
      <c r="A1474" s="84"/>
      <c r="B1474" s="89" t="s">
        <v>228</v>
      </c>
      <c r="C1474" s="90" t="s">
        <v>250</v>
      </c>
      <c r="D1474" s="91"/>
      <c r="E1474" s="91"/>
      <c r="F1474" s="91"/>
      <c r="G1474" s="91"/>
      <c r="H1474" s="92" t="s">
        <v>239</v>
      </c>
      <c r="I1474" s="92" t="s">
        <v>251</v>
      </c>
      <c r="J1474" s="99" t="s">
        <v>252</v>
      </c>
    </row>
    <row r="1475" spans="1:10">
      <c r="A1475" s="84"/>
      <c r="B1475" s="89" t="s">
        <v>620</v>
      </c>
      <c r="C1475" s="90" t="s">
        <v>621</v>
      </c>
      <c r="D1475" s="91"/>
      <c r="E1475" s="91"/>
      <c r="F1475" s="91"/>
      <c r="G1475" s="91"/>
      <c r="H1475" s="92">
        <v>1</v>
      </c>
      <c r="I1475" s="92">
        <v>36.58</v>
      </c>
      <c r="J1475" s="99">
        <f>+ROUND(H1475*I1475,2)</f>
        <v>36.58</v>
      </c>
    </row>
    <row r="1476" spans="1:10">
      <c r="A1476" s="84"/>
      <c r="B1476" s="93" t="s">
        <v>231</v>
      </c>
      <c r="C1476" s="94"/>
      <c r="D1476" s="95"/>
      <c r="E1476" s="95"/>
      <c r="F1476" s="95"/>
      <c r="G1476" s="95"/>
      <c r="H1476" s="96"/>
      <c r="I1476" s="96"/>
      <c r="J1476" s="271"/>
    </row>
    <row r="1477" spans="1:10">
      <c r="A1477" s="84"/>
      <c r="B1477" s="93" t="s">
        <v>231</v>
      </c>
      <c r="C1477" s="94"/>
      <c r="D1477" s="95"/>
      <c r="E1477" s="95"/>
      <c r="F1477" s="95"/>
      <c r="G1477" s="95"/>
      <c r="H1477" s="96"/>
      <c r="I1477" s="96"/>
      <c r="J1477" s="271"/>
    </row>
    <row r="1478" spans="1:10">
      <c r="A1478" s="84"/>
      <c r="B1478" s="93" t="s">
        <v>231</v>
      </c>
      <c r="C1478" s="94"/>
      <c r="D1478" s="95"/>
      <c r="E1478" s="95"/>
      <c r="F1478" s="95"/>
      <c r="G1478" s="95"/>
      <c r="H1478" s="96"/>
      <c r="I1478" s="96"/>
      <c r="J1478" s="271"/>
    </row>
    <row r="1479" spans="1:10">
      <c r="A1479" s="84"/>
      <c r="B1479" s="93" t="s">
        <v>231</v>
      </c>
      <c r="C1479" s="94"/>
      <c r="D1479" s="95"/>
      <c r="E1479" s="95"/>
      <c r="F1479" s="95"/>
      <c r="G1479" s="95"/>
      <c r="H1479" s="96"/>
      <c r="I1479" s="96"/>
      <c r="J1479" s="271"/>
    </row>
    <row r="1480" spans="1:10">
      <c r="A1480" s="84"/>
      <c r="B1480" s="93" t="s">
        <v>231</v>
      </c>
      <c r="C1480" s="94"/>
      <c r="D1480" s="95"/>
      <c r="E1480" s="95"/>
      <c r="F1480" s="95"/>
      <c r="G1480" s="95"/>
      <c r="H1480" s="96"/>
      <c r="I1480" s="96"/>
      <c r="J1480" s="271"/>
    </row>
    <row r="1481" spans="1:10">
      <c r="A1481" s="84"/>
      <c r="B1481" s="93" t="s">
        <v>231</v>
      </c>
      <c r="C1481" s="94"/>
      <c r="D1481" s="95"/>
      <c r="E1481" s="95"/>
      <c r="F1481" s="95"/>
      <c r="G1481" s="95"/>
      <c r="H1481" s="96"/>
      <c r="I1481" s="96"/>
      <c r="J1481" s="271"/>
    </row>
    <row r="1482" spans="1:10">
      <c r="A1482" s="84"/>
      <c r="B1482" s="89"/>
      <c r="C1482" s="97"/>
      <c r="D1482" s="91"/>
      <c r="E1482" s="91"/>
      <c r="F1482" s="91"/>
      <c r="G1482" s="91" t="s">
        <v>255</v>
      </c>
      <c r="H1482" s="91"/>
      <c r="I1482" s="91"/>
      <c r="J1482" s="99">
        <f>+SUBTOTAL(9,J1475:J1481)</f>
        <v>36.58</v>
      </c>
    </row>
    <row r="1483" spans="1:10">
      <c r="A1483" s="84"/>
      <c r="B1483" s="89"/>
      <c r="C1483" s="97"/>
      <c r="D1483" s="91"/>
      <c r="E1483" s="91"/>
      <c r="F1483" s="91" t="s">
        <v>256</v>
      </c>
      <c r="G1483" s="91"/>
      <c r="H1483" s="91"/>
      <c r="I1483" s="91">
        <v>0</v>
      </c>
      <c r="J1483" s="99">
        <f>+ROUND(I1483*J1482,2)</f>
        <v>0</v>
      </c>
    </row>
    <row r="1484" spans="1:10">
      <c r="A1484" s="84"/>
      <c r="B1484" s="89"/>
      <c r="C1484" s="97"/>
      <c r="D1484" s="91"/>
      <c r="E1484" s="91"/>
      <c r="F1484" s="91" t="s">
        <v>257</v>
      </c>
      <c r="G1484" s="91"/>
      <c r="H1484" s="91"/>
      <c r="I1484" s="91"/>
      <c r="J1484" s="99">
        <f>+SUBTOTAL(9,J1475:J1483)</f>
        <v>36.58</v>
      </c>
    </row>
    <row r="1485" spans="1:10">
      <c r="A1485" s="84"/>
      <c r="B1485" s="98"/>
      <c r="C1485" s="97"/>
      <c r="D1485" s="91"/>
      <c r="E1485" s="91"/>
      <c r="F1485" s="91"/>
      <c r="G1485" s="91" t="s">
        <v>258</v>
      </c>
      <c r="H1485" s="91"/>
      <c r="I1485" s="91"/>
      <c r="J1485" s="275">
        <f>+SUBTOTAL(9,J1466:J1484)</f>
        <v>37.629999999999995</v>
      </c>
    </row>
    <row r="1486" spans="1:10">
      <c r="A1486" s="84"/>
      <c r="B1486" s="98"/>
      <c r="C1486" s="97" t="s">
        <v>259</v>
      </c>
      <c r="D1486" s="91">
        <v>45.85</v>
      </c>
      <c r="E1486" s="91"/>
      <c r="F1486" s="91"/>
      <c r="G1486" s="91" t="s">
        <v>260</v>
      </c>
      <c r="H1486" s="91"/>
      <c r="I1486" s="91"/>
      <c r="J1486" s="275">
        <f>+ROUND(J1485/D1486,2)</f>
        <v>0.82</v>
      </c>
    </row>
    <row r="1487" spans="1:10">
      <c r="A1487" s="84"/>
      <c r="B1487" s="89" t="s">
        <v>228</v>
      </c>
      <c r="C1487" s="90" t="s">
        <v>261</v>
      </c>
      <c r="D1487" s="91"/>
      <c r="E1487" s="91"/>
      <c r="F1487" s="91"/>
      <c r="G1487" s="92" t="s">
        <v>230</v>
      </c>
      <c r="H1487" s="92" t="s">
        <v>262</v>
      </c>
      <c r="I1487" s="92" t="s">
        <v>263</v>
      </c>
      <c r="J1487" s="99" t="s">
        <v>264</v>
      </c>
    </row>
    <row r="1488" spans="1:10">
      <c r="A1488" s="84"/>
      <c r="B1488" s="89" t="s">
        <v>622</v>
      </c>
      <c r="C1488" s="90" t="s">
        <v>623</v>
      </c>
      <c r="D1488" s="91"/>
      <c r="E1488" s="91"/>
      <c r="F1488" s="91"/>
      <c r="G1488" s="92" t="s">
        <v>234</v>
      </c>
      <c r="H1488" s="92">
        <v>13.43</v>
      </c>
      <c r="I1488" s="92">
        <v>1.6729999999999998E-2</v>
      </c>
      <c r="J1488" s="99">
        <f>+ROUND(H1488*I1488,2)</f>
        <v>0.22</v>
      </c>
    </row>
    <row r="1489" spans="1:10">
      <c r="A1489" s="84"/>
      <c r="B1489" s="93" t="s">
        <v>624</v>
      </c>
      <c r="C1489" s="94" t="s">
        <v>625</v>
      </c>
      <c r="D1489" s="95"/>
      <c r="E1489" s="95"/>
      <c r="F1489" s="95"/>
      <c r="G1489" s="96" t="s">
        <v>332</v>
      </c>
      <c r="H1489" s="96">
        <v>61.07</v>
      </c>
      <c r="I1489" s="96">
        <v>4.9399999999999999E-3</v>
      </c>
      <c r="J1489" s="271">
        <f>+ROUND(H1489*I1489,2)</f>
        <v>0.3</v>
      </c>
    </row>
    <row r="1490" spans="1:10">
      <c r="A1490" s="84"/>
      <c r="B1490" s="93" t="s">
        <v>231</v>
      </c>
      <c r="C1490" s="94"/>
      <c r="D1490" s="95"/>
      <c r="E1490" s="95"/>
      <c r="F1490" s="95"/>
      <c r="G1490" s="96"/>
      <c r="H1490" s="96"/>
      <c r="I1490" s="96"/>
      <c r="J1490" s="271"/>
    </row>
    <row r="1491" spans="1:10">
      <c r="A1491" s="84"/>
      <c r="B1491" s="93" t="s">
        <v>231</v>
      </c>
      <c r="C1491" s="94"/>
      <c r="D1491" s="95"/>
      <c r="E1491" s="95"/>
      <c r="F1491" s="95"/>
      <c r="G1491" s="96"/>
      <c r="H1491" s="96"/>
      <c r="I1491" s="96"/>
      <c r="J1491" s="271"/>
    </row>
    <row r="1492" spans="1:10">
      <c r="A1492" s="84"/>
      <c r="B1492" s="93" t="s">
        <v>231</v>
      </c>
      <c r="C1492" s="94"/>
      <c r="D1492" s="95"/>
      <c r="E1492" s="95"/>
      <c r="F1492" s="95"/>
      <c r="G1492" s="96"/>
      <c r="H1492" s="96"/>
      <c r="I1492" s="96"/>
      <c r="J1492" s="271"/>
    </row>
    <row r="1493" spans="1:10">
      <c r="A1493" s="84"/>
      <c r="B1493" s="93" t="s">
        <v>231</v>
      </c>
      <c r="C1493" s="94"/>
      <c r="D1493" s="95"/>
      <c r="E1493" s="95"/>
      <c r="F1493" s="95"/>
      <c r="G1493" s="96"/>
      <c r="H1493" s="96"/>
      <c r="I1493" s="96"/>
      <c r="J1493" s="271"/>
    </row>
    <row r="1494" spans="1:10">
      <c r="A1494" s="84"/>
      <c r="B1494" s="93" t="s">
        <v>231</v>
      </c>
      <c r="C1494" s="94"/>
      <c r="D1494" s="95"/>
      <c r="E1494" s="95"/>
      <c r="F1494" s="95"/>
      <c r="G1494" s="96"/>
      <c r="H1494" s="96"/>
      <c r="I1494" s="96"/>
      <c r="J1494" s="271"/>
    </row>
    <row r="1495" spans="1:10">
      <c r="A1495" s="84"/>
      <c r="B1495" s="89"/>
      <c r="C1495" s="97"/>
      <c r="D1495" s="91"/>
      <c r="E1495" s="91"/>
      <c r="F1495" s="91"/>
      <c r="G1495" s="91" t="s">
        <v>275</v>
      </c>
      <c r="H1495" s="91"/>
      <c r="I1495" s="91"/>
      <c r="J1495" s="99">
        <f>+SUBTOTAL(9,J1488:J1494)</f>
        <v>0.52</v>
      </c>
    </row>
    <row r="1496" spans="1:10">
      <c r="A1496" s="84"/>
      <c r="B1496" s="89" t="s">
        <v>228</v>
      </c>
      <c r="C1496" s="90" t="s">
        <v>276</v>
      </c>
      <c r="D1496" s="91"/>
      <c r="E1496" s="91"/>
      <c r="F1496" s="91"/>
      <c r="G1496" s="92" t="s">
        <v>230</v>
      </c>
      <c r="H1496" s="92" t="s">
        <v>262</v>
      </c>
      <c r="I1496" s="92" t="s">
        <v>263</v>
      </c>
      <c r="J1496" s="99" t="s">
        <v>264</v>
      </c>
    </row>
    <row r="1497" spans="1:10">
      <c r="A1497" s="84"/>
      <c r="B1497" s="89" t="s">
        <v>231</v>
      </c>
      <c r="C1497" s="90"/>
      <c r="D1497" s="91"/>
      <c r="E1497" s="91"/>
      <c r="F1497" s="91"/>
      <c r="G1497" s="92"/>
      <c r="H1497" s="92"/>
      <c r="I1497" s="92"/>
      <c r="J1497" s="99"/>
    </row>
    <row r="1498" spans="1:10">
      <c r="A1498" s="84"/>
      <c r="B1498" s="93" t="s">
        <v>231</v>
      </c>
      <c r="C1498" s="94"/>
      <c r="D1498" s="95"/>
      <c r="E1498" s="95"/>
      <c r="F1498" s="95"/>
      <c r="G1498" s="96"/>
      <c r="H1498" s="96"/>
      <c r="I1498" s="96"/>
      <c r="J1498" s="271"/>
    </row>
    <row r="1499" spans="1:10">
      <c r="A1499" s="84"/>
      <c r="B1499" s="93" t="s">
        <v>231</v>
      </c>
      <c r="C1499" s="94"/>
      <c r="D1499" s="95"/>
      <c r="E1499" s="95"/>
      <c r="F1499" s="95"/>
      <c r="G1499" s="96"/>
      <c r="H1499" s="96"/>
      <c r="I1499" s="96"/>
      <c r="J1499" s="271"/>
    </row>
    <row r="1500" spans="1:10">
      <c r="A1500" s="84"/>
      <c r="B1500" s="93" t="s">
        <v>231</v>
      </c>
      <c r="C1500" s="94"/>
      <c r="D1500" s="95"/>
      <c r="E1500" s="95"/>
      <c r="F1500" s="95"/>
      <c r="G1500" s="96"/>
      <c r="H1500" s="96"/>
      <c r="I1500" s="96"/>
      <c r="J1500" s="271"/>
    </row>
    <row r="1501" spans="1:10">
      <c r="A1501" s="84"/>
      <c r="B1501" s="93" t="s">
        <v>231</v>
      </c>
      <c r="C1501" s="94"/>
      <c r="D1501" s="95"/>
      <c r="E1501" s="95"/>
      <c r="F1501" s="95"/>
      <c r="G1501" s="96"/>
      <c r="H1501" s="96"/>
      <c r="I1501" s="96"/>
      <c r="J1501" s="271"/>
    </row>
    <row r="1502" spans="1:10">
      <c r="A1502" s="84"/>
      <c r="B1502" s="89"/>
      <c r="C1502" s="97"/>
      <c r="D1502" s="91"/>
      <c r="E1502" s="91"/>
      <c r="F1502" s="91"/>
      <c r="G1502" s="91" t="s">
        <v>279</v>
      </c>
      <c r="H1502" s="91"/>
      <c r="I1502" s="91"/>
      <c r="J1502" s="99">
        <f>+SUBTOTAL(9,J1497:J1501)</f>
        <v>0</v>
      </c>
    </row>
    <row r="1503" spans="1:10">
      <c r="A1503" s="84"/>
      <c r="B1503" s="89" t="s">
        <v>228</v>
      </c>
      <c r="C1503" s="90" t="s">
        <v>280</v>
      </c>
      <c r="D1503" s="92" t="s">
        <v>281</v>
      </c>
      <c r="E1503" s="92" t="s">
        <v>282</v>
      </c>
      <c r="F1503" s="92" t="s">
        <v>283</v>
      </c>
      <c r="G1503" s="92" t="s">
        <v>284</v>
      </c>
      <c r="H1503" s="92" t="s">
        <v>285</v>
      </c>
      <c r="I1503" s="92" t="s">
        <v>263</v>
      </c>
      <c r="J1503" s="99" t="s">
        <v>286</v>
      </c>
    </row>
    <row r="1504" spans="1:10">
      <c r="A1504" s="84"/>
      <c r="B1504" s="89" t="s">
        <v>231</v>
      </c>
      <c r="C1504" s="90"/>
      <c r="D1504" s="92"/>
      <c r="E1504" s="92"/>
      <c r="F1504" s="92"/>
      <c r="G1504" s="92"/>
      <c r="H1504" s="92"/>
      <c r="I1504" s="92"/>
      <c r="J1504" s="99"/>
    </row>
    <row r="1505" spans="1:10">
      <c r="A1505" s="84"/>
      <c r="B1505" s="93" t="s">
        <v>231</v>
      </c>
      <c r="C1505" s="94"/>
      <c r="D1505" s="96"/>
      <c r="E1505" s="96"/>
      <c r="F1505" s="96"/>
      <c r="G1505" s="96"/>
      <c r="H1505" s="96"/>
      <c r="I1505" s="96"/>
      <c r="J1505" s="271"/>
    </row>
    <row r="1506" spans="1:10">
      <c r="A1506" s="84"/>
      <c r="B1506" s="93" t="s">
        <v>231</v>
      </c>
      <c r="C1506" s="94"/>
      <c r="D1506" s="96"/>
      <c r="E1506" s="96"/>
      <c r="F1506" s="96"/>
      <c r="G1506" s="96"/>
      <c r="H1506" s="96"/>
      <c r="I1506" s="96"/>
      <c r="J1506" s="271"/>
    </row>
    <row r="1507" spans="1:10">
      <c r="A1507" s="84"/>
      <c r="B1507" s="93" t="s">
        <v>231</v>
      </c>
      <c r="C1507" s="94"/>
      <c r="D1507" s="96"/>
      <c r="E1507" s="96"/>
      <c r="F1507" s="96"/>
      <c r="G1507" s="96"/>
      <c r="H1507" s="96"/>
      <c r="I1507" s="96"/>
      <c r="J1507" s="271"/>
    </row>
    <row r="1508" spans="1:10">
      <c r="A1508" s="84"/>
      <c r="B1508" s="93" t="s">
        <v>231</v>
      </c>
      <c r="C1508" s="94"/>
      <c r="D1508" s="96"/>
      <c r="E1508" s="96"/>
      <c r="F1508" s="96"/>
      <c r="G1508" s="96"/>
      <c r="H1508" s="96"/>
      <c r="I1508" s="96"/>
      <c r="J1508" s="271"/>
    </row>
    <row r="1509" spans="1:10">
      <c r="A1509" s="84"/>
      <c r="B1509" s="93" t="s">
        <v>231</v>
      </c>
      <c r="C1509" s="94"/>
      <c r="D1509" s="96"/>
      <c r="E1509" s="96"/>
      <c r="F1509" s="96"/>
      <c r="G1509" s="96"/>
      <c r="H1509" s="96"/>
      <c r="I1509" s="96"/>
      <c r="J1509" s="271"/>
    </row>
    <row r="1510" spans="1:10">
      <c r="A1510" s="84"/>
      <c r="B1510" s="93" t="s">
        <v>231</v>
      </c>
      <c r="C1510" s="94"/>
      <c r="D1510" s="96"/>
      <c r="E1510" s="96"/>
      <c r="F1510" s="96"/>
      <c r="G1510" s="96"/>
      <c r="H1510" s="96"/>
      <c r="I1510" s="96"/>
      <c r="J1510" s="271"/>
    </row>
    <row r="1511" spans="1:10">
      <c r="A1511" s="84"/>
      <c r="B1511" s="89"/>
      <c r="C1511" s="97"/>
      <c r="D1511" s="91"/>
      <c r="E1511" s="91"/>
      <c r="F1511" s="91"/>
      <c r="G1511" s="91" t="s">
        <v>290</v>
      </c>
      <c r="H1511" s="91"/>
      <c r="I1511" s="91"/>
      <c r="J1511" s="99">
        <f>+SUBTOTAL(9,J1504:J1510)</f>
        <v>0</v>
      </c>
    </row>
    <row r="1512" spans="1:10">
      <c r="A1512" s="84"/>
      <c r="B1512" s="89" t="s">
        <v>291</v>
      </c>
      <c r="C1512" s="97"/>
      <c r="D1512" s="91"/>
      <c r="E1512" s="91"/>
      <c r="F1512" s="91"/>
      <c r="G1512" s="91"/>
      <c r="H1512" s="91"/>
      <c r="I1512" s="91"/>
      <c r="J1512" s="99">
        <f>+SUBTOTAL(9,J1486:J1510)</f>
        <v>1.34</v>
      </c>
    </row>
    <row r="1513" spans="1:10">
      <c r="A1513" s="84"/>
      <c r="B1513" s="89" t="s">
        <v>292</v>
      </c>
      <c r="C1513" s="97"/>
      <c r="D1513" s="91">
        <v>0</v>
      </c>
      <c r="E1513" s="91"/>
      <c r="F1513" s="91"/>
      <c r="G1513" s="91"/>
      <c r="H1513" s="91"/>
      <c r="I1513" s="91"/>
      <c r="J1513" s="99">
        <f>+ROUND(J1512*D1513/100,2)</f>
        <v>0</v>
      </c>
    </row>
    <row r="1514" spans="1:10" ht="14.4" thickBot="1">
      <c r="A1514" s="84"/>
      <c r="B1514" s="89" t="s">
        <v>293</v>
      </c>
      <c r="C1514" s="97"/>
      <c r="D1514" s="91"/>
      <c r="E1514" s="91"/>
      <c r="F1514" s="91"/>
      <c r="G1514" s="91"/>
      <c r="H1514" s="91"/>
      <c r="I1514" s="91"/>
      <c r="J1514" s="99">
        <f>+J1512+ J1513</f>
        <v>1.34</v>
      </c>
    </row>
    <row r="1515" spans="1:10">
      <c r="A1515" s="84"/>
      <c r="B1515" s="85" t="s">
        <v>294</v>
      </c>
      <c r="C1515" s="86"/>
      <c r="D1515" s="88"/>
      <c r="E1515" s="88"/>
      <c r="F1515" s="88" t="s">
        <v>295</v>
      </c>
      <c r="G1515" s="88"/>
      <c r="H1515" s="88"/>
      <c r="I1515" s="88" t="s">
        <v>296</v>
      </c>
      <c r="J1515" s="270"/>
    </row>
    <row r="1516" spans="1:10">
      <c r="A1516" s="84"/>
      <c r="B1516" s="93" t="s">
        <v>297</v>
      </c>
      <c r="C1516" s="84"/>
      <c r="D1516" s="95"/>
      <c r="E1516" s="95"/>
      <c r="F1516" s="95" t="s">
        <v>298</v>
      </c>
      <c r="G1516" s="95"/>
      <c r="H1516" s="95"/>
      <c r="I1516" s="95"/>
      <c r="J1516" s="276"/>
    </row>
    <row r="1517" spans="1:10">
      <c r="A1517" s="84"/>
      <c r="B1517" s="93" t="s">
        <v>299</v>
      </c>
      <c r="C1517" s="84"/>
      <c r="D1517" s="95"/>
      <c r="E1517" s="95"/>
      <c r="F1517" s="95" t="s">
        <v>300</v>
      </c>
      <c r="G1517" s="95"/>
      <c r="H1517" s="95"/>
      <c r="I1517" s="95"/>
      <c r="J1517" s="276"/>
    </row>
    <row r="1518" spans="1:10" ht="14.4" thickBot="1">
      <c r="A1518" s="84"/>
      <c r="B1518" s="100" t="s">
        <v>301</v>
      </c>
      <c r="C1518" s="84"/>
      <c r="D1518" s="95"/>
      <c r="E1518" s="95"/>
      <c r="F1518" s="95"/>
      <c r="G1518" s="95"/>
      <c r="H1518" s="95"/>
      <c r="I1518" s="95"/>
      <c r="J1518" s="277"/>
    </row>
    <row r="1519" spans="1:10">
      <c r="A1519" s="84"/>
      <c r="B1519" s="86"/>
      <c r="C1519" s="86"/>
      <c r="D1519" s="88"/>
      <c r="E1519" s="88"/>
      <c r="F1519" s="88"/>
      <c r="G1519" s="88"/>
      <c r="H1519" s="88"/>
      <c r="I1519" s="88"/>
      <c r="J1519" s="88"/>
    </row>
    <row r="1520" spans="1:10" ht="14.4" thickBot="1">
      <c r="A1520" s="84"/>
      <c r="B1520" s="84"/>
      <c r="C1520" s="84"/>
      <c r="D1520" s="95"/>
      <c r="E1520" s="95"/>
      <c r="F1520" s="95"/>
      <c r="G1520" s="95"/>
      <c r="H1520" s="95"/>
      <c r="I1520" s="95"/>
      <c r="J1520" s="95"/>
    </row>
    <row r="1521" spans="1:10">
      <c r="A1521" s="84"/>
      <c r="B1521" s="85"/>
      <c r="C1521" s="86"/>
      <c r="D1521" s="87" t="s">
        <v>227</v>
      </c>
      <c r="E1521" s="87"/>
      <c r="F1521" s="87"/>
      <c r="G1521" s="88"/>
      <c r="H1521" s="88"/>
      <c r="I1521" s="88"/>
      <c r="J1521" s="270"/>
    </row>
    <row r="1522" spans="1:10">
      <c r="A1522" s="84"/>
      <c r="B1522" s="89" t="s">
        <v>228</v>
      </c>
      <c r="C1522" s="90" t="s">
        <v>92</v>
      </c>
      <c r="D1522" s="91"/>
      <c r="E1522" s="91"/>
      <c r="F1522" s="91"/>
      <c r="G1522" s="91"/>
      <c r="H1522" s="92" t="s">
        <v>229</v>
      </c>
      <c r="I1522" s="91"/>
      <c r="J1522" s="99" t="s">
        <v>230</v>
      </c>
    </row>
    <row r="1523" spans="1:10">
      <c r="A1523" s="84"/>
      <c r="B1523" s="93" t="s">
        <v>607</v>
      </c>
      <c r="C1523" s="94" t="s">
        <v>626</v>
      </c>
      <c r="D1523" s="95"/>
      <c r="E1523" s="95"/>
      <c r="F1523" s="95"/>
      <c r="G1523" s="95"/>
      <c r="H1523" s="96" t="s">
        <v>233</v>
      </c>
      <c r="I1523" s="95"/>
      <c r="J1523" s="271" t="s">
        <v>267</v>
      </c>
    </row>
    <row r="1524" spans="1:10">
      <c r="A1524" s="84"/>
      <c r="B1524" s="89"/>
      <c r="C1524" s="90"/>
      <c r="D1524" s="91"/>
      <c r="E1524" s="92"/>
      <c r="F1524" s="92" t="s">
        <v>235</v>
      </c>
      <c r="G1524" s="92"/>
      <c r="H1524" s="92" t="s">
        <v>236</v>
      </c>
      <c r="I1524" s="92"/>
      <c r="J1524" s="99" t="s">
        <v>237</v>
      </c>
    </row>
    <row r="1525" spans="1:10">
      <c r="A1525" s="84"/>
      <c r="B1525" s="93" t="s">
        <v>228</v>
      </c>
      <c r="C1525" s="94" t="s">
        <v>238</v>
      </c>
      <c r="D1525" s="95"/>
      <c r="E1525" s="96" t="s">
        <v>239</v>
      </c>
      <c r="F1525" s="92" t="s">
        <v>240</v>
      </c>
      <c r="G1525" s="92" t="s">
        <v>241</v>
      </c>
      <c r="H1525" s="92" t="s">
        <v>240</v>
      </c>
      <c r="I1525" s="272" t="s">
        <v>241</v>
      </c>
      <c r="J1525" s="271" t="s">
        <v>242</v>
      </c>
    </row>
    <row r="1526" spans="1:10">
      <c r="A1526" s="84"/>
      <c r="B1526" s="273" t="s">
        <v>627</v>
      </c>
      <c r="C1526" s="90" t="s">
        <v>628</v>
      </c>
      <c r="D1526" s="91"/>
      <c r="E1526" s="92">
        <v>1</v>
      </c>
      <c r="F1526" s="92">
        <v>0.42</v>
      </c>
      <c r="G1526" s="92">
        <v>0.57999999999999996</v>
      </c>
      <c r="H1526" s="92">
        <v>0.15</v>
      </c>
      <c r="I1526" s="92">
        <v>0.1</v>
      </c>
      <c r="J1526" s="99">
        <f>+ROUND(E1526* ((F1526*H1526) + (G1526*I1526)),2)</f>
        <v>0.12</v>
      </c>
    </row>
    <row r="1527" spans="1:10">
      <c r="A1527" s="84"/>
      <c r="B1527" s="274" t="s">
        <v>429</v>
      </c>
      <c r="C1527" s="94" t="s">
        <v>430</v>
      </c>
      <c r="D1527" s="95"/>
      <c r="E1527" s="96">
        <v>1</v>
      </c>
      <c r="F1527" s="96">
        <v>0.42</v>
      </c>
      <c r="G1527" s="96">
        <v>0.57999999999999996</v>
      </c>
      <c r="H1527" s="96">
        <v>10.18</v>
      </c>
      <c r="I1527" s="96">
        <v>0.48</v>
      </c>
      <c r="J1527" s="271">
        <f>+ROUND(E1527* ((F1527*H1527) + (G1527*I1527)),2)</f>
        <v>4.55</v>
      </c>
    </row>
    <row r="1528" spans="1:10">
      <c r="A1528" s="84"/>
      <c r="B1528" s="93" t="s">
        <v>231</v>
      </c>
      <c r="C1528" s="94"/>
      <c r="D1528" s="95"/>
      <c r="E1528" s="96"/>
      <c r="F1528" s="96"/>
      <c r="G1528" s="96"/>
      <c r="H1528" s="96"/>
      <c r="I1528" s="96"/>
      <c r="J1528" s="271"/>
    </row>
    <row r="1529" spans="1:10">
      <c r="A1529" s="84"/>
      <c r="B1529" s="93" t="s">
        <v>231</v>
      </c>
      <c r="C1529" s="94"/>
      <c r="D1529" s="95"/>
      <c r="E1529" s="96"/>
      <c r="F1529" s="96"/>
      <c r="G1529" s="96"/>
      <c r="H1529" s="96"/>
      <c r="I1529" s="96"/>
      <c r="J1529" s="271"/>
    </row>
    <row r="1530" spans="1:10">
      <c r="A1530" s="84"/>
      <c r="B1530" s="93" t="s">
        <v>231</v>
      </c>
      <c r="C1530" s="94"/>
      <c r="D1530" s="95"/>
      <c r="E1530" s="96"/>
      <c r="F1530" s="96"/>
      <c r="G1530" s="96"/>
      <c r="H1530" s="96"/>
      <c r="I1530" s="96"/>
      <c r="J1530" s="271"/>
    </row>
    <row r="1531" spans="1:10">
      <c r="A1531" s="84"/>
      <c r="B1531" s="93" t="s">
        <v>231</v>
      </c>
      <c r="C1531" s="94"/>
      <c r="D1531" s="95"/>
      <c r="E1531" s="96"/>
      <c r="F1531" s="96"/>
      <c r="G1531" s="96"/>
      <c r="H1531" s="96"/>
      <c r="I1531" s="96"/>
      <c r="J1531" s="271"/>
    </row>
    <row r="1532" spans="1:10">
      <c r="A1532" s="84"/>
      <c r="B1532" s="93" t="s">
        <v>231</v>
      </c>
      <c r="C1532" s="94"/>
      <c r="D1532" s="95"/>
      <c r="E1532" s="96"/>
      <c r="F1532" s="96"/>
      <c r="G1532" s="96"/>
      <c r="H1532" s="96"/>
      <c r="I1532" s="96"/>
      <c r="J1532" s="271"/>
    </row>
    <row r="1533" spans="1:10">
      <c r="A1533" s="84"/>
      <c r="B1533" s="89"/>
      <c r="C1533" s="97"/>
      <c r="D1533" s="91"/>
      <c r="E1533" s="91"/>
      <c r="F1533" s="91"/>
      <c r="G1533" s="91" t="s">
        <v>249</v>
      </c>
      <c r="H1533" s="91"/>
      <c r="I1533" s="91"/>
      <c r="J1533" s="99">
        <f>+SUBTOTAL(9,J1526:J1532)</f>
        <v>4.67</v>
      </c>
    </row>
    <row r="1534" spans="1:10">
      <c r="A1534" s="84"/>
      <c r="B1534" s="89" t="s">
        <v>228</v>
      </c>
      <c r="C1534" s="90" t="s">
        <v>250</v>
      </c>
      <c r="D1534" s="91"/>
      <c r="E1534" s="91"/>
      <c r="F1534" s="91"/>
      <c r="G1534" s="91"/>
      <c r="H1534" s="92" t="s">
        <v>239</v>
      </c>
      <c r="I1534" s="92" t="s">
        <v>251</v>
      </c>
      <c r="J1534" s="99" t="s">
        <v>252</v>
      </c>
    </row>
    <row r="1535" spans="1:10">
      <c r="A1535" s="84"/>
      <c r="B1535" s="89" t="s">
        <v>463</v>
      </c>
      <c r="C1535" s="90" t="s">
        <v>464</v>
      </c>
      <c r="D1535" s="91"/>
      <c r="E1535" s="91"/>
      <c r="F1535" s="91"/>
      <c r="G1535" s="91"/>
      <c r="H1535" s="92">
        <v>1</v>
      </c>
      <c r="I1535" s="92">
        <v>31.59</v>
      </c>
      <c r="J1535" s="99">
        <f>+ROUND(H1535*I1535,2)</f>
        <v>31.59</v>
      </c>
    </row>
    <row r="1536" spans="1:10">
      <c r="A1536" s="84"/>
      <c r="B1536" s="93" t="s">
        <v>231</v>
      </c>
      <c r="C1536" s="94"/>
      <c r="D1536" s="95"/>
      <c r="E1536" s="95"/>
      <c r="F1536" s="95"/>
      <c r="G1536" s="95"/>
      <c r="H1536" s="96"/>
      <c r="I1536" s="96"/>
      <c r="J1536" s="271"/>
    </row>
    <row r="1537" spans="1:10">
      <c r="A1537" s="84"/>
      <c r="B1537" s="93" t="s">
        <v>231</v>
      </c>
      <c r="C1537" s="94"/>
      <c r="D1537" s="95"/>
      <c r="E1537" s="95"/>
      <c r="F1537" s="95"/>
      <c r="G1537" s="95"/>
      <c r="H1537" s="96"/>
      <c r="I1537" s="96"/>
      <c r="J1537" s="271"/>
    </row>
    <row r="1538" spans="1:10">
      <c r="A1538" s="84"/>
      <c r="B1538" s="93" t="s">
        <v>231</v>
      </c>
      <c r="C1538" s="94"/>
      <c r="D1538" s="95"/>
      <c r="E1538" s="95"/>
      <c r="F1538" s="95"/>
      <c r="G1538" s="95"/>
      <c r="H1538" s="96"/>
      <c r="I1538" s="96"/>
      <c r="J1538" s="271"/>
    </row>
    <row r="1539" spans="1:10">
      <c r="A1539" s="84"/>
      <c r="B1539" s="93" t="s">
        <v>231</v>
      </c>
      <c r="C1539" s="94"/>
      <c r="D1539" s="95"/>
      <c r="E1539" s="95"/>
      <c r="F1539" s="95"/>
      <c r="G1539" s="95"/>
      <c r="H1539" s="96"/>
      <c r="I1539" s="96"/>
      <c r="J1539" s="271"/>
    </row>
    <row r="1540" spans="1:10">
      <c r="A1540" s="84"/>
      <c r="B1540" s="93" t="s">
        <v>231</v>
      </c>
      <c r="C1540" s="94"/>
      <c r="D1540" s="95"/>
      <c r="E1540" s="95"/>
      <c r="F1540" s="95"/>
      <c r="G1540" s="95"/>
      <c r="H1540" s="96"/>
      <c r="I1540" s="96"/>
      <c r="J1540" s="271"/>
    </row>
    <row r="1541" spans="1:10">
      <c r="A1541" s="84"/>
      <c r="B1541" s="93" t="s">
        <v>231</v>
      </c>
      <c r="C1541" s="94"/>
      <c r="D1541" s="95"/>
      <c r="E1541" s="95"/>
      <c r="F1541" s="95"/>
      <c r="G1541" s="95"/>
      <c r="H1541" s="96"/>
      <c r="I1541" s="96"/>
      <c r="J1541" s="271"/>
    </row>
    <row r="1542" spans="1:10">
      <c r="A1542" s="84"/>
      <c r="B1542" s="89"/>
      <c r="C1542" s="97"/>
      <c r="D1542" s="91"/>
      <c r="E1542" s="91"/>
      <c r="F1542" s="91"/>
      <c r="G1542" s="91" t="s">
        <v>255</v>
      </c>
      <c r="H1542" s="91"/>
      <c r="I1542" s="91"/>
      <c r="J1542" s="99">
        <f>+SUBTOTAL(9,J1535:J1541)</f>
        <v>31.59</v>
      </c>
    </row>
    <row r="1543" spans="1:10">
      <c r="A1543" s="84"/>
      <c r="B1543" s="89"/>
      <c r="C1543" s="97"/>
      <c r="D1543" s="91"/>
      <c r="E1543" s="91"/>
      <c r="F1543" s="91" t="s">
        <v>256</v>
      </c>
      <c r="G1543" s="91"/>
      <c r="H1543" s="91"/>
      <c r="I1543" s="91">
        <v>0</v>
      </c>
      <c r="J1543" s="99">
        <f>+ROUND(I1543*J1542,2)</f>
        <v>0</v>
      </c>
    </row>
    <row r="1544" spans="1:10">
      <c r="A1544" s="84"/>
      <c r="B1544" s="89"/>
      <c r="C1544" s="97"/>
      <c r="D1544" s="91"/>
      <c r="E1544" s="91"/>
      <c r="F1544" s="91" t="s">
        <v>257</v>
      </c>
      <c r="G1544" s="91"/>
      <c r="H1544" s="91"/>
      <c r="I1544" s="91"/>
      <c r="J1544" s="99">
        <f>+SUBTOTAL(9,J1535:J1543)</f>
        <v>31.59</v>
      </c>
    </row>
    <row r="1545" spans="1:10">
      <c r="A1545" s="84"/>
      <c r="B1545" s="98"/>
      <c r="C1545" s="97"/>
      <c r="D1545" s="91"/>
      <c r="E1545" s="91"/>
      <c r="F1545" s="91"/>
      <c r="G1545" s="91" t="s">
        <v>258</v>
      </c>
      <c r="H1545" s="91"/>
      <c r="I1545" s="91"/>
      <c r="J1545" s="275">
        <f>+SUBTOTAL(9,J1526:J1544)</f>
        <v>36.26</v>
      </c>
    </row>
    <row r="1546" spans="1:10">
      <c r="A1546" s="84"/>
      <c r="B1546" s="98"/>
      <c r="C1546" s="97" t="s">
        <v>259</v>
      </c>
      <c r="D1546" s="91">
        <v>249</v>
      </c>
      <c r="E1546" s="91"/>
      <c r="F1546" s="91"/>
      <c r="G1546" s="91" t="s">
        <v>260</v>
      </c>
      <c r="H1546" s="91"/>
      <c r="I1546" s="91"/>
      <c r="J1546" s="275">
        <f>+ROUND(J1545/D1546,2)</f>
        <v>0.15</v>
      </c>
    </row>
    <row r="1547" spans="1:10">
      <c r="A1547" s="84"/>
      <c r="B1547" s="89" t="s">
        <v>228</v>
      </c>
      <c r="C1547" s="90" t="s">
        <v>261</v>
      </c>
      <c r="D1547" s="91"/>
      <c r="E1547" s="91"/>
      <c r="F1547" s="91"/>
      <c r="G1547" s="92" t="s">
        <v>230</v>
      </c>
      <c r="H1547" s="92" t="s">
        <v>262</v>
      </c>
      <c r="I1547" s="92" t="s">
        <v>263</v>
      </c>
      <c r="J1547" s="99" t="s">
        <v>264</v>
      </c>
    </row>
    <row r="1548" spans="1:10">
      <c r="A1548" s="84"/>
      <c r="B1548" s="89" t="s">
        <v>629</v>
      </c>
      <c r="C1548" s="90" t="s">
        <v>630</v>
      </c>
      <c r="D1548" s="91"/>
      <c r="E1548" s="91"/>
      <c r="F1548" s="91"/>
      <c r="G1548" s="92" t="s">
        <v>267</v>
      </c>
      <c r="H1548" s="92">
        <v>15.29</v>
      </c>
      <c r="I1548" s="92">
        <v>2.5000000000000001E-3</v>
      </c>
      <c r="J1548" s="99">
        <f>+ROUND(H1548*I1548,2)</f>
        <v>0.04</v>
      </c>
    </row>
    <row r="1549" spans="1:10">
      <c r="A1549" s="84"/>
      <c r="B1549" s="93" t="s">
        <v>231</v>
      </c>
      <c r="C1549" s="94"/>
      <c r="D1549" s="95"/>
      <c r="E1549" s="95"/>
      <c r="F1549" s="95"/>
      <c r="G1549" s="96"/>
      <c r="H1549" s="96"/>
      <c r="I1549" s="96"/>
      <c r="J1549" s="271"/>
    </row>
    <row r="1550" spans="1:10">
      <c r="A1550" s="84"/>
      <c r="B1550" s="93" t="s">
        <v>231</v>
      </c>
      <c r="C1550" s="94"/>
      <c r="D1550" s="95"/>
      <c r="E1550" s="95"/>
      <c r="F1550" s="95"/>
      <c r="G1550" s="96"/>
      <c r="H1550" s="96"/>
      <c r="I1550" s="96"/>
      <c r="J1550" s="271"/>
    </row>
    <row r="1551" spans="1:10">
      <c r="A1551" s="84"/>
      <c r="B1551" s="93" t="s">
        <v>231</v>
      </c>
      <c r="C1551" s="94"/>
      <c r="D1551" s="95"/>
      <c r="E1551" s="95"/>
      <c r="F1551" s="95"/>
      <c r="G1551" s="96"/>
      <c r="H1551" s="96"/>
      <c r="I1551" s="96"/>
      <c r="J1551" s="271"/>
    </row>
    <row r="1552" spans="1:10">
      <c r="A1552" s="84"/>
      <c r="B1552" s="93" t="s">
        <v>231</v>
      </c>
      <c r="C1552" s="94"/>
      <c r="D1552" s="95"/>
      <c r="E1552" s="95"/>
      <c r="F1552" s="95"/>
      <c r="G1552" s="96"/>
      <c r="H1552" s="96"/>
      <c r="I1552" s="96"/>
      <c r="J1552" s="271"/>
    </row>
    <row r="1553" spans="1:10">
      <c r="A1553" s="84"/>
      <c r="B1553" s="93" t="s">
        <v>231</v>
      </c>
      <c r="C1553" s="94"/>
      <c r="D1553" s="95"/>
      <c r="E1553" s="95"/>
      <c r="F1553" s="95"/>
      <c r="G1553" s="96"/>
      <c r="H1553" s="96"/>
      <c r="I1553" s="96"/>
      <c r="J1553" s="271"/>
    </row>
    <row r="1554" spans="1:10">
      <c r="A1554" s="84"/>
      <c r="B1554" s="93" t="s">
        <v>231</v>
      </c>
      <c r="C1554" s="94"/>
      <c r="D1554" s="95"/>
      <c r="E1554" s="95"/>
      <c r="F1554" s="95"/>
      <c r="G1554" s="96"/>
      <c r="H1554" s="96"/>
      <c r="I1554" s="96"/>
      <c r="J1554" s="271"/>
    </row>
    <row r="1555" spans="1:10">
      <c r="A1555" s="84"/>
      <c r="B1555" s="89"/>
      <c r="C1555" s="97"/>
      <c r="D1555" s="91"/>
      <c r="E1555" s="91"/>
      <c r="F1555" s="91"/>
      <c r="G1555" s="91" t="s">
        <v>275</v>
      </c>
      <c r="H1555" s="91"/>
      <c r="I1555" s="91"/>
      <c r="J1555" s="99">
        <f>+SUBTOTAL(9,J1548:J1554)</f>
        <v>0.04</v>
      </c>
    </row>
    <row r="1556" spans="1:10">
      <c r="A1556" s="84"/>
      <c r="B1556" s="89" t="s">
        <v>228</v>
      </c>
      <c r="C1556" s="90" t="s">
        <v>276</v>
      </c>
      <c r="D1556" s="91"/>
      <c r="E1556" s="91"/>
      <c r="F1556" s="91"/>
      <c r="G1556" s="92" t="s">
        <v>230</v>
      </c>
      <c r="H1556" s="92" t="s">
        <v>262</v>
      </c>
      <c r="I1556" s="92" t="s">
        <v>263</v>
      </c>
      <c r="J1556" s="99" t="s">
        <v>264</v>
      </c>
    </row>
    <row r="1557" spans="1:10">
      <c r="A1557" s="84"/>
      <c r="B1557" s="89" t="s">
        <v>231</v>
      </c>
      <c r="C1557" s="90"/>
      <c r="D1557" s="91"/>
      <c r="E1557" s="91"/>
      <c r="F1557" s="91"/>
      <c r="G1557" s="92"/>
      <c r="H1557" s="92"/>
      <c r="I1557" s="92"/>
      <c r="J1557" s="99"/>
    </row>
    <row r="1558" spans="1:10">
      <c r="A1558" s="84"/>
      <c r="B1558" s="93" t="s">
        <v>231</v>
      </c>
      <c r="C1558" s="94"/>
      <c r="D1558" s="95"/>
      <c r="E1558" s="95"/>
      <c r="F1558" s="95"/>
      <c r="G1558" s="96"/>
      <c r="H1558" s="96"/>
      <c r="I1558" s="96"/>
      <c r="J1558" s="271"/>
    </row>
    <row r="1559" spans="1:10">
      <c r="A1559" s="84"/>
      <c r="B1559" s="93" t="s">
        <v>231</v>
      </c>
      <c r="C1559" s="94"/>
      <c r="D1559" s="95"/>
      <c r="E1559" s="95"/>
      <c r="F1559" s="95"/>
      <c r="G1559" s="96"/>
      <c r="H1559" s="96"/>
      <c r="I1559" s="96"/>
      <c r="J1559" s="271"/>
    </row>
    <row r="1560" spans="1:10">
      <c r="A1560" s="84"/>
      <c r="B1560" s="93" t="s">
        <v>231</v>
      </c>
      <c r="C1560" s="94"/>
      <c r="D1560" s="95"/>
      <c r="E1560" s="95"/>
      <c r="F1560" s="95"/>
      <c r="G1560" s="96"/>
      <c r="H1560" s="96"/>
      <c r="I1560" s="96"/>
      <c r="J1560" s="271"/>
    </row>
    <row r="1561" spans="1:10">
      <c r="A1561" s="84"/>
      <c r="B1561" s="93" t="s">
        <v>231</v>
      </c>
      <c r="C1561" s="94"/>
      <c r="D1561" s="95"/>
      <c r="E1561" s="95"/>
      <c r="F1561" s="95"/>
      <c r="G1561" s="96"/>
      <c r="H1561" s="96"/>
      <c r="I1561" s="96"/>
      <c r="J1561" s="271"/>
    </row>
    <row r="1562" spans="1:10">
      <c r="A1562" s="84"/>
      <c r="B1562" s="89"/>
      <c r="C1562" s="97"/>
      <c r="D1562" s="91"/>
      <c r="E1562" s="91"/>
      <c r="F1562" s="91"/>
      <c r="G1562" s="91" t="s">
        <v>279</v>
      </c>
      <c r="H1562" s="91"/>
      <c r="I1562" s="91"/>
      <c r="J1562" s="99">
        <f>+SUBTOTAL(9,J1557:J1561)</f>
        <v>0</v>
      </c>
    </row>
    <row r="1563" spans="1:10">
      <c r="A1563" s="84"/>
      <c r="B1563" s="89" t="s">
        <v>228</v>
      </c>
      <c r="C1563" s="90" t="s">
        <v>280</v>
      </c>
      <c r="D1563" s="92" t="s">
        <v>281</v>
      </c>
      <c r="E1563" s="92" t="s">
        <v>282</v>
      </c>
      <c r="F1563" s="92" t="s">
        <v>283</v>
      </c>
      <c r="G1563" s="92" t="s">
        <v>284</v>
      </c>
      <c r="H1563" s="92" t="s">
        <v>285</v>
      </c>
      <c r="I1563" s="92" t="s">
        <v>263</v>
      </c>
      <c r="J1563" s="99" t="s">
        <v>286</v>
      </c>
    </row>
    <row r="1564" spans="1:10">
      <c r="A1564" s="84"/>
      <c r="B1564" s="89" t="s">
        <v>231</v>
      </c>
      <c r="C1564" s="90"/>
      <c r="D1564" s="92"/>
      <c r="E1564" s="92"/>
      <c r="F1564" s="92"/>
      <c r="G1564" s="92"/>
      <c r="H1564" s="92"/>
      <c r="I1564" s="92"/>
      <c r="J1564" s="99"/>
    </row>
    <row r="1565" spans="1:10">
      <c r="A1565" s="84"/>
      <c r="B1565" s="93" t="s">
        <v>231</v>
      </c>
      <c r="C1565" s="94"/>
      <c r="D1565" s="96"/>
      <c r="E1565" s="96"/>
      <c r="F1565" s="96"/>
      <c r="G1565" s="96"/>
      <c r="H1565" s="96"/>
      <c r="I1565" s="96"/>
      <c r="J1565" s="271"/>
    </row>
    <row r="1566" spans="1:10">
      <c r="A1566" s="84"/>
      <c r="B1566" s="93" t="s">
        <v>231</v>
      </c>
      <c r="C1566" s="94"/>
      <c r="D1566" s="96"/>
      <c r="E1566" s="96"/>
      <c r="F1566" s="96"/>
      <c r="G1566" s="96"/>
      <c r="H1566" s="96"/>
      <c r="I1566" s="96"/>
      <c r="J1566" s="271"/>
    </row>
    <row r="1567" spans="1:10">
      <c r="A1567" s="84"/>
      <c r="B1567" s="93" t="s">
        <v>231</v>
      </c>
      <c r="C1567" s="94"/>
      <c r="D1567" s="96"/>
      <c r="E1567" s="96"/>
      <c r="F1567" s="96"/>
      <c r="G1567" s="96"/>
      <c r="H1567" s="96"/>
      <c r="I1567" s="96"/>
      <c r="J1567" s="271"/>
    </row>
    <row r="1568" spans="1:10">
      <c r="A1568" s="84"/>
      <c r="B1568" s="93" t="s">
        <v>231</v>
      </c>
      <c r="C1568" s="94"/>
      <c r="D1568" s="96"/>
      <c r="E1568" s="96"/>
      <c r="F1568" s="96"/>
      <c r="G1568" s="96"/>
      <c r="H1568" s="96"/>
      <c r="I1568" s="96"/>
      <c r="J1568" s="271"/>
    </row>
    <row r="1569" spans="1:10">
      <c r="A1569" s="84"/>
      <c r="B1569" s="93" t="s">
        <v>231</v>
      </c>
      <c r="C1569" s="94"/>
      <c r="D1569" s="96"/>
      <c r="E1569" s="96"/>
      <c r="F1569" s="96"/>
      <c r="G1569" s="96"/>
      <c r="H1569" s="96"/>
      <c r="I1569" s="96"/>
      <c r="J1569" s="271"/>
    </row>
    <row r="1570" spans="1:10">
      <c r="A1570" s="84"/>
      <c r="B1570" s="93" t="s">
        <v>231</v>
      </c>
      <c r="C1570" s="94"/>
      <c r="D1570" s="96"/>
      <c r="E1570" s="96"/>
      <c r="F1570" s="96"/>
      <c r="G1570" s="96"/>
      <c r="H1570" s="96"/>
      <c r="I1570" s="96"/>
      <c r="J1570" s="271"/>
    </row>
    <row r="1571" spans="1:10">
      <c r="A1571" s="84"/>
      <c r="B1571" s="89"/>
      <c r="C1571" s="97"/>
      <c r="D1571" s="91"/>
      <c r="E1571" s="91"/>
      <c r="F1571" s="91"/>
      <c r="G1571" s="91" t="s">
        <v>290</v>
      </c>
      <c r="H1571" s="91"/>
      <c r="I1571" s="91"/>
      <c r="J1571" s="99">
        <f>+SUBTOTAL(9,J1564:J1570)</f>
        <v>0</v>
      </c>
    </row>
    <row r="1572" spans="1:10">
      <c r="A1572" s="84"/>
      <c r="B1572" s="89" t="s">
        <v>291</v>
      </c>
      <c r="C1572" s="97"/>
      <c r="D1572" s="91"/>
      <c r="E1572" s="91"/>
      <c r="F1572" s="91"/>
      <c r="G1572" s="91"/>
      <c r="H1572" s="91"/>
      <c r="I1572" s="91"/>
      <c r="J1572" s="99">
        <f>+SUBTOTAL(9,J1546:J1570)</f>
        <v>0.19</v>
      </c>
    </row>
    <row r="1573" spans="1:10">
      <c r="A1573" s="84"/>
      <c r="B1573" s="89" t="s">
        <v>292</v>
      </c>
      <c r="C1573" s="97"/>
      <c r="D1573" s="91">
        <v>0</v>
      </c>
      <c r="E1573" s="91"/>
      <c r="F1573" s="91"/>
      <c r="G1573" s="91"/>
      <c r="H1573" s="91"/>
      <c r="I1573" s="91"/>
      <c r="J1573" s="99">
        <f>+ROUND(J1572*D1573/100,2)</f>
        <v>0</v>
      </c>
    </row>
    <row r="1574" spans="1:10" ht="14.4" thickBot="1">
      <c r="A1574" s="84"/>
      <c r="B1574" s="89" t="s">
        <v>293</v>
      </c>
      <c r="C1574" s="97"/>
      <c r="D1574" s="91"/>
      <c r="E1574" s="91"/>
      <c r="F1574" s="91"/>
      <c r="G1574" s="91"/>
      <c r="H1574" s="91"/>
      <c r="I1574" s="91"/>
      <c r="J1574" s="99">
        <f>+J1572+ J1573</f>
        <v>0.19</v>
      </c>
    </row>
    <row r="1575" spans="1:10">
      <c r="A1575" s="84"/>
      <c r="B1575" s="85" t="s">
        <v>294</v>
      </c>
      <c r="C1575" s="86"/>
      <c r="D1575" s="88"/>
      <c r="E1575" s="88"/>
      <c r="F1575" s="88" t="s">
        <v>295</v>
      </c>
      <c r="G1575" s="88"/>
      <c r="H1575" s="88"/>
      <c r="I1575" s="88" t="s">
        <v>296</v>
      </c>
      <c r="J1575" s="270"/>
    </row>
    <row r="1576" spans="1:10">
      <c r="A1576" s="84"/>
      <c r="B1576" s="93" t="s">
        <v>297</v>
      </c>
      <c r="C1576" s="84"/>
      <c r="D1576" s="95"/>
      <c r="E1576" s="95"/>
      <c r="F1576" s="95" t="s">
        <v>298</v>
      </c>
      <c r="G1576" s="95"/>
      <c r="H1576" s="95"/>
      <c r="I1576" s="95"/>
      <c r="J1576" s="276"/>
    </row>
    <row r="1577" spans="1:10">
      <c r="A1577" s="84"/>
      <c r="B1577" s="93" t="s">
        <v>299</v>
      </c>
      <c r="C1577" s="84"/>
      <c r="D1577" s="95"/>
      <c r="E1577" s="95"/>
      <c r="F1577" s="95" t="s">
        <v>300</v>
      </c>
      <c r="G1577" s="95"/>
      <c r="H1577" s="95"/>
      <c r="I1577" s="95"/>
      <c r="J1577" s="276"/>
    </row>
    <row r="1578" spans="1:10" ht="14.4" thickBot="1">
      <c r="A1578" s="84"/>
      <c r="B1578" s="100" t="s">
        <v>301</v>
      </c>
      <c r="C1578" s="84"/>
      <c r="D1578" s="95"/>
      <c r="E1578" s="95"/>
      <c r="F1578" s="95"/>
      <c r="G1578" s="95"/>
      <c r="H1578" s="95"/>
      <c r="I1578" s="95"/>
      <c r="J1578" s="277"/>
    </row>
    <row r="1579" spans="1:10">
      <c r="A1579" s="84"/>
      <c r="B1579" s="86"/>
      <c r="C1579" s="86"/>
      <c r="D1579" s="88"/>
      <c r="E1579" s="88"/>
      <c r="F1579" s="88"/>
      <c r="G1579" s="88"/>
      <c r="H1579" s="88"/>
      <c r="I1579" s="88"/>
      <c r="J1579" s="88"/>
    </row>
    <row r="1580" spans="1:10" ht="14.4" thickBot="1">
      <c r="A1580" s="84"/>
      <c r="B1580" s="84"/>
      <c r="C1580" s="84"/>
      <c r="D1580" s="95"/>
      <c r="E1580" s="95"/>
      <c r="F1580" s="95"/>
      <c r="G1580" s="95"/>
      <c r="H1580" s="95"/>
      <c r="I1580" s="95"/>
      <c r="J1580" s="95"/>
    </row>
    <row r="1581" spans="1:10">
      <c r="A1581" s="84"/>
      <c r="B1581" s="85"/>
      <c r="C1581" s="86"/>
      <c r="D1581" s="87" t="s">
        <v>227</v>
      </c>
      <c r="E1581" s="87"/>
      <c r="F1581" s="87"/>
      <c r="G1581" s="88"/>
      <c r="H1581" s="88"/>
      <c r="I1581" s="88"/>
      <c r="J1581" s="270"/>
    </row>
    <row r="1582" spans="1:10">
      <c r="A1582" s="84"/>
      <c r="B1582" s="89" t="s">
        <v>228</v>
      </c>
      <c r="C1582" s="90" t="s">
        <v>92</v>
      </c>
      <c r="D1582" s="91"/>
      <c r="E1582" s="91"/>
      <c r="F1582" s="91"/>
      <c r="G1582" s="91"/>
      <c r="H1582" s="92" t="s">
        <v>229</v>
      </c>
      <c r="I1582" s="91"/>
      <c r="J1582" s="99" t="s">
        <v>230</v>
      </c>
    </row>
    <row r="1583" spans="1:10">
      <c r="A1583" s="84"/>
      <c r="B1583" s="93" t="s">
        <v>609</v>
      </c>
      <c r="C1583" s="94" t="s">
        <v>631</v>
      </c>
      <c r="D1583" s="95"/>
      <c r="E1583" s="95"/>
      <c r="F1583" s="95"/>
      <c r="G1583" s="95"/>
      <c r="H1583" s="96" t="s">
        <v>233</v>
      </c>
      <c r="I1583" s="95"/>
      <c r="J1583" s="271" t="s">
        <v>332</v>
      </c>
    </row>
    <row r="1584" spans="1:10">
      <c r="A1584" s="84"/>
      <c r="B1584" s="89"/>
      <c r="C1584" s="90"/>
      <c r="D1584" s="91"/>
      <c r="E1584" s="92"/>
      <c r="F1584" s="92" t="s">
        <v>235</v>
      </c>
      <c r="G1584" s="92"/>
      <c r="H1584" s="92" t="s">
        <v>236</v>
      </c>
      <c r="I1584" s="92"/>
      <c r="J1584" s="99" t="s">
        <v>237</v>
      </c>
    </row>
    <row r="1585" spans="1:10">
      <c r="A1585" s="84"/>
      <c r="B1585" s="93" t="s">
        <v>228</v>
      </c>
      <c r="C1585" s="94" t="s">
        <v>238</v>
      </c>
      <c r="D1585" s="95"/>
      <c r="E1585" s="96" t="s">
        <v>239</v>
      </c>
      <c r="F1585" s="92" t="s">
        <v>240</v>
      </c>
      <c r="G1585" s="92" t="s">
        <v>241</v>
      </c>
      <c r="H1585" s="92" t="s">
        <v>240</v>
      </c>
      <c r="I1585" s="272" t="s">
        <v>241</v>
      </c>
      <c r="J1585" s="271" t="s">
        <v>242</v>
      </c>
    </row>
    <row r="1586" spans="1:10">
      <c r="A1586" s="84"/>
      <c r="B1586" s="273" t="s">
        <v>632</v>
      </c>
      <c r="C1586" s="90" t="s">
        <v>633</v>
      </c>
      <c r="D1586" s="91"/>
      <c r="E1586" s="92">
        <v>1</v>
      </c>
      <c r="F1586" s="92">
        <v>1</v>
      </c>
      <c r="G1586" s="92">
        <v>0</v>
      </c>
      <c r="H1586" s="92">
        <v>0.2</v>
      </c>
      <c r="I1586" s="92">
        <v>0.11</v>
      </c>
      <c r="J1586" s="99">
        <f>+ROUND(E1586* ((F1586*H1586) + (G1586*I1586)),2)</f>
        <v>0.2</v>
      </c>
    </row>
    <row r="1587" spans="1:10">
      <c r="A1587" s="84"/>
      <c r="B1587" s="274" t="s">
        <v>459</v>
      </c>
      <c r="C1587" s="94" t="s">
        <v>460</v>
      </c>
      <c r="D1587" s="95"/>
      <c r="E1587" s="96">
        <v>1</v>
      </c>
      <c r="F1587" s="96">
        <v>1</v>
      </c>
      <c r="G1587" s="96">
        <v>0</v>
      </c>
      <c r="H1587" s="96">
        <v>27.45</v>
      </c>
      <c r="I1587" s="96">
        <v>5.41</v>
      </c>
      <c r="J1587" s="271">
        <f>+ROUND(E1587* ((F1587*H1587) + (G1587*I1587)),2)</f>
        <v>27.45</v>
      </c>
    </row>
    <row r="1588" spans="1:10">
      <c r="A1588" s="84"/>
      <c r="B1588" s="93" t="s">
        <v>231</v>
      </c>
      <c r="C1588" s="94"/>
      <c r="D1588" s="95"/>
      <c r="E1588" s="96"/>
      <c r="F1588" s="96"/>
      <c r="G1588" s="96"/>
      <c r="H1588" s="96"/>
      <c r="I1588" s="96"/>
      <c r="J1588" s="271"/>
    </row>
    <row r="1589" spans="1:10">
      <c r="A1589" s="84"/>
      <c r="B1589" s="93" t="s">
        <v>231</v>
      </c>
      <c r="C1589" s="94"/>
      <c r="D1589" s="95"/>
      <c r="E1589" s="96"/>
      <c r="F1589" s="96"/>
      <c r="G1589" s="96"/>
      <c r="H1589" s="96"/>
      <c r="I1589" s="96"/>
      <c r="J1589" s="271"/>
    </row>
    <row r="1590" spans="1:10">
      <c r="A1590" s="84"/>
      <c r="B1590" s="93" t="s">
        <v>231</v>
      </c>
      <c r="C1590" s="94"/>
      <c r="D1590" s="95"/>
      <c r="E1590" s="96"/>
      <c r="F1590" s="96"/>
      <c r="G1590" s="96"/>
      <c r="H1590" s="96"/>
      <c r="I1590" s="96"/>
      <c r="J1590" s="271"/>
    </row>
    <row r="1591" spans="1:10">
      <c r="A1591" s="84"/>
      <c r="B1591" s="93" t="s">
        <v>231</v>
      </c>
      <c r="C1591" s="94"/>
      <c r="D1591" s="95"/>
      <c r="E1591" s="96"/>
      <c r="F1591" s="96"/>
      <c r="G1591" s="96"/>
      <c r="H1591" s="96"/>
      <c r="I1591" s="96"/>
      <c r="J1591" s="271"/>
    </row>
    <row r="1592" spans="1:10">
      <c r="A1592" s="84"/>
      <c r="B1592" s="93" t="s">
        <v>231</v>
      </c>
      <c r="C1592" s="94"/>
      <c r="D1592" s="95"/>
      <c r="E1592" s="96"/>
      <c r="F1592" s="96"/>
      <c r="G1592" s="96"/>
      <c r="H1592" s="96"/>
      <c r="I1592" s="96"/>
      <c r="J1592" s="271"/>
    </row>
    <row r="1593" spans="1:10">
      <c r="A1593" s="84"/>
      <c r="B1593" s="89"/>
      <c r="C1593" s="97"/>
      <c r="D1593" s="91"/>
      <c r="E1593" s="91"/>
      <c r="F1593" s="91"/>
      <c r="G1593" s="91" t="s">
        <v>249</v>
      </c>
      <c r="H1593" s="91"/>
      <c r="I1593" s="91"/>
      <c r="J1593" s="99">
        <f>+SUBTOTAL(9,J1586:J1592)</f>
        <v>27.65</v>
      </c>
    </row>
    <row r="1594" spans="1:10">
      <c r="A1594" s="84"/>
      <c r="B1594" s="89" t="s">
        <v>228</v>
      </c>
      <c r="C1594" s="90" t="s">
        <v>250</v>
      </c>
      <c r="D1594" s="91"/>
      <c r="E1594" s="91"/>
      <c r="F1594" s="91"/>
      <c r="G1594" s="91"/>
      <c r="H1594" s="92" t="s">
        <v>239</v>
      </c>
      <c r="I1594" s="92" t="s">
        <v>251</v>
      </c>
      <c r="J1594" s="99" t="s">
        <v>252</v>
      </c>
    </row>
    <row r="1595" spans="1:10">
      <c r="A1595" s="84"/>
      <c r="B1595" s="89" t="s">
        <v>461</v>
      </c>
      <c r="C1595" s="90" t="s">
        <v>462</v>
      </c>
      <c r="D1595" s="91"/>
      <c r="E1595" s="91"/>
      <c r="F1595" s="91"/>
      <c r="G1595" s="91"/>
      <c r="H1595" s="92">
        <v>1</v>
      </c>
      <c r="I1595" s="92">
        <v>22.84</v>
      </c>
      <c r="J1595" s="99">
        <f>+ROUND(H1595*I1595,2)</f>
        <v>22.84</v>
      </c>
    </row>
    <row r="1596" spans="1:10">
      <c r="A1596" s="84"/>
      <c r="B1596" s="93" t="s">
        <v>620</v>
      </c>
      <c r="C1596" s="94" t="s">
        <v>621</v>
      </c>
      <c r="D1596" s="95"/>
      <c r="E1596" s="95"/>
      <c r="F1596" s="95"/>
      <c r="G1596" s="95"/>
      <c r="H1596" s="96">
        <v>1</v>
      </c>
      <c r="I1596" s="96">
        <v>36.58</v>
      </c>
      <c r="J1596" s="271">
        <f>+ROUND(H1596*I1596,2)</f>
        <v>36.58</v>
      </c>
    </row>
    <row r="1597" spans="1:10">
      <c r="A1597" s="84"/>
      <c r="B1597" s="93" t="s">
        <v>231</v>
      </c>
      <c r="C1597" s="94"/>
      <c r="D1597" s="95"/>
      <c r="E1597" s="95"/>
      <c r="F1597" s="95"/>
      <c r="G1597" s="95"/>
      <c r="H1597" s="96"/>
      <c r="I1597" s="96"/>
      <c r="J1597" s="271"/>
    </row>
    <row r="1598" spans="1:10">
      <c r="A1598" s="84"/>
      <c r="B1598" s="93" t="s">
        <v>231</v>
      </c>
      <c r="C1598" s="94"/>
      <c r="D1598" s="95"/>
      <c r="E1598" s="95"/>
      <c r="F1598" s="95"/>
      <c r="G1598" s="95"/>
      <c r="H1598" s="96"/>
      <c r="I1598" s="96"/>
      <c r="J1598" s="271"/>
    </row>
    <row r="1599" spans="1:10">
      <c r="A1599" s="84"/>
      <c r="B1599" s="93" t="s">
        <v>231</v>
      </c>
      <c r="C1599" s="94"/>
      <c r="D1599" s="95"/>
      <c r="E1599" s="95"/>
      <c r="F1599" s="95"/>
      <c r="G1599" s="95"/>
      <c r="H1599" s="96"/>
      <c r="I1599" s="96"/>
      <c r="J1599" s="271"/>
    </row>
    <row r="1600" spans="1:10">
      <c r="A1600" s="84"/>
      <c r="B1600" s="93" t="s">
        <v>231</v>
      </c>
      <c r="C1600" s="94"/>
      <c r="D1600" s="95"/>
      <c r="E1600" s="95"/>
      <c r="F1600" s="95"/>
      <c r="G1600" s="95"/>
      <c r="H1600" s="96"/>
      <c r="I1600" s="96"/>
      <c r="J1600" s="271"/>
    </row>
    <row r="1601" spans="1:10">
      <c r="A1601" s="84"/>
      <c r="B1601" s="93" t="s">
        <v>231</v>
      </c>
      <c r="C1601" s="94"/>
      <c r="D1601" s="95"/>
      <c r="E1601" s="95"/>
      <c r="F1601" s="95"/>
      <c r="G1601" s="95"/>
      <c r="H1601" s="96"/>
      <c r="I1601" s="96"/>
      <c r="J1601" s="271"/>
    </row>
    <row r="1602" spans="1:10">
      <c r="A1602" s="84"/>
      <c r="B1602" s="89"/>
      <c r="C1602" s="97"/>
      <c r="D1602" s="91"/>
      <c r="E1602" s="91"/>
      <c r="F1602" s="91"/>
      <c r="G1602" s="91" t="s">
        <v>255</v>
      </c>
      <c r="H1602" s="91"/>
      <c r="I1602" s="91"/>
      <c r="J1602" s="99">
        <f>+SUBTOTAL(9,J1595:J1601)</f>
        <v>59.42</v>
      </c>
    </row>
    <row r="1603" spans="1:10">
      <c r="A1603" s="84"/>
      <c r="B1603" s="89"/>
      <c r="C1603" s="97"/>
      <c r="D1603" s="91"/>
      <c r="E1603" s="91"/>
      <c r="F1603" s="91" t="s">
        <v>256</v>
      </c>
      <c r="G1603" s="91"/>
      <c r="H1603" s="91"/>
      <c r="I1603" s="91">
        <v>0</v>
      </c>
      <c r="J1603" s="99">
        <f>+ROUND(I1603*J1602,2)</f>
        <v>0</v>
      </c>
    </row>
    <row r="1604" spans="1:10">
      <c r="A1604" s="84"/>
      <c r="B1604" s="89"/>
      <c r="C1604" s="97"/>
      <c r="D1604" s="91"/>
      <c r="E1604" s="91"/>
      <c r="F1604" s="91" t="s">
        <v>257</v>
      </c>
      <c r="G1604" s="91"/>
      <c r="H1604" s="91"/>
      <c r="I1604" s="91"/>
      <c r="J1604" s="99">
        <f>+SUBTOTAL(9,J1595:J1603)</f>
        <v>59.42</v>
      </c>
    </row>
    <row r="1605" spans="1:10">
      <c r="A1605" s="84"/>
      <c r="B1605" s="98"/>
      <c r="C1605" s="97"/>
      <c r="D1605" s="91"/>
      <c r="E1605" s="91"/>
      <c r="F1605" s="91"/>
      <c r="G1605" s="91" t="s">
        <v>258</v>
      </c>
      <c r="H1605" s="91"/>
      <c r="I1605" s="91"/>
      <c r="J1605" s="275">
        <f>+SUBTOTAL(9,J1586:J1604)</f>
        <v>87.07</v>
      </c>
    </row>
    <row r="1606" spans="1:10">
      <c r="A1606" s="84"/>
      <c r="B1606" s="98"/>
      <c r="C1606" s="97" t="s">
        <v>259</v>
      </c>
      <c r="D1606" s="91">
        <v>1.3372200000000001</v>
      </c>
      <c r="E1606" s="91"/>
      <c r="F1606" s="91"/>
      <c r="G1606" s="91" t="s">
        <v>260</v>
      </c>
      <c r="H1606" s="91"/>
      <c r="I1606" s="91"/>
      <c r="J1606" s="275">
        <f>+ROUND(J1605/D1606,2)</f>
        <v>65.11</v>
      </c>
    </row>
    <row r="1607" spans="1:10">
      <c r="A1607" s="84"/>
      <c r="B1607" s="89" t="s">
        <v>228</v>
      </c>
      <c r="C1607" s="90" t="s">
        <v>261</v>
      </c>
      <c r="D1607" s="91"/>
      <c r="E1607" s="91"/>
      <c r="F1607" s="91"/>
      <c r="G1607" s="92" t="s">
        <v>230</v>
      </c>
      <c r="H1607" s="92" t="s">
        <v>262</v>
      </c>
      <c r="I1607" s="92" t="s">
        <v>263</v>
      </c>
      <c r="J1607" s="99" t="s">
        <v>264</v>
      </c>
    </row>
    <row r="1608" spans="1:10">
      <c r="A1608" s="84"/>
      <c r="B1608" s="89" t="s">
        <v>634</v>
      </c>
      <c r="C1608" s="90" t="s">
        <v>635</v>
      </c>
      <c r="D1608" s="91"/>
      <c r="E1608" s="91"/>
      <c r="F1608" s="91"/>
      <c r="G1608" s="92" t="s">
        <v>332</v>
      </c>
      <c r="H1608" s="92">
        <v>37.03</v>
      </c>
      <c r="I1608" s="92">
        <v>1</v>
      </c>
      <c r="J1608" s="99">
        <f>+ROUND(H1608*I1608,2)</f>
        <v>37.03</v>
      </c>
    </row>
    <row r="1609" spans="1:10">
      <c r="A1609" s="84"/>
      <c r="B1609" s="93" t="s">
        <v>636</v>
      </c>
      <c r="C1609" s="94" t="s">
        <v>637</v>
      </c>
      <c r="D1609" s="95"/>
      <c r="E1609" s="95"/>
      <c r="F1609" s="95"/>
      <c r="G1609" s="96" t="s">
        <v>270</v>
      </c>
      <c r="H1609" s="96">
        <v>33.81</v>
      </c>
      <c r="I1609" s="96">
        <v>1E-3</v>
      </c>
      <c r="J1609" s="271">
        <f>+ROUND(H1609*I1609,2)</f>
        <v>0.03</v>
      </c>
    </row>
    <row r="1610" spans="1:10">
      <c r="A1610" s="84"/>
      <c r="B1610" s="93" t="s">
        <v>231</v>
      </c>
      <c r="C1610" s="94"/>
      <c r="D1610" s="95"/>
      <c r="E1610" s="95"/>
      <c r="F1610" s="95"/>
      <c r="G1610" s="96"/>
      <c r="H1610" s="96"/>
      <c r="I1610" s="96"/>
      <c r="J1610" s="271"/>
    </row>
    <row r="1611" spans="1:10">
      <c r="A1611" s="84"/>
      <c r="B1611" s="93" t="s">
        <v>231</v>
      </c>
      <c r="C1611" s="94"/>
      <c r="D1611" s="95"/>
      <c r="E1611" s="95"/>
      <c r="F1611" s="95"/>
      <c r="G1611" s="96"/>
      <c r="H1611" s="96"/>
      <c r="I1611" s="96"/>
      <c r="J1611" s="271"/>
    </row>
    <row r="1612" spans="1:10">
      <c r="A1612" s="84"/>
      <c r="B1612" s="93" t="s">
        <v>231</v>
      </c>
      <c r="C1612" s="94"/>
      <c r="D1612" s="95"/>
      <c r="E1612" s="95"/>
      <c r="F1612" s="95"/>
      <c r="G1612" s="96"/>
      <c r="H1612" s="96"/>
      <c r="I1612" s="96"/>
      <c r="J1612" s="271"/>
    </row>
    <row r="1613" spans="1:10">
      <c r="A1613" s="84"/>
      <c r="B1613" s="93" t="s">
        <v>231</v>
      </c>
      <c r="C1613" s="94"/>
      <c r="D1613" s="95"/>
      <c r="E1613" s="95"/>
      <c r="F1613" s="95"/>
      <c r="G1613" s="96"/>
      <c r="H1613" s="96"/>
      <c r="I1613" s="96"/>
      <c r="J1613" s="271"/>
    </row>
    <row r="1614" spans="1:10">
      <c r="A1614" s="84"/>
      <c r="B1614" s="93" t="s">
        <v>231</v>
      </c>
      <c r="C1614" s="94"/>
      <c r="D1614" s="95"/>
      <c r="E1614" s="95"/>
      <c r="F1614" s="95"/>
      <c r="G1614" s="96"/>
      <c r="H1614" s="96"/>
      <c r="I1614" s="96"/>
      <c r="J1614" s="271"/>
    </row>
    <row r="1615" spans="1:10">
      <c r="A1615" s="84"/>
      <c r="B1615" s="89"/>
      <c r="C1615" s="97"/>
      <c r="D1615" s="91"/>
      <c r="E1615" s="91"/>
      <c r="F1615" s="91"/>
      <c r="G1615" s="91" t="s">
        <v>275</v>
      </c>
      <c r="H1615" s="91"/>
      <c r="I1615" s="91"/>
      <c r="J1615" s="99">
        <f>+SUBTOTAL(9,J1608:J1614)</f>
        <v>37.06</v>
      </c>
    </row>
    <row r="1616" spans="1:10">
      <c r="A1616" s="84"/>
      <c r="B1616" s="89" t="s">
        <v>228</v>
      </c>
      <c r="C1616" s="90" t="s">
        <v>276</v>
      </c>
      <c r="D1616" s="91"/>
      <c r="E1616" s="91"/>
      <c r="F1616" s="91"/>
      <c r="G1616" s="92" t="s">
        <v>230</v>
      </c>
      <c r="H1616" s="92" t="s">
        <v>262</v>
      </c>
      <c r="I1616" s="92" t="s">
        <v>263</v>
      </c>
      <c r="J1616" s="99" t="s">
        <v>264</v>
      </c>
    </row>
    <row r="1617" spans="1:10">
      <c r="A1617" s="84"/>
      <c r="B1617" s="89" t="s">
        <v>231</v>
      </c>
      <c r="C1617" s="90"/>
      <c r="D1617" s="91"/>
      <c r="E1617" s="91"/>
      <c r="F1617" s="91"/>
      <c r="G1617" s="92"/>
      <c r="H1617" s="92"/>
      <c r="I1617" s="92"/>
      <c r="J1617" s="99"/>
    </row>
    <row r="1618" spans="1:10">
      <c r="A1618" s="84"/>
      <c r="B1618" s="93" t="s">
        <v>231</v>
      </c>
      <c r="C1618" s="94"/>
      <c r="D1618" s="95"/>
      <c r="E1618" s="95"/>
      <c r="F1618" s="95"/>
      <c r="G1618" s="96"/>
      <c r="H1618" s="96"/>
      <c r="I1618" s="96"/>
      <c r="J1618" s="271"/>
    </row>
    <row r="1619" spans="1:10">
      <c r="A1619" s="84"/>
      <c r="B1619" s="93" t="s">
        <v>231</v>
      </c>
      <c r="C1619" s="94"/>
      <c r="D1619" s="95"/>
      <c r="E1619" s="95"/>
      <c r="F1619" s="95"/>
      <c r="G1619" s="96"/>
      <c r="H1619" s="96"/>
      <c r="I1619" s="96"/>
      <c r="J1619" s="271"/>
    </row>
    <row r="1620" spans="1:10">
      <c r="A1620" s="84"/>
      <c r="B1620" s="93" t="s">
        <v>231</v>
      </c>
      <c r="C1620" s="94"/>
      <c r="D1620" s="95"/>
      <c r="E1620" s="95"/>
      <c r="F1620" s="95"/>
      <c r="G1620" s="96"/>
      <c r="H1620" s="96"/>
      <c r="I1620" s="96"/>
      <c r="J1620" s="271"/>
    </row>
    <row r="1621" spans="1:10">
      <c r="A1621" s="84"/>
      <c r="B1621" s="93" t="s">
        <v>231</v>
      </c>
      <c r="C1621" s="94"/>
      <c r="D1621" s="95"/>
      <c r="E1621" s="95"/>
      <c r="F1621" s="95"/>
      <c r="G1621" s="96"/>
      <c r="H1621" s="96"/>
      <c r="I1621" s="96"/>
      <c r="J1621" s="271"/>
    </row>
    <row r="1622" spans="1:10">
      <c r="A1622" s="84"/>
      <c r="B1622" s="89"/>
      <c r="C1622" s="97"/>
      <c r="D1622" s="91"/>
      <c r="E1622" s="91"/>
      <c r="F1622" s="91"/>
      <c r="G1622" s="91" t="s">
        <v>279</v>
      </c>
      <c r="H1622" s="91"/>
      <c r="I1622" s="91"/>
      <c r="J1622" s="99">
        <f>+SUBTOTAL(9,J1617:J1621)</f>
        <v>0</v>
      </c>
    </row>
    <row r="1623" spans="1:10">
      <c r="A1623" s="84"/>
      <c r="B1623" s="89" t="s">
        <v>228</v>
      </c>
      <c r="C1623" s="90" t="s">
        <v>280</v>
      </c>
      <c r="D1623" s="92" t="s">
        <v>281</v>
      </c>
      <c r="E1623" s="92" t="s">
        <v>282</v>
      </c>
      <c r="F1623" s="92" t="s">
        <v>283</v>
      </c>
      <c r="G1623" s="92" t="s">
        <v>284</v>
      </c>
      <c r="H1623" s="92" t="s">
        <v>285</v>
      </c>
      <c r="I1623" s="92" t="s">
        <v>263</v>
      </c>
      <c r="J1623" s="99" t="s">
        <v>286</v>
      </c>
    </row>
    <row r="1624" spans="1:10">
      <c r="A1624" s="84"/>
      <c r="B1624" s="89" t="s">
        <v>638</v>
      </c>
      <c r="C1624" s="90" t="s">
        <v>639</v>
      </c>
      <c r="D1624" s="92" t="s">
        <v>289</v>
      </c>
      <c r="E1624" s="92">
        <v>0</v>
      </c>
      <c r="F1624" s="92">
        <v>56.58</v>
      </c>
      <c r="G1624" s="92">
        <v>56.58</v>
      </c>
      <c r="H1624" s="92">
        <v>0.74</v>
      </c>
      <c r="I1624" s="92">
        <v>1E-3</v>
      </c>
      <c r="J1624" s="99">
        <f>+ROUND(G1624*H1624*I1624,2)</f>
        <v>0.04</v>
      </c>
    </row>
    <row r="1625" spans="1:10">
      <c r="A1625" s="84"/>
      <c r="B1625" s="93" t="s">
        <v>231</v>
      </c>
      <c r="C1625" s="94"/>
      <c r="D1625" s="96"/>
      <c r="E1625" s="96"/>
      <c r="F1625" s="96"/>
      <c r="G1625" s="96"/>
      <c r="H1625" s="96"/>
      <c r="I1625" s="96"/>
      <c r="J1625" s="271"/>
    </row>
    <row r="1626" spans="1:10">
      <c r="A1626" s="84"/>
      <c r="B1626" s="93" t="s">
        <v>231</v>
      </c>
      <c r="C1626" s="94"/>
      <c r="D1626" s="96"/>
      <c r="E1626" s="96"/>
      <c r="F1626" s="96"/>
      <c r="G1626" s="96"/>
      <c r="H1626" s="96"/>
      <c r="I1626" s="96"/>
      <c r="J1626" s="271"/>
    </row>
    <row r="1627" spans="1:10">
      <c r="A1627" s="84"/>
      <c r="B1627" s="93" t="s">
        <v>231</v>
      </c>
      <c r="C1627" s="94"/>
      <c r="D1627" s="96"/>
      <c r="E1627" s="96"/>
      <c r="F1627" s="96"/>
      <c r="G1627" s="96"/>
      <c r="H1627" s="96"/>
      <c r="I1627" s="96"/>
      <c r="J1627" s="271"/>
    </row>
    <row r="1628" spans="1:10">
      <c r="A1628" s="84"/>
      <c r="B1628" s="93" t="s">
        <v>231</v>
      </c>
      <c r="C1628" s="94"/>
      <c r="D1628" s="96"/>
      <c r="E1628" s="96"/>
      <c r="F1628" s="96"/>
      <c r="G1628" s="96"/>
      <c r="H1628" s="96"/>
      <c r="I1628" s="96"/>
      <c r="J1628" s="271"/>
    </row>
    <row r="1629" spans="1:10">
      <c r="A1629" s="84"/>
      <c r="B1629" s="93" t="s">
        <v>231</v>
      </c>
      <c r="C1629" s="94"/>
      <c r="D1629" s="96"/>
      <c r="E1629" s="96"/>
      <c r="F1629" s="96"/>
      <c r="G1629" s="96"/>
      <c r="H1629" s="96"/>
      <c r="I1629" s="96"/>
      <c r="J1629" s="271"/>
    </row>
    <row r="1630" spans="1:10">
      <c r="A1630" s="84"/>
      <c r="B1630" s="93" t="s">
        <v>231</v>
      </c>
      <c r="C1630" s="94"/>
      <c r="D1630" s="96"/>
      <c r="E1630" s="96"/>
      <c r="F1630" s="96"/>
      <c r="G1630" s="96"/>
      <c r="H1630" s="96"/>
      <c r="I1630" s="96"/>
      <c r="J1630" s="271"/>
    </row>
    <row r="1631" spans="1:10">
      <c r="A1631" s="84"/>
      <c r="B1631" s="89"/>
      <c r="C1631" s="97"/>
      <c r="D1631" s="91"/>
      <c r="E1631" s="91"/>
      <c r="F1631" s="91"/>
      <c r="G1631" s="91" t="s">
        <v>290</v>
      </c>
      <c r="H1631" s="91"/>
      <c r="I1631" s="91"/>
      <c r="J1631" s="99">
        <f>+SUBTOTAL(9,J1624:J1630)</f>
        <v>0.04</v>
      </c>
    </row>
    <row r="1632" spans="1:10">
      <c r="A1632" s="84"/>
      <c r="B1632" s="89" t="s">
        <v>291</v>
      </c>
      <c r="C1632" s="97"/>
      <c r="D1632" s="91"/>
      <c r="E1632" s="91"/>
      <c r="F1632" s="91"/>
      <c r="G1632" s="91"/>
      <c r="H1632" s="91"/>
      <c r="I1632" s="91"/>
      <c r="J1632" s="99">
        <f>+SUBTOTAL(9,J1606:J1630)</f>
        <v>102.21000000000001</v>
      </c>
    </row>
    <row r="1633" spans="1:10">
      <c r="A1633" s="84"/>
      <c r="B1633" s="89" t="s">
        <v>292</v>
      </c>
      <c r="C1633" s="97"/>
      <c r="D1633" s="91">
        <v>0</v>
      </c>
      <c r="E1633" s="91"/>
      <c r="F1633" s="91"/>
      <c r="G1633" s="91"/>
      <c r="H1633" s="91"/>
      <c r="I1633" s="91"/>
      <c r="J1633" s="99">
        <f>+ROUND(J1632*D1633/100,2)</f>
        <v>0</v>
      </c>
    </row>
    <row r="1634" spans="1:10" ht="14.4" thickBot="1">
      <c r="A1634" s="84"/>
      <c r="B1634" s="89" t="s">
        <v>293</v>
      </c>
      <c r="C1634" s="97"/>
      <c r="D1634" s="91"/>
      <c r="E1634" s="91"/>
      <c r="F1634" s="91"/>
      <c r="G1634" s="91"/>
      <c r="H1634" s="91"/>
      <c r="I1634" s="91"/>
      <c r="J1634" s="99">
        <f>+J1632+ J1633</f>
        <v>102.21000000000001</v>
      </c>
    </row>
    <row r="1635" spans="1:10">
      <c r="A1635" s="84"/>
      <c r="B1635" s="85" t="s">
        <v>294</v>
      </c>
      <c r="C1635" s="86"/>
      <c r="D1635" s="88"/>
      <c r="E1635" s="88"/>
      <c r="F1635" s="88" t="s">
        <v>295</v>
      </c>
      <c r="G1635" s="88"/>
      <c r="H1635" s="88"/>
      <c r="I1635" s="88" t="s">
        <v>296</v>
      </c>
      <c r="J1635" s="270"/>
    </row>
    <row r="1636" spans="1:10">
      <c r="A1636" s="84"/>
      <c r="B1636" s="93" t="s">
        <v>297</v>
      </c>
      <c r="C1636" s="84"/>
      <c r="D1636" s="95"/>
      <c r="E1636" s="95"/>
      <c r="F1636" s="95" t="s">
        <v>298</v>
      </c>
      <c r="G1636" s="95"/>
      <c r="H1636" s="95"/>
      <c r="I1636" s="95"/>
      <c r="J1636" s="276"/>
    </row>
    <row r="1637" spans="1:10">
      <c r="A1637" s="84"/>
      <c r="B1637" s="93" t="s">
        <v>299</v>
      </c>
      <c r="C1637" s="84"/>
      <c r="D1637" s="95"/>
      <c r="E1637" s="95"/>
      <c r="F1637" s="95" t="s">
        <v>300</v>
      </c>
      <c r="G1637" s="95"/>
      <c r="H1637" s="95"/>
      <c r="I1637" s="95"/>
      <c r="J1637" s="276"/>
    </row>
    <row r="1638" spans="1:10" ht="14.4" thickBot="1">
      <c r="A1638" s="84"/>
      <c r="B1638" s="100" t="s">
        <v>301</v>
      </c>
      <c r="C1638" s="84"/>
      <c r="D1638" s="95"/>
      <c r="E1638" s="95"/>
      <c r="F1638" s="95"/>
      <c r="G1638" s="95"/>
      <c r="H1638" s="95"/>
      <c r="I1638" s="95"/>
      <c r="J1638" s="277"/>
    </row>
    <row r="1639" spans="1:10">
      <c r="A1639" s="84"/>
      <c r="B1639" s="86"/>
      <c r="C1639" s="86"/>
      <c r="D1639" s="88"/>
      <c r="E1639" s="88"/>
      <c r="F1639" s="88"/>
      <c r="G1639" s="88"/>
      <c r="H1639" s="88"/>
      <c r="I1639" s="88"/>
      <c r="J1639" s="88"/>
    </row>
    <row r="1640" spans="1:10" ht="14.4" thickBot="1">
      <c r="A1640" s="84"/>
      <c r="B1640" s="84"/>
      <c r="C1640" s="84"/>
      <c r="D1640" s="95"/>
      <c r="E1640" s="95"/>
      <c r="F1640" s="95"/>
      <c r="G1640" s="95"/>
      <c r="H1640" s="95"/>
      <c r="I1640" s="95"/>
      <c r="J1640" s="95"/>
    </row>
    <row r="1641" spans="1:10">
      <c r="A1641" s="84"/>
      <c r="B1641" s="85"/>
      <c r="C1641" s="86"/>
      <c r="D1641" s="87" t="s">
        <v>227</v>
      </c>
      <c r="E1641" s="87"/>
      <c r="F1641" s="87"/>
      <c r="G1641" s="88"/>
      <c r="H1641" s="88"/>
      <c r="I1641" s="88"/>
      <c r="J1641" s="270"/>
    </row>
    <row r="1642" spans="1:10">
      <c r="A1642" s="84"/>
      <c r="B1642" s="89" t="s">
        <v>228</v>
      </c>
      <c r="C1642" s="90" t="s">
        <v>92</v>
      </c>
      <c r="D1642" s="91"/>
      <c r="E1642" s="91"/>
      <c r="F1642" s="91"/>
      <c r="G1642" s="91"/>
      <c r="H1642" s="92" t="s">
        <v>229</v>
      </c>
      <c r="I1642" s="91"/>
      <c r="J1642" s="99" t="s">
        <v>230</v>
      </c>
    </row>
    <row r="1643" spans="1:10">
      <c r="A1643" s="84"/>
      <c r="B1643" s="93" t="s">
        <v>231</v>
      </c>
      <c r="C1643" s="94" t="s">
        <v>640</v>
      </c>
      <c r="D1643" s="95"/>
      <c r="E1643" s="95"/>
      <c r="F1643" s="95"/>
      <c r="G1643" s="95"/>
      <c r="H1643" s="96" t="s">
        <v>233</v>
      </c>
      <c r="I1643" s="95"/>
      <c r="J1643" s="271" t="s">
        <v>386</v>
      </c>
    </row>
    <row r="1644" spans="1:10">
      <c r="A1644" s="84"/>
      <c r="B1644" s="89"/>
      <c r="C1644" s="90"/>
      <c r="D1644" s="91"/>
      <c r="E1644" s="92"/>
      <c r="F1644" s="92" t="s">
        <v>235</v>
      </c>
      <c r="G1644" s="92"/>
      <c r="H1644" s="92" t="s">
        <v>236</v>
      </c>
      <c r="I1644" s="92"/>
      <c r="J1644" s="99" t="s">
        <v>237</v>
      </c>
    </row>
    <row r="1645" spans="1:10">
      <c r="A1645" s="84"/>
      <c r="B1645" s="93" t="s">
        <v>228</v>
      </c>
      <c r="C1645" s="94" t="s">
        <v>238</v>
      </c>
      <c r="D1645" s="95"/>
      <c r="E1645" s="96" t="s">
        <v>239</v>
      </c>
      <c r="F1645" s="92" t="s">
        <v>240</v>
      </c>
      <c r="G1645" s="92" t="s">
        <v>241</v>
      </c>
      <c r="H1645" s="92" t="s">
        <v>240</v>
      </c>
      <c r="I1645" s="272" t="s">
        <v>241</v>
      </c>
      <c r="J1645" s="271" t="s">
        <v>242</v>
      </c>
    </row>
    <row r="1646" spans="1:10">
      <c r="A1646" s="84"/>
      <c r="B1646" s="273" t="s">
        <v>641</v>
      </c>
      <c r="C1646" s="90" t="s">
        <v>642</v>
      </c>
      <c r="D1646" s="91"/>
      <c r="E1646" s="92">
        <v>1</v>
      </c>
      <c r="F1646" s="92">
        <v>0.82</v>
      </c>
      <c r="G1646" s="92">
        <v>0.18</v>
      </c>
      <c r="H1646" s="92">
        <v>0.61</v>
      </c>
      <c r="I1646" s="92">
        <v>0.41</v>
      </c>
      <c r="J1646" s="99">
        <f>+ROUND(E1646* ((F1646*H1646) + (G1646*I1646)),2)</f>
        <v>0.56999999999999995</v>
      </c>
    </row>
    <row r="1647" spans="1:10">
      <c r="A1647" s="84"/>
      <c r="B1647" s="274" t="s">
        <v>643</v>
      </c>
      <c r="C1647" s="94" t="s">
        <v>644</v>
      </c>
      <c r="D1647" s="95"/>
      <c r="E1647" s="96">
        <v>1</v>
      </c>
      <c r="F1647" s="96">
        <v>1</v>
      </c>
      <c r="G1647" s="96">
        <v>0</v>
      </c>
      <c r="H1647" s="96">
        <v>3.49</v>
      </c>
      <c r="I1647" s="96">
        <v>2.17</v>
      </c>
      <c r="J1647" s="271">
        <f>+ROUND(E1647* ((F1647*H1647) + (G1647*I1647)),2)</f>
        <v>3.49</v>
      </c>
    </row>
    <row r="1648" spans="1:10">
      <c r="A1648" s="84"/>
      <c r="B1648" s="274" t="s">
        <v>645</v>
      </c>
      <c r="C1648" s="94" t="s">
        <v>646</v>
      </c>
      <c r="D1648" s="95"/>
      <c r="E1648" s="96">
        <v>1</v>
      </c>
      <c r="F1648" s="96">
        <v>0.02</v>
      </c>
      <c r="G1648" s="96">
        <v>0.98</v>
      </c>
      <c r="H1648" s="96">
        <v>0.59</v>
      </c>
      <c r="I1648" s="96">
        <v>0.41</v>
      </c>
      <c r="J1648" s="271">
        <f>+ROUND(E1648* ((F1648*H1648) + (G1648*I1648)),2)</f>
        <v>0.41</v>
      </c>
    </row>
    <row r="1649" spans="1:10">
      <c r="A1649" s="84"/>
      <c r="B1649" s="274" t="s">
        <v>429</v>
      </c>
      <c r="C1649" s="94" t="s">
        <v>430</v>
      </c>
      <c r="D1649" s="95"/>
      <c r="E1649" s="96">
        <v>1</v>
      </c>
      <c r="F1649" s="96">
        <v>1</v>
      </c>
      <c r="G1649" s="96">
        <v>0</v>
      </c>
      <c r="H1649" s="96">
        <v>10.18</v>
      </c>
      <c r="I1649" s="96">
        <v>0.48</v>
      </c>
      <c r="J1649" s="271">
        <f>+ROUND(E1649* ((F1649*H1649) + (G1649*I1649)),2)</f>
        <v>10.18</v>
      </c>
    </row>
    <row r="1650" spans="1:10">
      <c r="A1650" s="84"/>
      <c r="B1650" s="93" t="s">
        <v>231</v>
      </c>
      <c r="C1650" s="94"/>
      <c r="D1650" s="95"/>
      <c r="E1650" s="96"/>
      <c r="F1650" s="96"/>
      <c r="G1650" s="96"/>
      <c r="H1650" s="96"/>
      <c r="I1650" s="96"/>
      <c r="J1650" s="271"/>
    </row>
    <row r="1651" spans="1:10">
      <c r="A1651" s="84"/>
      <c r="B1651" s="93" t="s">
        <v>231</v>
      </c>
      <c r="C1651" s="94"/>
      <c r="D1651" s="95"/>
      <c r="E1651" s="96"/>
      <c r="F1651" s="96"/>
      <c r="G1651" s="96"/>
      <c r="H1651" s="96"/>
      <c r="I1651" s="96"/>
      <c r="J1651" s="271"/>
    </row>
    <row r="1652" spans="1:10">
      <c r="A1652" s="84"/>
      <c r="B1652" s="93" t="s">
        <v>231</v>
      </c>
      <c r="C1652" s="94"/>
      <c r="D1652" s="95"/>
      <c r="E1652" s="96"/>
      <c r="F1652" s="96"/>
      <c r="G1652" s="96"/>
      <c r="H1652" s="96"/>
      <c r="I1652" s="96"/>
      <c r="J1652" s="271"/>
    </row>
    <row r="1653" spans="1:10">
      <c r="A1653" s="84"/>
      <c r="B1653" s="89"/>
      <c r="C1653" s="97"/>
      <c r="D1653" s="91"/>
      <c r="E1653" s="91"/>
      <c r="F1653" s="91"/>
      <c r="G1653" s="91" t="s">
        <v>249</v>
      </c>
      <c r="H1653" s="91"/>
      <c r="I1653" s="91"/>
      <c r="J1653" s="99">
        <f>+SUBTOTAL(9,J1646:J1652)</f>
        <v>14.65</v>
      </c>
    </row>
    <row r="1654" spans="1:10">
      <c r="A1654" s="84"/>
      <c r="B1654" s="89" t="s">
        <v>228</v>
      </c>
      <c r="C1654" s="90" t="s">
        <v>250</v>
      </c>
      <c r="D1654" s="91"/>
      <c r="E1654" s="91"/>
      <c r="F1654" s="91"/>
      <c r="G1654" s="91"/>
      <c r="H1654" s="92" t="s">
        <v>239</v>
      </c>
      <c r="I1654" s="92" t="s">
        <v>251</v>
      </c>
      <c r="J1654" s="99" t="s">
        <v>252</v>
      </c>
    </row>
    <row r="1655" spans="1:10">
      <c r="A1655" s="84"/>
      <c r="B1655" s="89" t="s">
        <v>253</v>
      </c>
      <c r="C1655" s="90" t="s">
        <v>254</v>
      </c>
      <c r="D1655" s="91"/>
      <c r="E1655" s="91"/>
      <c r="F1655" s="91"/>
      <c r="G1655" s="91"/>
      <c r="H1655" s="92">
        <v>4</v>
      </c>
      <c r="I1655" s="92">
        <v>21.04</v>
      </c>
      <c r="J1655" s="99">
        <f>+ROUND(H1655*I1655,2)</f>
        <v>84.16</v>
      </c>
    </row>
    <row r="1656" spans="1:10">
      <c r="A1656" s="84"/>
      <c r="B1656" s="93" t="s">
        <v>231</v>
      </c>
      <c r="C1656" s="94"/>
      <c r="D1656" s="95"/>
      <c r="E1656" s="95"/>
      <c r="F1656" s="95"/>
      <c r="G1656" s="95"/>
      <c r="H1656" s="96"/>
      <c r="I1656" s="96"/>
      <c r="J1656" s="271"/>
    </row>
    <row r="1657" spans="1:10">
      <c r="A1657" s="84"/>
      <c r="B1657" s="93" t="s">
        <v>231</v>
      </c>
      <c r="C1657" s="94"/>
      <c r="D1657" s="95"/>
      <c r="E1657" s="95"/>
      <c r="F1657" s="95"/>
      <c r="G1657" s="95"/>
      <c r="H1657" s="96"/>
      <c r="I1657" s="96"/>
      <c r="J1657" s="271"/>
    </row>
    <row r="1658" spans="1:10">
      <c r="A1658" s="84"/>
      <c r="B1658" s="93" t="s">
        <v>231</v>
      </c>
      <c r="C1658" s="94"/>
      <c r="D1658" s="95"/>
      <c r="E1658" s="95"/>
      <c r="F1658" s="95"/>
      <c r="G1658" s="95"/>
      <c r="H1658" s="96"/>
      <c r="I1658" s="96"/>
      <c r="J1658" s="271"/>
    </row>
    <row r="1659" spans="1:10">
      <c r="A1659" s="84"/>
      <c r="B1659" s="93" t="s">
        <v>231</v>
      </c>
      <c r="C1659" s="94"/>
      <c r="D1659" s="95"/>
      <c r="E1659" s="95"/>
      <c r="F1659" s="95"/>
      <c r="G1659" s="95"/>
      <c r="H1659" s="96"/>
      <c r="I1659" s="96"/>
      <c r="J1659" s="271"/>
    </row>
    <row r="1660" spans="1:10">
      <c r="A1660" s="84"/>
      <c r="B1660" s="93" t="s">
        <v>231</v>
      </c>
      <c r="C1660" s="94"/>
      <c r="D1660" s="95"/>
      <c r="E1660" s="95"/>
      <c r="F1660" s="95"/>
      <c r="G1660" s="95"/>
      <c r="H1660" s="96"/>
      <c r="I1660" s="96"/>
      <c r="J1660" s="271"/>
    </row>
    <row r="1661" spans="1:10">
      <c r="A1661" s="84"/>
      <c r="B1661" s="93" t="s">
        <v>231</v>
      </c>
      <c r="C1661" s="94"/>
      <c r="D1661" s="95"/>
      <c r="E1661" s="95"/>
      <c r="F1661" s="95"/>
      <c r="G1661" s="95"/>
      <c r="H1661" s="96"/>
      <c r="I1661" s="96"/>
      <c r="J1661" s="271"/>
    </row>
    <row r="1662" spans="1:10">
      <c r="A1662" s="84"/>
      <c r="B1662" s="89"/>
      <c r="C1662" s="97"/>
      <c r="D1662" s="91"/>
      <c r="E1662" s="91"/>
      <c r="F1662" s="91"/>
      <c r="G1662" s="91" t="s">
        <v>255</v>
      </c>
      <c r="H1662" s="91"/>
      <c r="I1662" s="91"/>
      <c r="J1662" s="99">
        <f>+SUBTOTAL(9,J1655:J1661)</f>
        <v>84.16</v>
      </c>
    </row>
    <row r="1663" spans="1:10">
      <c r="A1663" s="84"/>
      <c r="B1663" s="89"/>
      <c r="C1663" s="97"/>
      <c r="D1663" s="91"/>
      <c r="E1663" s="91"/>
      <c r="F1663" s="91" t="s">
        <v>256</v>
      </c>
      <c r="G1663" s="91"/>
      <c r="H1663" s="91"/>
      <c r="I1663" s="91">
        <v>0</v>
      </c>
      <c r="J1663" s="99">
        <f>+ROUND(I1663*J1662,2)</f>
        <v>0</v>
      </c>
    </row>
    <row r="1664" spans="1:10">
      <c r="A1664" s="84"/>
      <c r="B1664" s="89"/>
      <c r="C1664" s="97"/>
      <c r="D1664" s="91"/>
      <c r="E1664" s="91"/>
      <c r="F1664" s="91" t="s">
        <v>257</v>
      </c>
      <c r="G1664" s="91"/>
      <c r="H1664" s="91"/>
      <c r="I1664" s="91"/>
      <c r="J1664" s="99">
        <f>+SUBTOTAL(9,J1655:J1663)</f>
        <v>84.16</v>
      </c>
    </row>
    <row r="1665" spans="1:10">
      <c r="A1665" s="84"/>
      <c r="B1665" s="98"/>
      <c r="C1665" s="97"/>
      <c r="D1665" s="91"/>
      <c r="E1665" s="91"/>
      <c r="F1665" s="91"/>
      <c r="G1665" s="91" t="s">
        <v>258</v>
      </c>
      <c r="H1665" s="91"/>
      <c r="I1665" s="91"/>
      <c r="J1665" s="275">
        <f>+SUBTOTAL(9,J1646:J1664)</f>
        <v>98.81</v>
      </c>
    </row>
    <row r="1666" spans="1:10">
      <c r="A1666" s="84"/>
      <c r="B1666" s="98"/>
      <c r="C1666" s="97" t="s">
        <v>259</v>
      </c>
      <c r="D1666" s="91">
        <v>24.9</v>
      </c>
      <c r="E1666" s="91"/>
      <c r="F1666" s="91"/>
      <c r="G1666" s="91" t="s">
        <v>260</v>
      </c>
      <c r="H1666" s="91"/>
      <c r="I1666" s="91"/>
      <c r="J1666" s="275">
        <f>+ROUND(J1665/D1666,2)</f>
        <v>3.97</v>
      </c>
    </row>
    <row r="1667" spans="1:10">
      <c r="A1667" s="84"/>
      <c r="B1667" s="89" t="s">
        <v>228</v>
      </c>
      <c r="C1667" s="90" t="s">
        <v>261</v>
      </c>
      <c r="D1667" s="91"/>
      <c r="E1667" s="91"/>
      <c r="F1667" s="91"/>
      <c r="G1667" s="92" t="s">
        <v>230</v>
      </c>
      <c r="H1667" s="92" t="s">
        <v>262</v>
      </c>
      <c r="I1667" s="92" t="s">
        <v>263</v>
      </c>
      <c r="J1667" s="99" t="s">
        <v>264</v>
      </c>
    </row>
    <row r="1668" spans="1:10">
      <c r="A1668" s="84"/>
      <c r="B1668" s="89" t="s">
        <v>597</v>
      </c>
      <c r="C1668" s="90" t="s">
        <v>598</v>
      </c>
      <c r="D1668" s="91"/>
      <c r="E1668" s="91"/>
      <c r="F1668" s="91"/>
      <c r="G1668" s="92" t="s">
        <v>337</v>
      </c>
      <c r="H1668" s="92">
        <v>17.309999999999999</v>
      </c>
      <c r="I1668" s="92">
        <v>1.6209999999999999E-2</v>
      </c>
      <c r="J1668" s="99">
        <f>+ROUND(H1668*I1668,2)</f>
        <v>0.28000000000000003</v>
      </c>
    </row>
    <row r="1669" spans="1:10">
      <c r="A1669" s="84"/>
      <c r="B1669" s="93" t="s">
        <v>647</v>
      </c>
      <c r="C1669" s="94" t="s">
        <v>648</v>
      </c>
      <c r="D1669" s="95"/>
      <c r="E1669" s="95"/>
      <c r="F1669" s="95"/>
      <c r="G1669" s="96" t="s">
        <v>270</v>
      </c>
      <c r="H1669" s="96">
        <v>30.45</v>
      </c>
      <c r="I1669" s="96">
        <v>2.0000000000000002E-5</v>
      </c>
      <c r="J1669" s="271">
        <f>+ROUND(H1669*I1669,2)</f>
        <v>0</v>
      </c>
    </row>
    <row r="1670" spans="1:10">
      <c r="A1670" s="84"/>
      <c r="B1670" s="93" t="s">
        <v>231</v>
      </c>
      <c r="C1670" s="94"/>
      <c r="D1670" s="95"/>
      <c r="E1670" s="95"/>
      <c r="F1670" s="95"/>
      <c r="G1670" s="96"/>
      <c r="H1670" s="96"/>
      <c r="I1670" s="96"/>
      <c r="J1670" s="271"/>
    </row>
    <row r="1671" spans="1:10">
      <c r="A1671" s="84"/>
      <c r="B1671" s="93" t="s">
        <v>231</v>
      </c>
      <c r="C1671" s="94"/>
      <c r="D1671" s="95"/>
      <c r="E1671" s="95"/>
      <c r="F1671" s="95"/>
      <c r="G1671" s="96"/>
      <c r="H1671" s="96"/>
      <c r="I1671" s="96"/>
      <c r="J1671" s="271"/>
    </row>
    <row r="1672" spans="1:10">
      <c r="A1672" s="84"/>
      <c r="B1672" s="93" t="s">
        <v>231</v>
      </c>
      <c r="C1672" s="94"/>
      <c r="D1672" s="95"/>
      <c r="E1672" s="95"/>
      <c r="F1672" s="95"/>
      <c r="G1672" s="96"/>
      <c r="H1672" s="96"/>
      <c r="I1672" s="96"/>
      <c r="J1672" s="271"/>
    </row>
    <row r="1673" spans="1:10">
      <c r="A1673" s="84"/>
      <c r="B1673" s="93" t="s">
        <v>231</v>
      </c>
      <c r="C1673" s="94"/>
      <c r="D1673" s="95"/>
      <c r="E1673" s="95"/>
      <c r="F1673" s="95"/>
      <c r="G1673" s="96"/>
      <c r="H1673" s="96"/>
      <c r="I1673" s="96"/>
      <c r="J1673" s="271"/>
    </row>
    <row r="1674" spans="1:10">
      <c r="A1674" s="84"/>
      <c r="B1674" s="93" t="s">
        <v>231</v>
      </c>
      <c r="C1674" s="94"/>
      <c r="D1674" s="95"/>
      <c r="E1674" s="95"/>
      <c r="F1674" s="95"/>
      <c r="G1674" s="96"/>
      <c r="H1674" s="96"/>
      <c r="I1674" s="96"/>
      <c r="J1674" s="271"/>
    </row>
    <row r="1675" spans="1:10">
      <c r="A1675" s="84"/>
      <c r="B1675" s="89"/>
      <c r="C1675" s="97"/>
      <c r="D1675" s="91"/>
      <c r="E1675" s="91"/>
      <c r="F1675" s="91"/>
      <c r="G1675" s="91" t="s">
        <v>275</v>
      </c>
      <c r="H1675" s="91"/>
      <c r="I1675" s="91"/>
      <c r="J1675" s="99">
        <f>+SUBTOTAL(9,J1668:J1674)</f>
        <v>0.28000000000000003</v>
      </c>
    </row>
    <row r="1676" spans="1:10">
      <c r="A1676" s="84"/>
      <c r="B1676" s="89" t="s">
        <v>228</v>
      </c>
      <c r="C1676" s="90" t="s">
        <v>276</v>
      </c>
      <c r="D1676" s="91"/>
      <c r="E1676" s="91"/>
      <c r="F1676" s="91"/>
      <c r="G1676" s="92" t="s">
        <v>230</v>
      </c>
      <c r="H1676" s="92" t="s">
        <v>262</v>
      </c>
      <c r="I1676" s="92" t="s">
        <v>263</v>
      </c>
      <c r="J1676" s="99" t="s">
        <v>264</v>
      </c>
    </row>
    <row r="1677" spans="1:10">
      <c r="A1677" s="84"/>
      <c r="B1677" s="89" t="s">
        <v>570</v>
      </c>
      <c r="C1677" s="90" t="s">
        <v>571</v>
      </c>
      <c r="D1677" s="91"/>
      <c r="E1677" s="91"/>
      <c r="F1677" s="91"/>
      <c r="G1677" s="92" t="s">
        <v>332</v>
      </c>
      <c r="H1677" s="92">
        <v>12.44</v>
      </c>
      <c r="I1677" s="92">
        <v>4.0092100000000004</v>
      </c>
      <c r="J1677" s="99">
        <f>+ROUND(H1677*I1677,2)</f>
        <v>49.87</v>
      </c>
    </row>
    <row r="1678" spans="1:10">
      <c r="A1678" s="84"/>
      <c r="B1678" s="93" t="s">
        <v>572</v>
      </c>
      <c r="C1678" s="94" t="s">
        <v>573</v>
      </c>
      <c r="D1678" s="95"/>
      <c r="E1678" s="95"/>
      <c r="F1678" s="95"/>
      <c r="G1678" s="96" t="s">
        <v>234</v>
      </c>
      <c r="H1678" s="96">
        <v>609.72</v>
      </c>
      <c r="I1678" s="96">
        <v>5.5329999999999997E-2</v>
      </c>
      <c r="J1678" s="271">
        <f>+ROUND(H1678*I1678,2)</f>
        <v>33.74</v>
      </c>
    </row>
    <row r="1679" spans="1:10">
      <c r="A1679" s="84"/>
      <c r="B1679" s="93" t="s">
        <v>649</v>
      </c>
      <c r="C1679" s="94" t="s">
        <v>650</v>
      </c>
      <c r="D1679" s="95"/>
      <c r="E1679" s="95"/>
      <c r="F1679" s="95"/>
      <c r="G1679" s="96" t="s">
        <v>375</v>
      </c>
      <c r="H1679" s="96">
        <v>13.62</v>
      </c>
      <c r="I1679" s="96">
        <v>1.2153799999999999</v>
      </c>
      <c r="J1679" s="271">
        <f>+ROUND(H1679*I1679,2)</f>
        <v>16.55</v>
      </c>
    </row>
    <row r="1680" spans="1:10">
      <c r="A1680" s="84"/>
      <c r="B1680" s="93" t="s">
        <v>231</v>
      </c>
      <c r="C1680" s="94"/>
      <c r="D1680" s="95"/>
      <c r="E1680" s="95"/>
      <c r="F1680" s="95"/>
      <c r="G1680" s="96"/>
      <c r="H1680" s="96"/>
      <c r="I1680" s="96"/>
      <c r="J1680" s="271"/>
    </row>
    <row r="1681" spans="1:10">
      <c r="A1681" s="84"/>
      <c r="B1681" s="93" t="s">
        <v>231</v>
      </c>
      <c r="C1681" s="94"/>
      <c r="D1681" s="95"/>
      <c r="E1681" s="95"/>
      <c r="F1681" s="95"/>
      <c r="G1681" s="96"/>
      <c r="H1681" s="96"/>
      <c r="I1681" s="96"/>
      <c r="J1681" s="271"/>
    </row>
    <row r="1682" spans="1:10">
      <c r="A1682" s="84"/>
      <c r="B1682" s="89"/>
      <c r="C1682" s="97"/>
      <c r="D1682" s="91"/>
      <c r="E1682" s="91"/>
      <c r="F1682" s="91"/>
      <c r="G1682" s="91" t="s">
        <v>279</v>
      </c>
      <c r="H1682" s="91"/>
      <c r="I1682" s="91"/>
      <c r="J1682" s="99">
        <f>+SUBTOTAL(9,J1677:J1681)</f>
        <v>100.16</v>
      </c>
    </row>
    <row r="1683" spans="1:10">
      <c r="A1683" s="84"/>
      <c r="B1683" s="89" t="s">
        <v>228</v>
      </c>
      <c r="C1683" s="90" t="s">
        <v>280</v>
      </c>
      <c r="D1683" s="92" t="s">
        <v>281</v>
      </c>
      <c r="E1683" s="92" t="s">
        <v>282</v>
      </c>
      <c r="F1683" s="92" t="s">
        <v>283</v>
      </c>
      <c r="G1683" s="92" t="s">
        <v>284</v>
      </c>
      <c r="H1683" s="92" t="s">
        <v>285</v>
      </c>
      <c r="I1683" s="92" t="s">
        <v>263</v>
      </c>
      <c r="J1683" s="99" t="s">
        <v>286</v>
      </c>
    </row>
    <row r="1684" spans="1:10">
      <c r="A1684" s="84"/>
      <c r="B1684" s="89" t="s">
        <v>615</v>
      </c>
      <c r="C1684" s="90" t="s">
        <v>616</v>
      </c>
      <c r="D1684" s="92" t="s">
        <v>289</v>
      </c>
      <c r="E1684" s="92">
        <v>0</v>
      </c>
      <c r="F1684" s="92">
        <v>56.58</v>
      </c>
      <c r="G1684" s="92">
        <v>56.58</v>
      </c>
      <c r="H1684" s="92">
        <v>0.74</v>
      </c>
      <c r="I1684" s="92">
        <v>2.0000000000000002E-5</v>
      </c>
      <c r="J1684" s="99">
        <f>+ROUND(G1684*H1684*I1684,2)</f>
        <v>0</v>
      </c>
    </row>
    <row r="1685" spans="1:10">
      <c r="A1685" s="84"/>
      <c r="B1685" s="93" t="s">
        <v>231</v>
      </c>
      <c r="C1685" s="94"/>
      <c r="D1685" s="96"/>
      <c r="E1685" s="96"/>
      <c r="F1685" s="96"/>
      <c r="G1685" s="96"/>
      <c r="H1685" s="96"/>
      <c r="I1685" s="96"/>
      <c r="J1685" s="271"/>
    </row>
    <row r="1686" spans="1:10">
      <c r="A1686" s="84"/>
      <c r="B1686" s="93" t="s">
        <v>231</v>
      </c>
      <c r="C1686" s="94"/>
      <c r="D1686" s="96"/>
      <c r="E1686" s="96"/>
      <c r="F1686" s="96"/>
      <c r="G1686" s="96"/>
      <c r="H1686" s="96"/>
      <c r="I1686" s="96"/>
      <c r="J1686" s="271"/>
    </row>
    <row r="1687" spans="1:10">
      <c r="A1687" s="84"/>
      <c r="B1687" s="93" t="s">
        <v>231</v>
      </c>
      <c r="C1687" s="94"/>
      <c r="D1687" s="96"/>
      <c r="E1687" s="96"/>
      <c r="F1687" s="96"/>
      <c r="G1687" s="96"/>
      <c r="H1687" s="96"/>
      <c r="I1687" s="96"/>
      <c r="J1687" s="271"/>
    </row>
    <row r="1688" spans="1:10">
      <c r="A1688" s="84"/>
      <c r="B1688" s="93" t="s">
        <v>231</v>
      </c>
      <c r="C1688" s="94"/>
      <c r="D1688" s="96"/>
      <c r="E1688" s="96"/>
      <c r="F1688" s="96"/>
      <c r="G1688" s="96"/>
      <c r="H1688" s="96"/>
      <c r="I1688" s="96"/>
      <c r="J1688" s="271"/>
    </row>
    <row r="1689" spans="1:10">
      <c r="A1689" s="84"/>
      <c r="B1689" s="93" t="s">
        <v>231</v>
      </c>
      <c r="C1689" s="94"/>
      <c r="D1689" s="96"/>
      <c r="E1689" s="96"/>
      <c r="F1689" s="96"/>
      <c r="G1689" s="96"/>
      <c r="H1689" s="96"/>
      <c r="I1689" s="96"/>
      <c r="J1689" s="271"/>
    </row>
    <row r="1690" spans="1:10">
      <c r="A1690" s="84"/>
      <c r="B1690" s="93" t="s">
        <v>231</v>
      </c>
      <c r="C1690" s="94"/>
      <c r="D1690" s="96"/>
      <c r="E1690" s="96"/>
      <c r="F1690" s="96"/>
      <c r="G1690" s="96"/>
      <c r="H1690" s="96"/>
      <c r="I1690" s="96"/>
      <c r="J1690" s="271"/>
    </row>
    <row r="1691" spans="1:10">
      <c r="A1691" s="84"/>
      <c r="B1691" s="89"/>
      <c r="C1691" s="97"/>
      <c r="D1691" s="91"/>
      <c r="E1691" s="91"/>
      <c r="F1691" s="91"/>
      <c r="G1691" s="91" t="s">
        <v>290</v>
      </c>
      <c r="H1691" s="91"/>
      <c r="I1691" s="91"/>
      <c r="J1691" s="99">
        <f>+SUBTOTAL(9,J1684:J1690)</f>
        <v>0</v>
      </c>
    </row>
    <row r="1692" spans="1:10">
      <c r="A1692" s="84"/>
      <c r="B1692" s="89" t="s">
        <v>291</v>
      </c>
      <c r="C1692" s="97"/>
      <c r="D1692" s="91"/>
      <c r="E1692" s="91"/>
      <c r="F1692" s="91"/>
      <c r="G1692" s="91"/>
      <c r="H1692" s="91"/>
      <c r="I1692" s="91"/>
      <c r="J1692" s="99">
        <f>+SUBTOTAL(9,J1666:J1690)</f>
        <v>104.41</v>
      </c>
    </row>
    <row r="1693" spans="1:10">
      <c r="A1693" s="84"/>
      <c r="B1693" s="89" t="s">
        <v>292</v>
      </c>
      <c r="C1693" s="97"/>
      <c r="D1693" s="91">
        <v>0</v>
      </c>
      <c r="E1693" s="91"/>
      <c r="F1693" s="91"/>
      <c r="G1693" s="91"/>
      <c r="H1693" s="91"/>
      <c r="I1693" s="91"/>
      <c r="J1693" s="99">
        <f>+ROUND(J1692*D1693/100,2)</f>
        <v>0</v>
      </c>
    </row>
    <row r="1694" spans="1:10" ht="14.4" thickBot="1">
      <c r="A1694" s="84"/>
      <c r="B1694" s="89" t="s">
        <v>293</v>
      </c>
      <c r="C1694" s="97"/>
      <c r="D1694" s="91"/>
      <c r="E1694" s="91"/>
      <c r="F1694" s="91"/>
      <c r="G1694" s="91"/>
      <c r="H1694" s="91"/>
      <c r="I1694" s="91"/>
      <c r="J1694" s="99">
        <f>+J1692+ J1693</f>
        <v>104.41</v>
      </c>
    </row>
    <row r="1695" spans="1:10">
      <c r="A1695" s="84"/>
      <c r="B1695" s="85" t="s">
        <v>294</v>
      </c>
      <c r="C1695" s="86"/>
      <c r="D1695" s="88"/>
      <c r="E1695" s="88"/>
      <c r="F1695" s="88" t="s">
        <v>295</v>
      </c>
      <c r="G1695" s="88"/>
      <c r="H1695" s="88"/>
      <c r="I1695" s="88" t="s">
        <v>296</v>
      </c>
      <c r="J1695" s="270"/>
    </row>
    <row r="1696" spans="1:10">
      <c r="A1696" s="84"/>
      <c r="B1696" s="93" t="s">
        <v>297</v>
      </c>
      <c r="C1696" s="84"/>
      <c r="D1696" s="95"/>
      <c r="E1696" s="95"/>
      <c r="F1696" s="95" t="s">
        <v>298</v>
      </c>
      <c r="G1696" s="95"/>
      <c r="H1696" s="95"/>
      <c r="I1696" s="95"/>
      <c r="J1696" s="276"/>
    </row>
    <row r="1697" spans="1:10">
      <c r="A1697" s="84"/>
      <c r="B1697" s="93" t="s">
        <v>299</v>
      </c>
      <c r="C1697" s="84"/>
      <c r="D1697" s="95"/>
      <c r="E1697" s="95"/>
      <c r="F1697" s="95" t="s">
        <v>300</v>
      </c>
      <c r="G1697" s="95"/>
      <c r="H1697" s="95"/>
      <c r="I1697" s="95"/>
      <c r="J1697" s="276"/>
    </row>
    <row r="1698" spans="1:10" ht="14.4" thickBot="1">
      <c r="A1698" s="84"/>
      <c r="B1698" s="100" t="s">
        <v>301</v>
      </c>
      <c r="C1698" s="84"/>
      <c r="D1698" s="95"/>
      <c r="E1698" s="95"/>
      <c r="F1698" s="95"/>
      <c r="G1698" s="95"/>
      <c r="H1698" s="95"/>
      <c r="I1698" s="95"/>
      <c r="J1698" s="277"/>
    </row>
    <row r="1699" spans="1:10">
      <c r="A1699" s="84"/>
      <c r="B1699" s="86"/>
      <c r="C1699" s="86"/>
      <c r="D1699" s="88"/>
      <c r="E1699" s="88"/>
      <c r="F1699" s="88"/>
      <c r="G1699" s="88"/>
      <c r="H1699" s="88"/>
      <c r="I1699" s="88"/>
      <c r="J1699" s="88"/>
    </row>
    <row r="1700" spans="1:10" ht="14.4" thickBot="1">
      <c r="A1700" s="84"/>
      <c r="B1700" s="84"/>
      <c r="C1700" s="84"/>
      <c r="D1700" s="95"/>
      <c r="E1700" s="95"/>
      <c r="F1700" s="95"/>
      <c r="G1700" s="95"/>
      <c r="H1700" s="95"/>
      <c r="I1700" s="95"/>
      <c r="J1700" s="95"/>
    </row>
    <row r="1701" spans="1:10">
      <c r="A1701" s="84"/>
      <c r="B1701" s="85"/>
      <c r="C1701" s="86"/>
      <c r="D1701" s="87" t="s">
        <v>227</v>
      </c>
      <c r="E1701" s="87"/>
      <c r="F1701" s="87"/>
      <c r="G1701" s="88"/>
      <c r="H1701" s="88"/>
      <c r="I1701" s="88"/>
      <c r="J1701" s="270"/>
    </row>
    <row r="1702" spans="1:10">
      <c r="A1702" s="84"/>
      <c r="B1702" s="89" t="s">
        <v>228</v>
      </c>
      <c r="C1702" s="90" t="s">
        <v>92</v>
      </c>
      <c r="D1702" s="91"/>
      <c r="E1702" s="91"/>
      <c r="F1702" s="91"/>
      <c r="G1702" s="91"/>
      <c r="H1702" s="92" t="s">
        <v>229</v>
      </c>
      <c r="I1702" s="91"/>
      <c r="J1702" s="99" t="s">
        <v>230</v>
      </c>
    </row>
    <row r="1703" spans="1:10">
      <c r="A1703" s="84"/>
      <c r="B1703" s="93" t="s">
        <v>649</v>
      </c>
      <c r="C1703" s="94" t="s">
        <v>651</v>
      </c>
      <c r="D1703" s="95"/>
      <c r="E1703" s="95"/>
      <c r="F1703" s="95"/>
      <c r="G1703" s="95"/>
      <c r="H1703" s="96" t="s">
        <v>233</v>
      </c>
      <c r="I1703" s="95"/>
      <c r="J1703" s="271" t="s">
        <v>375</v>
      </c>
    </row>
    <row r="1704" spans="1:10">
      <c r="A1704" s="84"/>
      <c r="B1704" s="89"/>
      <c r="C1704" s="90"/>
      <c r="D1704" s="91"/>
      <c r="E1704" s="92"/>
      <c r="F1704" s="92" t="s">
        <v>235</v>
      </c>
      <c r="G1704" s="92"/>
      <c r="H1704" s="92" t="s">
        <v>236</v>
      </c>
      <c r="I1704" s="92"/>
      <c r="J1704" s="99" t="s">
        <v>237</v>
      </c>
    </row>
    <row r="1705" spans="1:10">
      <c r="A1705" s="84"/>
      <c r="B1705" s="93" t="s">
        <v>228</v>
      </c>
      <c r="C1705" s="94" t="s">
        <v>238</v>
      </c>
      <c r="D1705" s="95"/>
      <c r="E1705" s="96" t="s">
        <v>239</v>
      </c>
      <c r="F1705" s="92" t="s">
        <v>240</v>
      </c>
      <c r="G1705" s="92" t="s">
        <v>241</v>
      </c>
      <c r="H1705" s="92" t="s">
        <v>240</v>
      </c>
      <c r="I1705" s="272" t="s">
        <v>241</v>
      </c>
      <c r="J1705" s="271" t="s">
        <v>242</v>
      </c>
    </row>
    <row r="1706" spans="1:10">
      <c r="A1706" s="84"/>
      <c r="B1706" s="89" t="s">
        <v>231</v>
      </c>
      <c r="C1706" s="90"/>
      <c r="D1706" s="91"/>
      <c r="E1706" s="92"/>
      <c r="F1706" s="92"/>
      <c r="G1706" s="92"/>
      <c r="H1706" s="92"/>
      <c r="I1706" s="92"/>
      <c r="J1706" s="99"/>
    </row>
    <row r="1707" spans="1:10">
      <c r="A1707" s="84"/>
      <c r="B1707" s="93" t="s">
        <v>231</v>
      </c>
      <c r="C1707" s="94"/>
      <c r="D1707" s="95"/>
      <c r="E1707" s="96"/>
      <c r="F1707" s="96"/>
      <c r="G1707" s="96"/>
      <c r="H1707" s="96"/>
      <c r="I1707" s="96"/>
      <c r="J1707" s="271"/>
    </row>
    <row r="1708" spans="1:10">
      <c r="A1708" s="84"/>
      <c r="B1708" s="93" t="s">
        <v>231</v>
      </c>
      <c r="C1708" s="94"/>
      <c r="D1708" s="95"/>
      <c r="E1708" s="96"/>
      <c r="F1708" s="96"/>
      <c r="G1708" s="96"/>
      <c r="H1708" s="96"/>
      <c r="I1708" s="96"/>
      <c r="J1708" s="271"/>
    </row>
    <row r="1709" spans="1:10">
      <c r="A1709" s="84"/>
      <c r="B1709" s="93" t="s">
        <v>231</v>
      </c>
      <c r="C1709" s="94"/>
      <c r="D1709" s="95"/>
      <c r="E1709" s="96"/>
      <c r="F1709" s="96"/>
      <c r="G1709" s="96"/>
      <c r="H1709" s="96"/>
      <c r="I1709" s="96"/>
      <c r="J1709" s="271"/>
    </row>
    <row r="1710" spans="1:10">
      <c r="A1710" s="84"/>
      <c r="B1710" s="93" t="s">
        <v>231</v>
      </c>
      <c r="C1710" s="94"/>
      <c r="D1710" s="95"/>
      <c r="E1710" s="96"/>
      <c r="F1710" s="96"/>
      <c r="G1710" s="96"/>
      <c r="H1710" s="96"/>
      <c r="I1710" s="96"/>
      <c r="J1710" s="271"/>
    </row>
    <row r="1711" spans="1:10">
      <c r="A1711" s="84"/>
      <c r="B1711" s="93" t="s">
        <v>231</v>
      </c>
      <c r="C1711" s="94"/>
      <c r="D1711" s="95"/>
      <c r="E1711" s="96"/>
      <c r="F1711" s="96"/>
      <c r="G1711" s="96"/>
      <c r="H1711" s="96"/>
      <c r="I1711" s="96"/>
      <c r="J1711" s="271"/>
    </row>
    <row r="1712" spans="1:10">
      <c r="A1712" s="84"/>
      <c r="B1712" s="93" t="s">
        <v>231</v>
      </c>
      <c r="C1712" s="94"/>
      <c r="D1712" s="95"/>
      <c r="E1712" s="96"/>
      <c r="F1712" s="96"/>
      <c r="G1712" s="96"/>
      <c r="H1712" s="96"/>
      <c r="I1712" s="96"/>
      <c r="J1712" s="271"/>
    </row>
    <row r="1713" spans="1:10">
      <c r="A1713" s="84"/>
      <c r="B1713" s="89"/>
      <c r="C1713" s="97"/>
      <c r="D1713" s="91"/>
      <c r="E1713" s="91"/>
      <c r="F1713" s="91"/>
      <c r="G1713" s="91" t="s">
        <v>249</v>
      </c>
      <c r="H1713" s="91"/>
      <c r="I1713" s="91"/>
      <c r="J1713" s="99">
        <f>+SUBTOTAL(9,J1706:J1712)</f>
        <v>0</v>
      </c>
    </row>
    <row r="1714" spans="1:10">
      <c r="A1714" s="84"/>
      <c r="B1714" s="89" t="s">
        <v>228</v>
      </c>
      <c r="C1714" s="90" t="s">
        <v>250</v>
      </c>
      <c r="D1714" s="91"/>
      <c r="E1714" s="91"/>
      <c r="F1714" s="91"/>
      <c r="G1714" s="91"/>
      <c r="H1714" s="92" t="s">
        <v>239</v>
      </c>
      <c r="I1714" s="92" t="s">
        <v>251</v>
      </c>
      <c r="J1714" s="99" t="s">
        <v>252</v>
      </c>
    </row>
    <row r="1715" spans="1:10">
      <c r="A1715" s="84"/>
      <c r="B1715" s="89" t="s">
        <v>231</v>
      </c>
      <c r="C1715" s="90"/>
      <c r="D1715" s="91"/>
      <c r="E1715" s="91"/>
      <c r="F1715" s="91"/>
      <c r="G1715" s="91"/>
      <c r="H1715" s="92"/>
      <c r="I1715" s="92"/>
      <c r="J1715" s="99"/>
    </row>
    <row r="1716" spans="1:10">
      <c r="A1716" s="84"/>
      <c r="B1716" s="93" t="s">
        <v>231</v>
      </c>
      <c r="C1716" s="94"/>
      <c r="D1716" s="95"/>
      <c r="E1716" s="95"/>
      <c r="F1716" s="95"/>
      <c r="G1716" s="95"/>
      <c r="H1716" s="96"/>
      <c r="I1716" s="96"/>
      <c r="J1716" s="271"/>
    </row>
    <row r="1717" spans="1:10">
      <c r="A1717" s="84"/>
      <c r="B1717" s="93" t="s">
        <v>231</v>
      </c>
      <c r="C1717" s="94"/>
      <c r="D1717" s="95"/>
      <c r="E1717" s="95"/>
      <c r="F1717" s="95"/>
      <c r="G1717" s="95"/>
      <c r="H1717" s="96"/>
      <c r="I1717" s="96"/>
      <c r="J1717" s="271"/>
    </row>
    <row r="1718" spans="1:10">
      <c r="A1718" s="84"/>
      <c r="B1718" s="93" t="s">
        <v>231</v>
      </c>
      <c r="C1718" s="94"/>
      <c r="D1718" s="95"/>
      <c r="E1718" s="95"/>
      <c r="F1718" s="95"/>
      <c r="G1718" s="95"/>
      <c r="H1718" s="96"/>
      <c r="I1718" s="96"/>
      <c r="J1718" s="271"/>
    </row>
    <row r="1719" spans="1:10">
      <c r="A1719" s="84"/>
      <c r="B1719" s="93" t="s">
        <v>231</v>
      </c>
      <c r="C1719" s="94"/>
      <c r="D1719" s="95"/>
      <c r="E1719" s="95"/>
      <c r="F1719" s="95"/>
      <c r="G1719" s="95"/>
      <c r="H1719" s="96"/>
      <c r="I1719" s="96"/>
      <c r="J1719" s="271"/>
    </row>
    <row r="1720" spans="1:10">
      <c r="A1720" s="84"/>
      <c r="B1720" s="93" t="s">
        <v>231</v>
      </c>
      <c r="C1720" s="94"/>
      <c r="D1720" s="95"/>
      <c r="E1720" s="95"/>
      <c r="F1720" s="95"/>
      <c r="G1720" s="95"/>
      <c r="H1720" s="96"/>
      <c r="I1720" s="96"/>
      <c r="J1720" s="271"/>
    </row>
    <row r="1721" spans="1:10">
      <c r="A1721" s="84"/>
      <c r="B1721" s="93" t="s">
        <v>231</v>
      </c>
      <c r="C1721" s="94"/>
      <c r="D1721" s="95"/>
      <c r="E1721" s="95"/>
      <c r="F1721" s="95"/>
      <c r="G1721" s="95"/>
      <c r="H1721" s="96"/>
      <c r="I1721" s="96"/>
      <c r="J1721" s="271"/>
    </row>
    <row r="1722" spans="1:10">
      <c r="A1722" s="84"/>
      <c r="B1722" s="89"/>
      <c r="C1722" s="97"/>
      <c r="D1722" s="91"/>
      <c r="E1722" s="91"/>
      <c r="F1722" s="91"/>
      <c r="G1722" s="91" t="s">
        <v>255</v>
      </c>
      <c r="H1722" s="91"/>
      <c r="I1722" s="91"/>
      <c r="J1722" s="99">
        <f>+SUBTOTAL(9,J1715:J1721)</f>
        <v>0</v>
      </c>
    </row>
    <row r="1723" spans="1:10">
      <c r="A1723" s="84"/>
      <c r="B1723" s="89"/>
      <c r="C1723" s="97"/>
      <c r="D1723" s="91"/>
      <c r="E1723" s="91"/>
      <c r="F1723" s="91" t="s">
        <v>256</v>
      </c>
      <c r="G1723" s="91"/>
      <c r="H1723" s="91"/>
      <c r="I1723" s="91">
        <v>0</v>
      </c>
      <c r="J1723" s="99">
        <f>+ROUND(I1723*J1722,2)</f>
        <v>0</v>
      </c>
    </row>
    <row r="1724" spans="1:10">
      <c r="A1724" s="84"/>
      <c r="B1724" s="89"/>
      <c r="C1724" s="97"/>
      <c r="D1724" s="91"/>
      <c r="E1724" s="91"/>
      <c r="F1724" s="91" t="s">
        <v>257</v>
      </c>
      <c r="G1724" s="91"/>
      <c r="H1724" s="91"/>
      <c r="I1724" s="91"/>
      <c r="J1724" s="99">
        <f>+SUBTOTAL(9,J1715:J1723)</f>
        <v>0</v>
      </c>
    </row>
    <row r="1725" spans="1:10">
      <c r="A1725" s="84"/>
      <c r="B1725" s="98"/>
      <c r="C1725" s="97"/>
      <c r="D1725" s="91"/>
      <c r="E1725" s="91"/>
      <c r="F1725" s="91"/>
      <c r="G1725" s="91" t="s">
        <v>258</v>
      </c>
      <c r="H1725" s="91"/>
      <c r="I1725" s="91"/>
      <c r="J1725" s="275">
        <f>+SUBTOTAL(9,J1706:J1724)</f>
        <v>0</v>
      </c>
    </row>
    <row r="1726" spans="1:10">
      <c r="A1726" s="84"/>
      <c r="B1726" s="98"/>
      <c r="C1726" s="97" t="s">
        <v>259</v>
      </c>
      <c r="D1726" s="91">
        <v>1</v>
      </c>
      <c r="E1726" s="91"/>
      <c r="F1726" s="91"/>
      <c r="G1726" s="91" t="s">
        <v>260</v>
      </c>
      <c r="H1726" s="91"/>
      <c r="I1726" s="91"/>
      <c r="J1726" s="275">
        <f>+ROUND(J1725/D1726,2)</f>
        <v>0</v>
      </c>
    </row>
    <row r="1727" spans="1:10">
      <c r="A1727" s="84"/>
      <c r="B1727" s="89" t="s">
        <v>228</v>
      </c>
      <c r="C1727" s="90" t="s">
        <v>261</v>
      </c>
      <c r="D1727" s="91"/>
      <c r="E1727" s="91"/>
      <c r="F1727" s="91"/>
      <c r="G1727" s="92" t="s">
        <v>230</v>
      </c>
      <c r="H1727" s="92" t="s">
        <v>262</v>
      </c>
      <c r="I1727" s="92" t="s">
        <v>263</v>
      </c>
      <c r="J1727" s="99" t="s">
        <v>264</v>
      </c>
    </row>
    <row r="1728" spans="1:10">
      <c r="A1728" s="84"/>
      <c r="B1728" s="89" t="s">
        <v>465</v>
      </c>
      <c r="C1728" s="90" t="s">
        <v>466</v>
      </c>
      <c r="D1728" s="91"/>
      <c r="E1728" s="91"/>
      <c r="F1728" s="91"/>
      <c r="G1728" s="92" t="s">
        <v>332</v>
      </c>
      <c r="H1728" s="92">
        <v>11.49</v>
      </c>
      <c r="I1728" s="92">
        <v>1.05383</v>
      </c>
      <c r="J1728" s="99">
        <f>+ROUND(H1728*I1728,2)</f>
        <v>12.11</v>
      </c>
    </row>
    <row r="1729" spans="1:10">
      <c r="A1729" s="84"/>
      <c r="B1729" s="93" t="s">
        <v>652</v>
      </c>
      <c r="C1729" s="94" t="s">
        <v>653</v>
      </c>
      <c r="D1729" s="95"/>
      <c r="E1729" s="95"/>
      <c r="F1729" s="95"/>
      <c r="G1729" s="96" t="s">
        <v>270</v>
      </c>
      <c r="H1729" s="96">
        <v>30.45</v>
      </c>
      <c r="I1729" s="96">
        <v>1.0499999999999999E-3</v>
      </c>
      <c r="J1729" s="271">
        <f>+ROUND(H1729*I1729,2)</f>
        <v>0.03</v>
      </c>
    </row>
    <row r="1730" spans="1:10">
      <c r="A1730" s="84"/>
      <c r="B1730" s="93" t="s">
        <v>231</v>
      </c>
      <c r="C1730" s="94"/>
      <c r="D1730" s="95"/>
      <c r="E1730" s="95"/>
      <c r="F1730" s="95"/>
      <c r="G1730" s="96"/>
      <c r="H1730" s="96"/>
      <c r="I1730" s="96"/>
      <c r="J1730" s="271"/>
    </row>
    <row r="1731" spans="1:10">
      <c r="A1731" s="84"/>
      <c r="B1731" s="93" t="s">
        <v>231</v>
      </c>
      <c r="C1731" s="94"/>
      <c r="D1731" s="95"/>
      <c r="E1731" s="95"/>
      <c r="F1731" s="95"/>
      <c r="G1731" s="96"/>
      <c r="H1731" s="96"/>
      <c r="I1731" s="96"/>
      <c r="J1731" s="271"/>
    </row>
    <row r="1732" spans="1:10">
      <c r="A1732" s="84"/>
      <c r="B1732" s="93" t="s">
        <v>231</v>
      </c>
      <c r="C1732" s="94"/>
      <c r="D1732" s="95"/>
      <c r="E1732" s="95"/>
      <c r="F1732" s="95"/>
      <c r="G1732" s="96"/>
      <c r="H1732" s="96"/>
      <c r="I1732" s="96"/>
      <c r="J1732" s="271"/>
    </row>
    <row r="1733" spans="1:10">
      <c r="A1733" s="84"/>
      <c r="B1733" s="93" t="s">
        <v>231</v>
      </c>
      <c r="C1733" s="94"/>
      <c r="D1733" s="95"/>
      <c r="E1733" s="95"/>
      <c r="F1733" s="95"/>
      <c r="G1733" s="96"/>
      <c r="H1733" s="96"/>
      <c r="I1733" s="96"/>
      <c r="J1733" s="271"/>
    </row>
    <row r="1734" spans="1:10">
      <c r="A1734" s="84"/>
      <c r="B1734" s="93" t="s">
        <v>231</v>
      </c>
      <c r="C1734" s="94"/>
      <c r="D1734" s="95"/>
      <c r="E1734" s="95"/>
      <c r="F1734" s="95"/>
      <c r="G1734" s="96"/>
      <c r="H1734" s="96"/>
      <c r="I1734" s="96"/>
      <c r="J1734" s="271"/>
    </row>
    <row r="1735" spans="1:10">
      <c r="A1735" s="84"/>
      <c r="B1735" s="89"/>
      <c r="C1735" s="97"/>
      <c r="D1735" s="91"/>
      <c r="E1735" s="91"/>
      <c r="F1735" s="91"/>
      <c r="G1735" s="91" t="s">
        <v>275</v>
      </c>
      <c r="H1735" s="91"/>
      <c r="I1735" s="91"/>
      <c r="J1735" s="99">
        <f>+SUBTOTAL(9,J1728:J1734)</f>
        <v>12.139999999999999</v>
      </c>
    </row>
    <row r="1736" spans="1:10">
      <c r="A1736" s="84"/>
      <c r="B1736" s="89" t="s">
        <v>228</v>
      </c>
      <c r="C1736" s="90" t="s">
        <v>276</v>
      </c>
      <c r="D1736" s="91"/>
      <c r="E1736" s="91"/>
      <c r="F1736" s="91"/>
      <c r="G1736" s="92" t="s">
        <v>230</v>
      </c>
      <c r="H1736" s="92" t="s">
        <v>262</v>
      </c>
      <c r="I1736" s="92" t="s">
        <v>263</v>
      </c>
      <c r="J1736" s="99" t="s">
        <v>264</v>
      </c>
    </row>
    <row r="1737" spans="1:10">
      <c r="A1737" s="84"/>
      <c r="B1737" s="89" t="s">
        <v>605</v>
      </c>
      <c r="C1737" s="90" t="s">
        <v>606</v>
      </c>
      <c r="D1737" s="91"/>
      <c r="E1737" s="91"/>
      <c r="F1737" s="91"/>
      <c r="G1737" s="92" t="s">
        <v>386</v>
      </c>
      <c r="H1737" s="92">
        <v>1.35</v>
      </c>
      <c r="I1737" s="92">
        <v>0.21173</v>
      </c>
      <c r="J1737" s="99">
        <f>+ROUND(H1737*I1737,2)</f>
        <v>0.28999999999999998</v>
      </c>
    </row>
    <row r="1738" spans="1:10">
      <c r="A1738" s="84"/>
      <c r="B1738" s="93" t="s">
        <v>609</v>
      </c>
      <c r="C1738" s="94" t="s">
        <v>610</v>
      </c>
      <c r="D1738" s="95"/>
      <c r="E1738" s="95"/>
      <c r="F1738" s="95"/>
      <c r="G1738" s="96" t="s">
        <v>332</v>
      </c>
      <c r="H1738" s="96">
        <v>102.22</v>
      </c>
      <c r="I1738" s="96">
        <v>1.123E-2</v>
      </c>
      <c r="J1738" s="271">
        <f>+ROUND(H1738*I1738,2)</f>
        <v>1.1499999999999999</v>
      </c>
    </row>
    <row r="1739" spans="1:10">
      <c r="A1739" s="84"/>
      <c r="B1739" s="93" t="s">
        <v>231</v>
      </c>
      <c r="C1739" s="94"/>
      <c r="D1739" s="95"/>
      <c r="E1739" s="95"/>
      <c r="F1739" s="95"/>
      <c r="G1739" s="96"/>
      <c r="H1739" s="96"/>
      <c r="I1739" s="96"/>
      <c r="J1739" s="271"/>
    </row>
    <row r="1740" spans="1:10">
      <c r="A1740" s="84"/>
      <c r="B1740" s="93" t="s">
        <v>231</v>
      </c>
      <c r="C1740" s="94"/>
      <c r="D1740" s="95"/>
      <c r="E1740" s="95"/>
      <c r="F1740" s="95"/>
      <c r="G1740" s="96"/>
      <c r="H1740" s="96"/>
      <c r="I1740" s="96"/>
      <c r="J1740" s="271"/>
    </row>
    <row r="1741" spans="1:10">
      <c r="A1741" s="84"/>
      <c r="B1741" s="93" t="s">
        <v>231</v>
      </c>
      <c r="C1741" s="94"/>
      <c r="D1741" s="95"/>
      <c r="E1741" s="95"/>
      <c r="F1741" s="95"/>
      <c r="G1741" s="96"/>
      <c r="H1741" s="96"/>
      <c r="I1741" s="96"/>
      <c r="J1741" s="271"/>
    </row>
    <row r="1742" spans="1:10">
      <c r="A1742" s="84"/>
      <c r="B1742" s="89"/>
      <c r="C1742" s="97"/>
      <c r="D1742" s="91"/>
      <c r="E1742" s="91"/>
      <c r="F1742" s="91"/>
      <c r="G1742" s="91" t="s">
        <v>279</v>
      </c>
      <c r="H1742" s="91"/>
      <c r="I1742" s="91"/>
      <c r="J1742" s="99">
        <f>+SUBTOTAL(9,J1737:J1741)</f>
        <v>1.44</v>
      </c>
    </row>
    <row r="1743" spans="1:10">
      <c r="A1743" s="84"/>
      <c r="B1743" s="89" t="s">
        <v>228</v>
      </c>
      <c r="C1743" s="90" t="s">
        <v>280</v>
      </c>
      <c r="D1743" s="92" t="s">
        <v>281</v>
      </c>
      <c r="E1743" s="92" t="s">
        <v>282</v>
      </c>
      <c r="F1743" s="92" t="s">
        <v>283</v>
      </c>
      <c r="G1743" s="92" t="s">
        <v>284</v>
      </c>
      <c r="H1743" s="92" t="s">
        <v>285</v>
      </c>
      <c r="I1743" s="92" t="s">
        <v>263</v>
      </c>
      <c r="J1743" s="99" t="s">
        <v>286</v>
      </c>
    </row>
    <row r="1744" spans="1:10">
      <c r="A1744" s="84"/>
      <c r="B1744" s="89" t="s">
        <v>479</v>
      </c>
      <c r="C1744" s="90" t="s">
        <v>480</v>
      </c>
      <c r="D1744" s="92" t="s">
        <v>289</v>
      </c>
      <c r="E1744" s="92">
        <v>0</v>
      </c>
      <c r="F1744" s="92">
        <v>56.58</v>
      </c>
      <c r="G1744" s="92">
        <v>56.58</v>
      </c>
      <c r="H1744" s="92">
        <v>0.74</v>
      </c>
      <c r="I1744" s="92">
        <v>1.0499999999999999E-3</v>
      </c>
      <c r="J1744" s="99">
        <f>+ROUND(G1744*H1744*I1744,2)</f>
        <v>0.04</v>
      </c>
    </row>
    <row r="1745" spans="1:10">
      <c r="A1745" s="84"/>
      <c r="B1745" s="93" t="s">
        <v>231</v>
      </c>
      <c r="C1745" s="94"/>
      <c r="D1745" s="96"/>
      <c r="E1745" s="96"/>
      <c r="F1745" s="96"/>
      <c r="G1745" s="96"/>
      <c r="H1745" s="96"/>
      <c r="I1745" s="96"/>
      <c r="J1745" s="271"/>
    </row>
    <row r="1746" spans="1:10">
      <c r="A1746" s="84"/>
      <c r="B1746" s="93" t="s">
        <v>231</v>
      </c>
      <c r="C1746" s="94"/>
      <c r="D1746" s="96"/>
      <c r="E1746" s="96"/>
      <c r="F1746" s="96"/>
      <c r="G1746" s="96"/>
      <c r="H1746" s="96"/>
      <c r="I1746" s="96"/>
      <c r="J1746" s="271"/>
    </row>
    <row r="1747" spans="1:10">
      <c r="A1747" s="84"/>
      <c r="B1747" s="93" t="s">
        <v>231</v>
      </c>
      <c r="C1747" s="94"/>
      <c r="D1747" s="96"/>
      <c r="E1747" s="96"/>
      <c r="F1747" s="96"/>
      <c r="G1747" s="96"/>
      <c r="H1747" s="96"/>
      <c r="I1747" s="96"/>
      <c r="J1747" s="271"/>
    </row>
    <row r="1748" spans="1:10">
      <c r="A1748" s="84"/>
      <c r="B1748" s="93" t="s">
        <v>231</v>
      </c>
      <c r="C1748" s="94"/>
      <c r="D1748" s="96"/>
      <c r="E1748" s="96"/>
      <c r="F1748" s="96"/>
      <c r="G1748" s="96"/>
      <c r="H1748" s="96"/>
      <c r="I1748" s="96"/>
      <c r="J1748" s="271"/>
    </row>
    <row r="1749" spans="1:10">
      <c r="A1749" s="84"/>
      <c r="B1749" s="93" t="s">
        <v>231</v>
      </c>
      <c r="C1749" s="94"/>
      <c r="D1749" s="96"/>
      <c r="E1749" s="96"/>
      <c r="F1749" s="96"/>
      <c r="G1749" s="96"/>
      <c r="H1749" s="96"/>
      <c r="I1749" s="96"/>
      <c r="J1749" s="271"/>
    </row>
    <row r="1750" spans="1:10">
      <c r="A1750" s="84"/>
      <c r="B1750" s="93" t="s">
        <v>231</v>
      </c>
      <c r="C1750" s="94"/>
      <c r="D1750" s="96"/>
      <c r="E1750" s="96"/>
      <c r="F1750" s="96"/>
      <c r="G1750" s="96"/>
      <c r="H1750" s="96"/>
      <c r="I1750" s="96"/>
      <c r="J1750" s="271"/>
    </row>
    <row r="1751" spans="1:10">
      <c r="A1751" s="84"/>
      <c r="B1751" s="89"/>
      <c r="C1751" s="97"/>
      <c r="D1751" s="91"/>
      <c r="E1751" s="91"/>
      <c r="F1751" s="91"/>
      <c r="G1751" s="91" t="s">
        <v>290</v>
      </c>
      <c r="H1751" s="91"/>
      <c r="I1751" s="91"/>
      <c r="J1751" s="99">
        <f>+SUBTOTAL(9,J1744:J1750)</f>
        <v>0.04</v>
      </c>
    </row>
    <row r="1752" spans="1:10">
      <c r="A1752" s="84"/>
      <c r="B1752" s="89" t="s">
        <v>291</v>
      </c>
      <c r="C1752" s="97"/>
      <c r="D1752" s="91"/>
      <c r="E1752" s="91"/>
      <c r="F1752" s="91"/>
      <c r="G1752" s="91"/>
      <c r="H1752" s="91"/>
      <c r="I1752" s="91"/>
      <c r="J1752" s="99">
        <f>+SUBTOTAL(9,J1726:J1750)</f>
        <v>13.619999999999997</v>
      </c>
    </row>
    <row r="1753" spans="1:10">
      <c r="A1753" s="84"/>
      <c r="B1753" s="89" t="s">
        <v>292</v>
      </c>
      <c r="C1753" s="97"/>
      <c r="D1753" s="91">
        <v>0</v>
      </c>
      <c r="E1753" s="91"/>
      <c r="F1753" s="91"/>
      <c r="G1753" s="91"/>
      <c r="H1753" s="91"/>
      <c r="I1753" s="91"/>
      <c r="J1753" s="99">
        <f>+ROUND(J1752*D1753/100,2)</f>
        <v>0</v>
      </c>
    </row>
    <row r="1754" spans="1:10" ht="14.4" thickBot="1">
      <c r="A1754" s="84"/>
      <c r="B1754" s="89" t="s">
        <v>293</v>
      </c>
      <c r="C1754" s="97"/>
      <c r="D1754" s="91"/>
      <c r="E1754" s="91"/>
      <c r="F1754" s="91"/>
      <c r="G1754" s="91"/>
      <c r="H1754" s="91"/>
      <c r="I1754" s="91"/>
      <c r="J1754" s="99">
        <f>+J1752+ J1753</f>
        <v>13.619999999999997</v>
      </c>
    </row>
    <row r="1755" spans="1:10">
      <c r="A1755" s="84"/>
      <c r="B1755" s="85" t="s">
        <v>294</v>
      </c>
      <c r="C1755" s="86"/>
      <c r="D1755" s="88"/>
      <c r="E1755" s="88"/>
      <c r="F1755" s="88" t="s">
        <v>295</v>
      </c>
      <c r="G1755" s="88"/>
      <c r="H1755" s="88"/>
      <c r="I1755" s="88" t="s">
        <v>296</v>
      </c>
      <c r="J1755" s="270"/>
    </row>
    <row r="1756" spans="1:10">
      <c r="A1756" s="84"/>
      <c r="B1756" s="93" t="s">
        <v>297</v>
      </c>
      <c r="C1756" s="84"/>
      <c r="D1756" s="95"/>
      <c r="E1756" s="95"/>
      <c r="F1756" s="95" t="s">
        <v>298</v>
      </c>
      <c r="G1756" s="95"/>
      <c r="H1756" s="95"/>
      <c r="I1756" s="95"/>
      <c r="J1756" s="276"/>
    </row>
    <row r="1757" spans="1:10">
      <c r="A1757" s="84"/>
      <c r="B1757" s="93" t="s">
        <v>299</v>
      </c>
      <c r="C1757" s="84"/>
      <c r="D1757" s="95"/>
      <c r="E1757" s="95"/>
      <c r="F1757" s="95" t="s">
        <v>300</v>
      </c>
      <c r="G1757" s="95"/>
      <c r="H1757" s="95"/>
      <c r="I1757" s="95"/>
      <c r="J1757" s="276"/>
    </row>
    <row r="1758" spans="1:10" ht="14.4" thickBot="1">
      <c r="A1758" s="84"/>
      <c r="B1758" s="100" t="s">
        <v>301</v>
      </c>
      <c r="C1758" s="84"/>
      <c r="D1758" s="95"/>
      <c r="E1758" s="95"/>
      <c r="F1758" s="95"/>
      <c r="G1758" s="95"/>
      <c r="H1758" s="95"/>
      <c r="I1758" s="95"/>
      <c r="J1758" s="277"/>
    </row>
    <row r="1759" spans="1:10">
      <c r="A1759" s="84"/>
      <c r="B1759" s="86"/>
      <c r="C1759" s="86"/>
      <c r="D1759" s="88"/>
      <c r="E1759" s="88"/>
      <c r="F1759" s="88"/>
      <c r="G1759" s="88"/>
      <c r="H1759" s="88"/>
      <c r="I1759" s="88"/>
      <c r="J1759" s="88"/>
    </row>
    <row r="1760" spans="1:10" ht="14.4" thickBot="1">
      <c r="A1760" s="84"/>
      <c r="B1760" s="84"/>
      <c r="C1760" s="84"/>
      <c r="D1760" s="95"/>
      <c r="E1760" s="95"/>
      <c r="F1760" s="95"/>
      <c r="G1760" s="95"/>
      <c r="H1760" s="95"/>
      <c r="I1760" s="95"/>
      <c r="J1760" s="95"/>
    </row>
    <row r="1761" spans="1:10">
      <c r="A1761" s="84"/>
      <c r="B1761" s="85"/>
      <c r="C1761" s="86"/>
      <c r="D1761" s="87" t="s">
        <v>227</v>
      </c>
      <c r="E1761" s="87"/>
      <c r="F1761" s="87"/>
      <c r="G1761" s="88"/>
      <c r="H1761" s="88"/>
      <c r="I1761" s="88"/>
      <c r="J1761" s="270"/>
    </row>
    <row r="1762" spans="1:10">
      <c r="A1762" s="84"/>
      <c r="B1762" s="89" t="s">
        <v>228</v>
      </c>
      <c r="C1762" s="90" t="s">
        <v>92</v>
      </c>
      <c r="D1762" s="91"/>
      <c r="E1762" s="91"/>
      <c r="F1762" s="91"/>
      <c r="G1762" s="91"/>
      <c r="H1762" s="92" t="s">
        <v>229</v>
      </c>
      <c r="I1762" s="91"/>
      <c r="J1762" s="99" t="s">
        <v>230</v>
      </c>
    </row>
    <row r="1763" spans="1:10">
      <c r="A1763" s="84"/>
      <c r="B1763" s="93" t="s">
        <v>231</v>
      </c>
      <c r="C1763" s="94" t="s">
        <v>654</v>
      </c>
      <c r="D1763" s="95"/>
      <c r="E1763" s="95"/>
      <c r="F1763" s="95"/>
      <c r="G1763" s="95"/>
      <c r="H1763" s="96" t="s">
        <v>233</v>
      </c>
      <c r="I1763" s="95"/>
      <c r="J1763" s="271" t="s">
        <v>375</v>
      </c>
    </row>
    <row r="1764" spans="1:10">
      <c r="A1764" s="84"/>
      <c r="B1764" s="89"/>
      <c r="C1764" s="90"/>
      <c r="D1764" s="91"/>
      <c r="E1764" s="92"/>
      <c r="F1764" s="92" t="s">
        <v>235</v>
      </c>
      <c r="G1764" s="92"/>
      <c r="H1764" s="92" t="s">
        <v>236</v>
      </c>
      <c r="I1764" s="92"/>
      <c r="J1764" s="99" t="s">
        <v>237</v>
      </c>
    </row>
    <row r="1765" spans="1:10">
      <c r="A1765" s="84"/>
      <c r="B1765" s="93" t="s">
        <v>228</v>
      </c>
      <c r="C1765" s="94" t="s">
        <v>238</v>
      </c>
      <c r="D1765" s="95"/>
      <c r="E1765" s="96" t="s">
        <v>239</v>
      </c>
      <c r="F1765" s="92" t="s">
        <v>240</v>
      </c>
      <c r="G1765" s="92" t="s">
        <v>241</v>
      </c>
      <c r="H1765" s="92" t="s">
        <v>240</v>
      </c>
      <c r="I1765" s="272" t="s">
        <v>241</v>
      </c>
      <c r="J1765" s="271" t="s">
        <v>242</v>
      </c>
    </row>
    <row r="1766" spans="1:10">
      <c r="A1766" s="84"/>
      <c r="B1766" s="273" t="s">
        <v>427</v>
      </c>
      <c r="C1766" s="90" t="s">
        <v>428</v>
      </c>
      <c r="D1766" s="91"/>
      <c r="E1766" s="92">
        <v>1</v>
      </c>
      <c r="F1766" s="92">
        <v>0.3</v>
      </c>
      <c r="G1766" s="92">
        <v>0.7</v>
      </c>
      <c r="H1766" s="92">
        <v>152.22</v>
      </c>
      <c r="I1766" s="92">
        <v>58.52</v>
      </c>
      <c r="J1766" s="99">
        <f>+ROUND(E1766* ((F1766*H1766) + (G1766*I1766)),2)</f>
        <v>86.63</v>
      </c>
    </row>
    <row r="1767" spans="1:10">
      <c r="A1767" s="84"/>
      <c r="B1767" s="93" t="s">
        <v>231</v>
      </c>
      <c r="C1767" s="94"/>
      <c r="D1767" s="95"/>
      <c r="E1767" s="96"/>
      <c r="F1767" s="96"/>
      <c r="G1767" s="96"/>
      <c r="H1767" s="96"/>
      <c r="I1767" s="96"/>
      <c r="J1767" s="271"/>
    </row>
    <row r="1768" spans="1:10">
      <c r="A1768" s="84"/>
      <c r="B1768" s="93" t="s">
        <v>231</v>
      </c>
      <c r="C1768" s="94"/>
      <c r="D1768" s="95"/>
      <c r="E1768" s="96"/>
      <c r="F1768" s="96"/>
      <c r="G1768" s="96"/>
      <c r="H1768" s="96"/>
      <c r="I1768" s="96"/>
      <c r="J1768" s="271"/>
    </row>
    <row r="1769" spans="1:10">
      <c r="A1769" s="84"/>
      <c r="B1769" s="93" t="s">
        <v>231</v>
      </c>
      <c r="C1769" s="94"/>
      <c r="D1769" s="95"/>
      <c r="E1769" s="96"/>
      <c r="F1769" s="96"/>
      <c r="G1769" s="96"/>
      <c r="H1769" s="96"/>
      <c r="I1769" s="96"/>
      <c r="J1769" s="271"/>
    </row>
    <row r="1770" spans="1:10">
      <c r="A1770" s="84"/>
      <c r="B1770" s="93" t="s">
        <v>231</v>
      </c>
      <c r="C1770" s="94"/>
      <c r="D1770" s="95"/>
      <c r="E1770" s="96"/>
      <c r="F1770" s="96"/>
      <c r="G1770" s="96"/>
      <c r="H1770" s="96"/>
      <c r="I1770" s="96"/>
      <c r="J1770" s="271"/>
    </row>
    <row r="1771" spans="1:10">
      <c r="A1771" s="84"/>
      <c r="B1771" s="93" t="s">
        <v>231</v>
      </c>
      <c r="C1771" s="94"/>
      <c r="D1771" s="95"/>
      <c r="E1771" s="96"/>
      <c r="F1771" s="96"/>
      <c r="G1771" s="96"/>
      <c r="H1771" s="96"/>
      <c r="I1771" s="96"/>
      <c r="J1771" s="271"/>
    </row>
    <row r="1772" spans="1:10">
      <c r="A1772" s="84"/>
      <c r="B1772" s="93" t="s">
        <v>231</v>
      </c>
      <c r="C1772" s="94"/>
      <c r="D1772" s="95"/>
      <c r="E1772" s="96"/>
      <c r="F1772" s="96"/>
      <c r="G1772" s="96"/>
      <c r="H1772" s="96"/>
      <c r="I1772" s="96"/>
      <c r="J1772" s="271"/>
    </row>
    <row r="1773" spans="1:10">
      <c r="A1773" s="84"/>
      <c r="B1773" s="89"/>
      <c r="C1773" s="97"/>
      <c r="D1773" s="91"/>
      <c r="E1773" s="91"/>
      <c r="F1773" s="91"/>
      <c r="G1773" s="91" t="s">
        <v>249</v>
      </c>
      <c r="H1773" s="91"/>
      <c r="I1773" s="91"/>
      <c r="J1773" s="99">
        <f>+SUBTOTAL(9,J1766:J1772)</f>
        <v>86.63</v>
      </c>
    </row>
    <row r="1774" spans="1:10">
      <c r="A1774" s="84"/>
      <c r="B1774" s="89" t="s">
        <v>228</v>
      </c>
      <c r="C1774" s="90" t="s">
        <v>250</v>
      </c>
      <c r="D1774" s="91"/>
      <c r="E1774" s="91"/>
      <c r="F1774" s="91"/>
      <c r="G1774" s="91"/>
      <c r="H1774" s="92" t="s">
        <v>239</v>
      </c>
      <c r="I1774" s="92" t="s">
        <v>251</v>
      </c>
      <c r="J1774" s="99" t="s">
        <v>252</v>
      </c>
    </row>
    <row r="1775" spans="1:10">
      <c r="A1775" s="84"/>
      <c r="B1775" s="89" t="s">
        <v>253</v>
      </c>
      <c r="C1775" s="90" t="s">
        <v>254</v>
      </c>
      <c r="D1775" s="91"/>
      <c r="E1775" s="91"/>
      <c r="F1775" s="91"/>
      <c r="G1775" s="91"/>
      <c r="H1775" s="92">
        <v>10</v>
      </c>
      <c r="I1775" s="92">
        <v>21.04</v>
      </c>
      <c r="J1775" s="99">
        <f>+ROUND(H1775*I1775,2)</f>
        <v>210.4</v>
      </c>
    </row>
    <row r="1776" spans="1:10">
      <c r="A1776" s="84"/>
      <c r="B1776" s="93" t="s">
        <v>231</v>
      </c>
      <c r="C1776" s="94"/>
      <c r="D1776" s="95"/>
      <c r="E1776" s="95"/>
      <c r="F1776" s="95"/>
      <c r="G1776" s="95"/>
      <c r="H1776" s="96"/>
      <c r="I1776" s="96"/>
      <c r="J1776" s="271"/>
    </row>
    <row r="1777" spans="1:10">
      <c r="A1777" s="84"/>
      <c r="B1777" s="93" t="s">
        <v>231</v>
      </c>
      <c r="C1777" s="94"/>
      <c r="D1777" s="95"/>
      <c r="E1777" s="95"/>
      <c r="F1777" s="95"/>
      <c r="G1777" s="95"/>
      <c r="H1777" s="96"/>
      <c r="I1777" s="96"/>
      <c r="J1777" s="271"/>
    </row>
    <row r="1778" spans="1:10">
      <c r="A1778" s="84"/>
      <c r="B1778" s="93" t="s">
        <v>231</v>
      </c>
      <c r="C1778" s="94"/>
      <c r="D1778" s="95"/>
      <c r="E1778" s="95"/>
      <c r="F1778" s="95"/>
      <c r="G1778" s="95"/>
      <c r="H1778" s="96"/>
      <c r="I1778" s="96"/>
      <c r="J1778" s="271"/>
    </row>
    <row r="1779" spans="1:10">
      <c r="A1779" s="84"/>
      <c r="B1779" s="93" t="s">
        <v>231</v>
      </c>
      <c r="C1779" s="94"/>
      <c r="D1779" s="95"/>
      <c r="E1779" s="95"/>
      <c r="F1779" s="95"/>
      <c r="G1779" s="95"/>
      <c r="H1779" s="96"/>
      <c r="I1779" s="96"/>
      <c r="J1779" s="271"/>
    </row>
    <row r="1780" spans="1:10">
      <c r="A1780" s="84"/>
      <c r="B1780" s="93" t="s">
        <v>231</v>
      </c>
      <c r="C1780" s="94"/>
      <c r="D1780" s="95"/>
      <c r="E1780" s="95"/>
      <c r="F1780" s="95"/>
      <c r="G1780" s="95"/>
      <c r="H1780" s="96"/>
      <c r="I1780" s="96"/>
      <c r="J1780" s="271"/>
    </row>
    <row r="1781" spans="1:10">
      <c r="A1781" s="84"/>
      <c r="B1781" s="93" t="s">
        <v>231</v>
      </c>
      <c r="C1781" s="94"/>
      <c r="D1781" s="95"/>
      <c r="E1781" s="95"/>
      <c r="F1781" s="95"/>
      <c r="G1781" s="95"/>
      <c r="H1781" s="96"/>
      <c r="I1781" s="96"/>
      <c r="J1781" s="271"/>
    </row>
    <row r="1782" spans="1:10">
      <c r="A1782" s="84"/>
      <c r="B1782" s="89"/>
      <c r="C1782" s="97"/>
      <c r="D1782" s="91"/>
      <c r="E1782" s="91"/>
      <c r="F1782" s="91"/>
      <c r="G1782" s="91" t="s">
        <v>255</v>
      </c>
      <c r="H1782" s="91"/>
      <c r="I1782" s="91"/>
      <c r="J1782" s="99">
        <f>+SUBTOTAL(9,J1775:J1781)</f>
        <v>210.4</v>
      </c>
    </row>
    <row r="1783" spans="1:10">
      <c r="A1783" s="84"/>
      <c r="B1783" s="89"/>
      <c r="C1783" s="97"/>
      <c r="D1783" s="91"/>
      <c r="E1783" s="91"/>
      <c r="F1783" s="91" t="s">
        <v>256</v>
      </c>
      <c r="G1783" s="91"/>
      <c r="H1783" s="91"/>
      <c r="I1783" s="91">
        <v>0</v>
      </c>
      <c r="J1783" s="99">
        <f>+ROUND(I1783*J1782,2)</f>
        <v>0</v>
      </c>
    </row>
    <row r="1784" spans="1:10">
      <c r="A1784" s="84"/>
      <c r="B1784" s="89"/>
      <c r="C1784" s="97"/>
      <c r="D1784" s="91"/>
      <c r="E1784" s="91"/>
      <c r="F1784" s="91" t="s">
        <v>257</v>
      </c>
      <c r="G1784" s="91"/>
      <c r="H1784" s="91"/>
      <c r="I1784" s="91"/>
      <c r="J1784" s="99">
        <f>+SUBTOTAL(9,J1775:J1783)</f>
        <v>210.4</v>
      </c>
    </row>
    <row r="1785" spans="1:10">
      <c r="A1785" s="84"/>
      <c r="B1785" s="98"/>
      <c r="C1785" s="97"/>
      <c r="D1785" s="91"/>
      <c r="E1785" s="91"/>
      <c r="F1785" s="91"/>
      <c r="G1785" s="91" t="s">
        <v>258</v>
      </c>
      <c r="H1785" s="91"/>
      <c r="I1785" s="91"/>
      <c r="J1785" s="275">
        <f>+SUBTOTAL(9,J1766:J1784)</f>
        <v>297.02999999999997</v>
      </c>
    </row>
    <row r="1786" spans="1:10">
      <c r="A1786" s="84"/>
      <c r="B1786" s="98"/>
      <c r="C1786" s="97" t="s">
        <v>259</v>
      </c>
      <c r="D1786" s="91">
        <v>100</v>
      </c>
      <c r="E1786" s="91"/>
      <c r="F1786" s="91"/>
      <c r="G1786" s="91" t="s">
        <v>260</v>
      </c>
      <c r="H1786" s="91"/>
      <c r="I1786" s="91"/>
      <c r="J1786" s="275">
        <f>+ROUND(J1785/D1786,2)</f>
        <v>2.97</v>
      </c>
    </row>
    <row r="1787" spans="1:10">
      <c r="A1787" s="84"/>
      <c r="B1787" s="89" t="s">
        <v>228</v>
      </c>
      <c r="C1787" s="90" t="s">
        <v>261</v>
      </c>
      <c r="D1787" s="91"/>
      <c r="E1787" s="91"/>
      <c r="F1787" s="91"/>
      <c r="G1787" s="92" t="s">
        <v>230</v>
      </c>
      <c r="H1787" s="92" t="s">
        <v>262</v>
      </c>
      <c r="I1787" s="92" t="s">
        <v>263</v>
      </c>
      <c r="J1787" s="99" t="s">
        <v>264</v>
      </c>
    </row>
    <row r="1788" spans="1:10">
      <c r="A1788" s="84"/>
      <c r="B1788" s="89" t="s">
        <v>655</v>
      </c>
      <c r="C1788" s="90" t="s">
        <v>656</v>
      </c>
      <c r="D1788" s="91"/>
      <c r="E1788" s="91"/>
      <c r="F1788" s="91"/>
      <c r="G1788" s="92" t="s">
        <v>332</v>
      </c>
      <c r="H1788" s="92">
        <v>0.57999999999999996</v>
      </c>
      <c r="I1788" s="92">
        <v>0.2</v>
      </c>
      <c r="J1788" s="99">
        <f>+ROUND(H1788*I1788,2)</f>
        <v>0.12</v>
      </c>
    </row>
    <row r="1789" spans="1:10">
      <c r="A1789" s="84"/>
      <c r="B1789" s="93" t="s">
        <v>657</v>
      </c>
      <c r="C1789" s="94" t="s">
        <v>658</v>
      </c>
      <c r="D1789" s="95"/>
      <c r="E1789" s="95"/>
      <c r="F1789" s="95"/>
      <c r="G1789" s="96" t="s">
        <v>337</v>
      </c>
      <c r="H1789" s="96">
        <v>3.87</v>
      </c>
      <c r="I1789" s="96">
        <v>3.8E-3</v>
      </c>
      <c r="J1789" s="271">
        <f>+ROUND(H1789*I1789,2)</f>
        <v>0.01</v>
      </c>
    </row>
    <row r="1790" spans="1:10">
      <c r="A1790" s="84"/>
      <c r="B1790" s="93" t="s">
        <v>659</v>
      </c>
      <c r="C1790" s="94" t="s">
        <v>660</v>
      </c>
      <c r="D1790" s="95"/>
      <c r="E1790" s="95"/>
      <c r="F1790" s="95"/>
      <c r="G1790" s="96" t="s">
        <v>270</v>
      </c>
      <c r="H1790" s="96">
        <v>30.45</v>
      </c>
      <c r="I1790" s="96">
        <v>2.0000000000000001E-4</v>
      </c>
      <c r="J1790" s="271">
        <f>+ROUND(H1790*I1790,2)</f>
        <v>0.01</v>
      </c>
    </row>
    <row r="1791" spans="1:10">
      <c r="A1791" s="84"/>
      <c r="B1791" s="93" t="s">
        <v>231</v>
      </c>
      <c r="C1791" s="94"/>
      <c r="D1791" s="95"/>
      <c r="E1791" s="95"/>
      <c r="F1791" s="95"/>
      <c r="G1791" s="96"/>
      <c r="H1791" s="96"/>
      <c r="I1791" s="96"/>
      <c r="J1791" s="271"/>
    </row>
    <row r="1792" spans="1:10">
      <c r="A1792" s="84"/>
      <c r="B1792" s="93" t="s">
        <v>231</v>
      </c>
      <c r="C1792" s="94"/>
      <c r="D1792" s="95"/>
      <c r="E1792" s="95"/>
      <c r="F1792" s="95"/>
      <c r="G1792" s="96"/>
      <c r="H1792" s="96"/>
      <c r="I1792" s="96"/>
      <c r="J1792" s="271"/>
    </row>
    <row r="1793" spans="1:10">
      <c r="A1793" s="84"/>
      <c r="B1793" s="93" t="s">
        <v>231</v>
      </c>
      <c r="C1793" s="94"/>
      <c r="D1793" s="95"/>
      <c r="E1793" s="95"/>
      <c r="F1793" s="95"/>
      <c r="G1793" s="96"/>
      <c r="H1793" s="96"/>
      <c r="I1793" s="96"/>
      <c r="J1793" s="271"/>
    </row>
    <row r="1794" spans="1:10">
      <c r="A1794" s="84"/>
      <c r="B1794" s="93" t="s">
        <v>231</v>
      </c>
      <c r="C1794" s="94"/>
      <c r="D1794" s="95"/>
      <c r="E1794" s="95"/>
      <c r="F1794" s="95"/>
      <c r="G1794" s="96"/>
      <c r="H1794" s="96"/>
      <c r="I1794" s="96"/>
      <c r="J1794" s="271"/>
    </row>
    <row r="1795" spans="1:10">
      <c r="A1795" s="84"/>
      <c r="B1795" s="89"/>
      <c r="C1795" s="97"/>
      <c r="D1795" s="91"/>
      <c r="E1795" s="91"/>
      <c r="F1795" s="91"/>
      <c r="G1795" s="91" t="s">
        <v>275</v>
      </c>
      <c r="H1795" s="91"/>
      <c r="I1795" s="91"/>
      <c r="J1795" s="99">
        <f>+SUBTOTAL(9,J1788:J1794)</f>
        <v>0.14000000000000001</v>
      </c>
    </row>
    <row r="1796" spans="1:10">
      <c r="A1796" s="84"/>
      <c r="B1796" s="89" t="s">
        <v>228</v>
      </c>
      <c r="C1796" s="90" t="s">
        <v>276</v>
      </c>
      <c r="D1796" s="91"/>
      <c r="E1796" s="91"/>
      <c r="F1796" s="91"/>
      <c r="G1796" s="92" t="s">
        <v>230</v>
      </c>
      <c r="H1796" s="92" t="s">
        <v>262</v>
      </c>
      <c r="I1796" s="92" t="s">
        <v>263</v>
      </c>
      <c r="J1796" s="99" t="s">
        <v>264</v>
      </c>
    </row>
    <row r="1797" spans="1:10">
      <c r="A1797" s="84"/>
      <c r="B1797" s="89" t="s">
        <v>231</v>
      </c>
      <c r="C1797" s="90"/>
      <c r="D1797" s="91"/>
      <c r="E1797" s="91"/>
      <c r="F1797" s="91"/>
      <c r="G1797" s="92"/>
      <c r="H1797" s="92"/>
      <c r="I1797" s="92"/>
      <c r="J1797" s="99"/>
    </row>
    <row r="1798" spans="1:10">
      <c r="A1798" s="84"/>
      <c r="B1798" s="93" t="s">
        <v>231</v>
      </c>
      <c r="C1798" s="94"/>
      <c r="D1798" s="95"/>
      <c r="E1798" s="95"/>
      <c r="F1798" s="95"/>
      <c r="G1798" s="96"/>
      <c r="H1798" s="96"/>
      <c r="I1798" s="96"/>
      <c r="J1798" s="271"/>
    </row>
    <row r="1799" spans="1:10">
      <c r="A1799" s="84"/>
      <c r="B1799" s="93" t="s">
        <v>231</v>
      </c>
      <c r="C1799" s="94"/>
      <c r="D1799" s="95"/>
      <c r="E1799" s="95"/>
      <c r="F1799" s="95"/>
      <c r="G1799" s="96"/>
      <c r="H1799" s="96"/>
      <c r="I1799" s="96"/>
      <c r="J1799" s="271"/>
    </row>
    <row r="1800" spans="1:10">
      <c r="A1800" s="84"/>
      <c r="B1800" s="93" t="s">
        <v>231</v>
      </c>
      <c r="C1800" s="94"/>
      <c r="D1800" s="95"/>
      <c r="E1800" s="95"/>
      <c r="F1800" s="95"/>
      <c r="G1800" s="96"/>
      <c r="H1800" s="96"/>
      <c r="I1800" s="96"/>
      <c r="J1800" s="271"/>
    </row>
    <row r="1801" spans="1:10">
      <c r="A1801" s="84"/>
      <c r="B1801" s="93" t="s">
        <v>231</v>
      </c>
      <c r="C1801" s="94"/>
      <c r="D1801" s="95"/>
      <c r="E1801" s="95"/>
      <c r="F1801" s="95"/>
      <c r="G1801" s="96"/>
      <c r="H1801" s="96"/>
      <c r="I1801" s="96"/>
      <c r="J1801" s="271"/>
    </row>
    <row r="1802" spans="1:10">
      <c r="A1802" s="84"/>
      <c r="B1802" s="89"/>
      <c r="C1802" s="97"/>
      <c r="D1802" s="91"/>
      <c r="E1802" s="91"/>
      <c r="F1802" s="91"/>
      <c r="G1802" s="91" t="s">
        <v>279</v>
      </c>
      <c r="H1802" s="91"/>
      <c r="I1802" s="91"/>
      <c r="J1802" s="99">
        <f>+SUBTOTAL(9,J1797:J1801)</f>
        <v>0</v>
      </c>
    </row>
    <row r="1803" spans="1:10">
      <c r="A1803" s="84"/>
      <c r="B1803" s="89" t="s">
        <v>228</v>
      </c>
      <c r="C1803" s="90" t="s">
        <v>280</v>
      </c>
      <c r="D1803" s="92" t="s">
        <v>281</v>
      </c>
      <c r="E1803" s="92" t="s">
        <v>282</v>
      </c>
      <c r="F1803" s="92" t="s">
        <v>283</v>
      </c>
      <c r="G1803" s="92" t="s">
        <v>284</v>
      </c>
      <c r="H1803" s="92" t="s">
        <v>285</v>
      </c>
      <c r="I1803" s="92" t="s">
        <v>263</v>
      </c>
      <c r="J1803" s="99" t="s">
        <v>286</v>
      </c>
    </row>
    <row r="1804" spans="1:10">
      <c r="A1804" s="84"/>
      <c r="B1804" s="89" t="s">
        <v>661</v>
      </c>
      <c r="C1804" s="90" t="s">
        <v>662</v>
      </c>
      <c r="D1804" s="92" t="s">
        <v>289</v>
      </c>
      <c r="E1804" s="92">
        <v>0</v>
      </c>
      <c r="F1804" s="92">
        <v>56.58</v>
      </c>
      <c r="G1804" s="92">
        <v>56.58</v>
      </c>
      <c r="H1804" s="92">
        <v>0.74</v>
      </c>
      <c r="I1804" s="92">
        <v>2.0000000000000001E-4</v>
      </c>
      <c r="J1804" s="99">
        <f>+ROUND(G1804*H1804*I1804,2)</f>
        <v>0.01</v>
      </c>
    </row>
    <row r="1805" spans="1:10">
      <c r="A1805" s="84"/>
      <c r="B1805" s="93" t="s">
        <v>231</v>
      </c>
      <c r="C1805" s="94"/>
      <c r="D1805" s="96"/>
      <c r="E1805" s="96"/>
      <c r="F1805" s="96"/>
      <c r="G1805" s="96"/>
      <c r="H1805" s="96"/>
      <c r="I1805" s="96"/>
      <c r="J1805" s="271"/>
    </row>
    <row r="1806" spans="1:10">
      <c r="A1806" s="84"/>
      <c r="B1806" s="93" t="s">
        <v>231</v>
      </c>
      <c r="C1806" s="94"/>
      <c r="D1806" s="96"/>
      <c r="E1806" s="96"/>
      <c r="F1806" s="96"/>
      <c r="G1806" s="96"/>
      <c r="H1806" s="96"/>
      <c r="I1806" s="96"/>
      <c r="J1806" s="271"/>
    </row>
    <row r="1807" spans="1:10">
      <c r="A1807" s="84"/>
      <c r="B1807" s="93" t="s">
        <v>231</v>
      </c>
      <c r="C1807" s="94"/>
      <c r="D1807" s="96"/>
      <c r="E1807" s="96"/>
      <c r="F1807" s="96"/>
      <c r="G1807" s="96"/>
      <c r="H1807" s="96"/>
      <c r="I1807" s="96"/>
      <c r="J1807" s="271"/>
    </row>
    <row r="1808" spans="1:10">
      <c r="A1808" s="84"/>
      <c r="B1808" s="93" t="s">
        <v>231</v>
      </c>
      <c r="C1808" s="94"/>
      <c r="D1808" s="96"/>
      <c r="E1808" s="96"/>
      <c r="F1808" s="96"/>
      <c r="G1808" s="96"/>
      <c r="H1808" s="96"/>
      <c r="I1808" s="96"/>
      <c r="J1808" s="271"/>
    </row>
    <row r="1809" spans="1:10">
      <c r="A1809" s="84"/>
      <c r="B1809" s="93" t="s">
        <v>231</v>
      </c>
      <c r="C1809" s="94"/>
      <c r="D1809" s="96"/>
      <c r="E1809" s="96"/>
      <c r="F1809" s="96"/>
      <c r="G1809" s="96"/>
      <c r="H1809" s="96"/>
      <c r="I1809" s="96"/>
      <c r="J1809" s="271"/>
    </row>
    <row r="1810" spans="1:10">
      <c r="A1810" s="84"/>
      <c r="B1810" s="93" t="s">
        <v>231</v>
      </c>
      <c r="C1810" s="94"/>
      <c r="D1810" s="96"/>
      <c r="E1810" s="96"/>
      <c r="F1810" s="96"/>
      <c r="G1810" s="96"/>
      <c r="H1810" s="96"/>
      <c r="I1810" s="96"/>
      <c r="J1810" s="271"/>
    </row>
    <row r="1811" spans="1:10">
      <c r="A1811" s="84"/>
      <c r="B1811" s="89"/>
      <c r="C1811" s="97"/>
      <c r="D1811" s="91"/>
      <c r="E1811" s="91"/>
      <c r="F1811" s="91"/>
      <c r="G1811" s="91" t="s">
        <v>290</v>
      </c>
      <c r="H1811" s="91"/>
      <c r="I1811" s="91"/>
      <c r="J1811" s="99">
        <f>+SUBTOTAL(9,J1804:J1810)</f>
        <v>0.01</v>
      </c>
    </row>
    <row r="1812" spans="1:10">
      <c r="A1812" s="84"/>
      <c r="B1812" s="89" t="s">
        <v>291</v>
      </c>
      <c r="C1812" s="97"/>
      <c r="D1812" s="91"/>
      <c r="E1812" s="91"/>
      <c r="F1812" s="91"/>
      <c r="G1812" s="91"/>
      <c r="H1812" s="91"/>
      <c r="I1812" s="91"/>
      <c r="J1812" s="99">
        <f>+SUBTOTAL(9,J1786:J1810)</f>
        <v>3.1199999999999997</v>
      </c>
    </row>
    <row r="1813" spans="1:10">
      <c r="A1813" s="84"/>
      <c r="B1813" s="89" t="s">
        <v>292</v>
      </c>
      <c r="C1813" s="97"/>
      <c r="D1813" s="91">
        <v>0</v>
      </c>
      <c r="E1813" s="91"/>
      <c r="F1813" s="91"/>
      <c r="G1813" s="91"/>
      <c r="H1813" s="91"/>
      <c r="I1813" s="91"/>
      <c r="J1813" s="99">
        <f>+ROUND(J1812*D1813/100,2)</f>
        <v>0</v>
      </c>
    </row>
    <row r="1814" spans="1:10" ht="14.4" thickBot="1">
      <c r="A1814" s="84"/>
      <c r="B1814" s="89" t="s">
        <v>293</v>
      </c>
      <c r="C1814" s="97"/>
      <c r="D1814" s="91"/>
      <c r="E1814" s="91"/>
      <c r="F1814" s="91"/>
      <c r="G1814" s="91"/>
      <c r="H1814" s="91"/>
      <c r="I1814" s="91"/>
      <c r="J1814" s="99">
        <f>+J1812+ J1813</f>
        <v>3.1199999999999997</v>
      </c>
    </row>
    <row r="1815" spans="1:10">
      <c r="A1815" s="84"/>
      <c r="B1815" s="85" t="s">
        <v>294</v>
      </c>
      <c r="C1815" s="86"/>
      <c r="D1815" s="88"/>
      <c r="E1815" s="88"/>
      <c r="F1815" s="88" t="s">
        <v>295</v>
      </c>
      <c r="G1815" s="88"/>
      <c r="H1815" s="88"/>
      <c r="I1815" s="88" t="s">
        <v>296</v>
      </c>
      <c r="J1815" s="270"/>
    </row>
    <row r="1816" spans="1:10">
      <c r="A1816" s="84"/>
      <c r="B1816" s="93" t="s">
        <v>297</v>
      </c>
      <c r="C1816" s="84"/>
      <c r="D1816" s="95"/>
      <c r="E1816" s="95"/>
      <c r="F1816" s="95" t="s">
        <v>298</v>
      </c>
      <c r="G1816" s="95"/>
      <c r="H1816" s="95"/>
      <c r="I1816" s="95"/>
      <c r="J1816" s="276"/>
    </row>
    <row r="1817" spans="1:10">
      <c r="A1817" s="84"/>
      <c r="B1817" s="93" t="s">
        <v>299</v>
      </c>
      <c r="C1817" s="84"/>
      <c r="D1817" s="95"/>
      <c r="E1817" s="95"/>
      <c r="F1817" s="95" t="s">
        <v>300</v>
      </c>
      <c r="G1817" s="95"/>
      <c r="H1817" s="95"/>
      <c r="I1817" s="95"/>
      <c r="J1817" s="276"/>
    </row>
    <row r="1818" spans="1:10" ht="14.4" thickBot="1">
      <c r="A1818" s="84"/>
      <c r="B1818" s="100" t="s">
        <v>301</v>
      </c>
      <c r="C1818" s="84"/>
      <c r="D1818" s="95"/>
      <c r="E1818" s="95"/>
      <c r="F1818" s="95"/>
      <c r="G1818" s="95"/>
      <c r="H1818" s="95"/>
      <c r="I1818" s="95"/>
      <c r="J1818" s="277"/>
    </row>
    <row r="1819" spans="1:10">
      <c r="A1819" s="84"/>
      <c r="B1819" s="86"/>
      <c r="C1819" s="86"/>
      <c r="D1819" s="88"/>
      <c r="E1819" s="88"/>
      <c r="F1819" s="88"/>
      <c r="G1819" s="88"/>
      <c r="H1819" s="88"/>
      <c r="I1819" s="88"/>
      <c r="J1819" s="88"/>
    </row>
    <row r="1820" spans="1:10" ht="14.4" thickBot="1">
      <c r="A1820" s="84"/>
      <c r="B1820" s="84"/>
      <c r="C1820" s="84"/>
      <c r="D1820" s="95"/>
      <c r="E1820" s="95"/>
      <c r="F1820" s="95"/>
      <c r="G1820" s="95"/>
      <c r="H1820" s="95"/>
      <c r="I1820" s="95"/>
      <c r="J1820" s="95"/>
    </row>
    <row r="1821" spans="1:10">
      <c r="A1821" s="84"/>
      <c r="B1821" s="85"/>
      <c r="C1821" s="86"/>
      <c r="D1821" s="87" t="s">
        <v>227</v>
      </c>
      <c r="E1821" s="87"/>
      <c r="F1821" s="87"/>
      <c r="G1821" s="88"/>
      <c r="H1821" s="88"/>
      <c r="I1821" s="88"/>
      <c r="J1821" s="270"/>
    </row>
    <row r="1822" spans="1:10">
      <c r="A1822" s="84"/>
      <c r="B1822" s="89" t="s">
        <v>228</v>
      </c>
      <c r="C1822" s="90" t="s">
        <v>92</v>
      </c>
      <c r="D1822" s="91"/>
      <c r="E1822" s="91"/>
      <c r="F1822" s="91"/>
      <c r="G1822" s="91"/>
      <c r="H1822" s="92" t="s">
        <v>229</v>
      </c>
      <c r="I1822" s="91"/>
      <c r="J1822" s="99" t="s">
        <v>230</v>
      </c>
    </row>
    <row r="1823" spans="1:10">
      <c r="A1823" s="84"/>
      <c r="B1823" s="93" t="s">
        <v>231</v>
      </c>
      <c r="C1823" s="94" t="s">
        <v>663</v>
      </c>
      <c r="D1823" s="95"/>
      <c r="E1823" s="95"/>
      <c r="F1823" s="95"/>
      <c r="G1823" s="95"/>
      <c r="H1823" s="96" t="s">
        <v>233</v>
      </c>
      <c r="I1823" s="95"/>
      <c r="J1823" s="271" t="s">
        <v>386</v>
      </c>
    </row>
    <row r="1824" spans="1:10">
      <c r="A1824" s="84"/>
      <c r="B1824" s="89"/>
      <c r="C1824" s="90"/>
      <c r="D1824" s="91"/>
      <c r="E1824" s="92"/>
      <c r="F1824" s="92" t="s">
        <v>235</v>
      </c>
      <c r="G1824" s="92"/>
      <c r="H1824" s="92" t="s">
        <v>236</v>
      </c>
      <c r="I1824" s="92"/>
      <c r="J1824" s="99" t="s">
        <v>237</v>
      </c>
    </row>
    <row r="1825" spans="1:10">
      <c r="A1825" s="84"/>
      <c r="B1825" s="93" t="s">
        <v>228</v>
      </c>
      <c r="C1825" s="94" t="s">
        <v>238</v>
      </c>
      <c r="D1825" s="95"/>
      <c r="E1825" s="96" t="s">
        <v>239</v>
      </c>
      <c r="F1825" s="92" t="s">
        <v>240</v>
      </c>
      <c r="G1825" s="92" t="s">
        <v>241</v>
      </c>
      <c r="H1825" s="92" t="s">
        <v>240</v>
      </c>
      <c r="I1825" s="272" t="s">
        <v>241</v>
      </c>
      <c r="J1825" s="271" t="s">
        <v>242</v>
      </c>
    </row>
    <row r="1826" spans="1:10">
      <c r="A1826" s="84"/>
      <c r="B1826" s="89" t="s">
        <v>231</v>
      </c>
      <c r="C1826" s="90"/>
      <c r="D1826" s="91"/>
      <c r="E1826" s="92"/>
      <c r="F1826" s="92"/>
      <c r="G1826" s="92"/>
      <c r="H1826" s="92"/>
      <c r="I1826" s="92"/>
      <c r="J1826" s="99"/>
    </row>
    <row r="1827" spans="1:10">
      <c r="A1827" s="84"/>
      <c r="B1827" s="93" t="s">
        <v>231</v>
      </c>
      <c r="C1827" s="94"/>
      <c r="D1827" s="95"/>
      <c r="E1827" s="96"/>
      <c r="F1827" s="96"/>
      <c r="G1827" s="96"/>
      <c r="H1827" s="96"/>
      <c r="I1827" s="96"/>
      <c r="J1827" s="271"/>
    </row>
    <row r="1828" spans="1:10">
      <c r="A1828" s="84"/>
      <c r="B1828" s="93" t="s">
        <v>231</v>
      </c>
      <c r="C1828" s="94"/>
      <c r="D1828" s="95"/>
      <c r="E1828" s="96"/>
      <c r="F1828" s="96"/>
      <c r="G1828" s="96"/>
      <c r="H1828" s="96"/>
      <c r="I1828" s="96"/>
      <c r="J1828" s="271"/>
    </row>
    <row r="1829" spans="1:10">
      <c r="A1829" s="84"/>
      <c r="B1829" s="93" t="s">
        <v>231</v>
      </c>
      <c r="C1829" s="94"/>
      <c r="D1829" s="95"/>
      <c r="E1829" s="96"/>
      <c r="F1829" s="96"/>
      <c r="G1829" s="96"/>
      <c r="H1829" s="96"/>
      <c r="I1829" s="96"/>
      <c r="J1829" s="271"/>
    </row>
    <row r="1830" spans="1:10">
      <c r="A1830" s="84"/>
      <c r="B1830" s="93" t="s">
        <v>231</v>
      </c>
      <c r="C1830" s="94"/>
      <c r="D1830" s="95"/>
      <c r="E1830" s="96"/>
      <c r="F1830" s="96"/>
      <c r="G1830" s="96"/>
      <c r="H1830" s="96"/>
      <c r="I1830" s="96"/>
      <c r="J1830" s="271"/>
    </row>
    <row r="1831" spans="1:10">
      <c r="A1831" s="84"/>
      <c r="B1831" s="93" t="s">
        <v>231</v>
      </c>
      <c r="C1831" s="94"/>
      <c r="D1831" s="95"/>
      <c r="E1831" s="96"/>
      <c r="F1831" s="96"/>
      <c r="G1831" s="96"/>
      <c r="H1831" s="96"/>
      <c r="I1831" s="96"/>
      <c r="J1831" s="271"/>
    </row>
    <row r="1832" spans="1:10">
      <c r="A1832" s="84"/>
      <c r="B1832" s="93" t="s">
        <v>231</v>
      </c>
      <c r="C1832" s="94"/>
      <c r="D1832" s="95"/>
      <c r="E1832" s="96"/>
      <c r="F1832" s="96"/>
      <c r="G1832" s="96"/>
      <c r="H1832" s="96"/>
      <c r="I1832" s="96"/>
      <c r="J1832" s="271"/>
    </row>
    <row r="1833" spans="1:10">
      <c r="A1833" s="84"/>
      <c r="B1833" s="89"/>
      <c r="C1833" s="97"/>
      <c r="D1833" s="91"/>
      <c r="E1833" s="91"/>
      <c r="F1833" s="91"/>
      <c r="G1833" s="91" t="s">
        <v>249</v>
      </c>
      <c r="H1833" s="91"/>
      <c r="I1833" s="91"/>
      <c r="J1833" s="99">
        <f>+SUBTOTAL(9,J1826:J1832)</f>
        <v>0</v>
      </c>
    </row>
    <row r="1834" spans="1:10">
      <c r="A1834" s="84"/>
      <c r="B1834" s="89" t="s">
        <v>228</v>
      </c>
      <c r="C1834" s="90" t="s">
        <v>250</v>
      </c>
      <c r="D1834" s="91"/>
      <c r="E1834" s="91"/>
      <c r="F1834" s="91"/>
      <c r="G1834" s="91"/>
      <c r="H1834" s="92" t="s">
        <v>239</v>
      </c>
      <c r="I1834" s="92" t="s">
        <v>251</v>
      </c>
      <c r="J1834" s="99" t="s">
        <v>252</v>
      </c>
    </row>
    <row r="1835" spans="1:10">
      <c r="A1835" s="84"/>
      <c r="B1835" s="89" t="s">
        <v>231</v>
      </c>
      <c r="C1835" s="90"/>
      <c r="D1835" s="91"/>
      <c r="E1835" s="91"/>
      <c r="F1835" s="91"/>
      <c r="G1835" s="91"/>
      <c r="H1835" s="92"/>
      <c r="I1835" s="92"/>
      <c r="J1835" s="99"/>
    </row>
    <row r="1836" spans="1:10">
      <c r="A1836" s="84"/>
      <c r="B1836" s="93" t="s">
        <v>231</v>
      </c>
      <c r="C1836" s="94"/>
      <c r="D1836" s="95"/>
      <c r="E1836" s="95"/>
      <c r="F1836" s="95"/>
      <c r="G1836" s="95"/>
      <c r="H1836" s="96"/>
      <c r="I1836" s="96"/>
      <c r="J1836" s="271"/>
    </row>
    <row r="1837" spans="1:10">
      <c r="A1837" s="84"/>
      <c r="B1837" s="93" t="s">
        <v>231</v>
      </c>
      <c r="C1837" s="94"/>
      <c r="D1837" s="95"/>
      <c r="E1837" s="95"/>
      <c r="F1837" s="95"/>
      <c r="G1837" s="95"/>
      <c r="H1837" s="96"/>
      <c r="I1837" s="96"/>
      <c r="J1837" s="271"/>
    </row>
    <row r="1838" spans="1:10">
      <c r="A1838" s="84"/>
      <c r="B1838" s="93" t="s">
        <v>231</v>
      </c>
      <c r="C1838" s="94"/>
      <c r="D1838" s="95"/>
      <c r="E1838" s="95"/>
      <c r="F1838" s="95"/>
      <c r="G1838" s="95"/>
      <c r="H1838" s="96"/>
      <c r="I1838" s="96"/>
      <c r="J1838" s="271"/>
    </row>
    <row r="1839" spans="1:10">
      <c r="A1839" s="84"/>
      <c r="B1839" s="93" t="s">
        <v>231</v>
      </c>
      <c r="C1839" s="94"/>
      <c r="D1839" s="95"/>
      <c r="E1839" s="95"/>
      <c r="F1839" s="95"/>
      <c r="G1839" s="95"/>
      <c r="H1839" s="96"/>
      <c r="I1839" s="96"/>
      <c r="J1839" s="271"/>
    </row>
    <row r="1840" spans="1:10">
      <c r="A1840" s="84"/>
      <c r="B1840" s="93" t="s">
        <v>231</v>
      </c>
      <c r="C1840" s="94"/>
      <c r="D1840" s="95"/>
      <c r="E1840" s="95"/>
      <c r="F1840" s="95"/>
      <c r="G1840" s="95"/>
      <c r="H1840" s="96"/>
      <c r="I1840" s="96"/>
      <c r="J1840" s="271"/>
    </row>
    <row r="1841" spans="1:10">
      <c r="A1841" s="84"/>
      <c r="B1841" s="93" t="s">
        <v>231</v>
      </c>
      <c r="C1841" s="94"/>
      <c r="D1841" s="95"/>
      <c r="E1841" s="95"/>
      <c r="F1841" s="95"/>
      <c r="G1841" s="95"/>
      <c r="H1841" s="96"/>
      <c r="I1841" s="96"/>
      <c r="J1841" s="271"/>
    </row>
    <row r="1842" spans="1:10">
      <c r="A1842" s="84"/>
      <c r="B1842" s="89"/>
      <c r="C1842" s="97"/>
      <c r="D1842" s="91"/>
      <c r="E1842" s="91"/>
      <c r="F1842" s="91"/>
      <c r="G1842" s="91" t="s">
        <v>255</v>
      </c>
      <c r="H1842" s="91"/>
      <c r="I1842" s="91"/>
      <c r="J1842" s="99">
        <f>+SUBTOTAL(9,J1835:J1841)</f>
        <v>0</v>
      </c>
    </row>
    <row r="1843" spans="1:10">
      <c r="A1843" s="84"/>
      <c r="B1843" s="89"/>
      <c r="C1843" s="97"/>
      <c r="D1843" s="91"/>
      <c r="E1843" s="91"/>
      <c r="F1843" s="91" t="s">
        <v>256</v>
      </c>
      <c r="G1843" s="91"/>
      <c r="H1843" s="91"/>
      <c r="I1843" s="91">
        <v>0</v>
      </c>
      <c r="J1843" s="99">
        <f>+ROUND(I1843*J1842,2)</f>
        <v>0</v>
      </c>
    </row>
    <row r="1844" spans="1:10">
      <c r="A1844" s="84"/>
      <c r="B1844" s="89"/>
      <c r="C1844" s="97"/>
      <c r="D1844" s="91"/>
      <c r="E1844" s="91"/>
      <c r="F1844" s="91" t="s">
        <v>257</v>
      </c>
      <c r="G1844" s="91"/>
      <c r="H1844" s="91"/>
      <c r="I1844" s="91"/>
      <c r="J1844" s="99">
        <f>+SUBTOTAL(9,J1835:J1843)</f>
        <v>0</v>
      </c>
    </row>
    <row r="1845" spans="1:10">
      <c r="A1845" s="84"/>
      <c r="B1845" s="98"/>
      <c r="C1845" s="97"/>
      <c r="D1845" s="91"/>
      <c r="E1845" s="91"/>
      <c r="F1845" s="91"/>
      <c r="G1845" s="91" t="s">
        <v>258</v>
      </c>
      <c r="H1845" s="91"/>
      <c r="I1845" s="91"/>
      <c r="J1845" s="275">
        <f>+SUBTOTAL(9,J1826:J1844)</f>
        <v>0</v>
      </c>
    </row>
    <row r="1846" spans="1:10">
      <c r="A1846" s="84"/>
      <c r="B1846" s="98"/>
      <c r="C1846" s="97" t="s">
        <v>259</v>
      </c>
      <c r="D1846" s="91">
        <v>1</v>
      </c>
      <c r="E1846" s="91"/>
      <c r="F1846" s="91"/>
      <c r="G1846" s="91" t="s">
        <v>260</v>
      </c>
      <c r="H1846" s="91"/>
      <c r="I1846" s="91"/>
      <c r="J1846" s="275">
        <f>+ROUND(J1845/D1846,2)</f>
        <v>0</v>
      </c>
    </row>
    <row r="1847" spans="1:10">
      <c r="A1847" s="84"/>
      <c r="B1847" s="89" t="s">
        <v>228</v>
      </c>
      <c r="C1847" s="90" t="s">
        <v>261</v>
      </c>
      <c r="D1847" s="91"/>
      <c r="E1847" s="91"/>
      <c r="F1847" s="91"/>
      <c r="G1847" s="92" t="s">
        <v>230</v>
      </c>
      <c r="H1847" s="92" t="s">
        <v>262</v>
      </c>
      <c r="I1847" s="92" t="s">
        <v>263</v>
      </c>
      <c r="J1847" s="99" t="s">
        <v>264</v>
      </c>
    </row>
    <row r="1848" spans="1:10">
      <c r="A1848" s="84"/>
      <c r="B1848" s="89" t="s">
        <v>231</v>
      </c>
      <c r="C1848" s="90"/>
      <c r="D1848" s="91"/>
      <c r="E1848" s="91"/>
      <c r="F1848" s="91"/>
      <c r="G1848" s="92"/>
      <c r="H1848" s="92"/>
      <c r="I1848" s="92"/>
      <c r="J1848" s="99"/>
    </row>
    <row r="1849" spans="1:10">
      <c r="A1849" s="84"/>
      <c r="B1849" s="93" t="s">
        <v>231</v>
      </c>
      <c r="C1849" s="94"/>
      <c r="D1849" s="95"/>
      <c r="E1849" s="95"/>
      <c r="F1849" s="95"/>
      <c r="G1849" s="96"/>
      <c r="H1849" s="96"/>
      <c r="I1849" s="96"/>
      <c r="J1849" s="271"/>
    </row>
    <row r="1850" spans="1:10">
      <c r="A1850" s="84"/>
      <c r="B1850" s="93" t="s">
        <v>231</v>
      </c>
      <c r="C1850" s="94"/>
      <c r="D1850" s="95"/>
      <c r="E1850" s="95"/>
      <c r="F1850" s="95"/>
      <c r="G1850" s="96"/>
      <c r="H1850" s="96"/>
      <c r="I1850" s="96"/>
      <c r="J1850" s="271"/>
    </row>
    <row r="1851" spans="1:10">
      <c r="A1851" s="84"/>
      <c r="B1851" s="93" t="s">
        <v>231</v>
      </c>
      <c r="C1851" s="94"/>
      <c r="D1851" s="95"/>
      <c r="E1851" s="95"/>
      <c r="F1851" s="95"/>
      <c r="G1851" s="96"/>
      <c r="H1851" s="96"/>
      <c r="I1851" s="96"/>
      <c r="J1851" s="271"/>
    </row>
    <row r="1852" spans="1:10">
      <c r="A1852" s="84"/>
      <c r="B1852" s="93" t="s">
        <v>231</v>
      </c>
      <c r="C1852" s="94"/>
      <c r="D1852" s="95"/>
      <c r="E1852" s="95"/>
      <c r="F1852" s="95"/>
      <c r="G1852" s="96"/>
      <c r="H1852" s="96"/>
      <c r="I1852" s="96"/>
      <c r="J1852" s="271"/>
    </row>
    <row r="1853" spans="1:10">
      <c r="A1853" s="84"/>
      <c r="B1853" s="93" t="s">
        <v>231</v>
      </c>
      <c r="C1853" s="94"/>
      <c r="D1853" s="95"/>
      <c r="E1853" s="95"/>
      <c r="F1853" s="95"/>
      <c r="G1853" s="96"/>
      <c r="H1853" s="96"/>
      <c r="I1853" s="96"/>
      <c r="J1853" s="271"/>
    </row>
    <row r="1854" spans="1:10">
      <c r="A1854" s="84"/>
      <c r="B1854" s="93" t="s">
        <v>231</v>
      </c>
      <c r="C1854" s="94"/>
      <c r="D1854" s="95"/>
      <c r="E1854" s="95"/>
      <c r="F1854" s="95"/>
      <c r="G1854" s="96"/>
      <c r="H1854" s="96"/>
      <c r="I1854" s="96"/>
      <c r="J1854" s="271"/>
    </row>
    <row r="1855" spans="1:10">
      <c r="A1855" s="84"/>
      <c r="B1855" s="89"/>
      <c r="C1855" s="97"/>
      <c r="D1855" s="91"/>
      <c r="E1855" s="91"/>
      <c r="F1855" s="91"/>
      <c r="G1855" s="91" t="s">
        <v>275</v>
      </c>
      <c r="H1855" s="91"/>
      <c r="I1855" s="91"/>
      <c r="J1855" s="99">
        <f>+SUBTOTAL(9,J1848:J1854)</f>
        <v>0</v>
      </c>
    </row>
    <row r="1856" spans="1:10">
      <c r="A1856" s="84"/>
      <c r="B1856" s="89" t="s">
        <v>228</v>
      </c>
      <c r="C1856" s="90" t="s">
        <v>276</v>
      </c>
      <c r="D1856" s="91"/>
      <c r="E1856" s="91"/>
      <c r="F1856" s="91"/>
      <c r="G1856" s="92" t="s">
        <v>230</v>
      </c>
      <c r="H1856" s="92" t="s">
        <v>262</v>
      </c>
      <c r="I1856" s="92" t="s">
        <v>263</v>
      </c>
      <c r="J1856" s="99" t="s">
        <v>264</v>
      </c>
    </row>
    <row r="1857" spans="1:10">
      <c r="A1857" s="84"/>
      <c r="B1857" s="89" t="s">
        <v>664</v>
      </c>
      <c r="C1857" s="90" t="s">
        <v>665</v>
      </c>
      <c r="D1857" s="91"/>
      <c r="E1857" s="91"/>
      <c r="F1857" s="91"/>
      <c r="G1857" s="92" t="s">
        <v>386</v>
      </c>
      <c r="H1857" s="92">
        <v>30.32</v>
      </c>
      <c r="I1857" s="92">
        <v>1</v>
      </c>
      <c r="J1857" s="99">
        <f>+ROUND(H1857*I1857,2)</f>
        <v>30.32</v>
      </c>
    </row>
    <row r="1858" spans="1:10">
      <c r="A1858" s="84"/>
      <c r="B1858" s="93" t="s">
        <v>666</v>
      </c>
      <c r="C1858" s="94" t="s">
        <v>667</v>
      </c>
      <c r="D1858" s="95"/>
      <c r="E1858" s="95"/>
      <c r="F1858" s="95"/>
      <c r="G1858" s="96" t="s">
        <v>386</v>
      </c>
      <c r="H1858" s="96">
        <v>430.47</v>
      </c>
      <c r="I1858" s="96">
        <v>1</v>
      </c>
      <c r="J1858" s="271">
        <f>+ROUND(H1858*I1858,2)</f>
        <v>430.47</v>
      </c>
    </row>
    <row r="1859" spans="1:10">
      <c r="A1859" s="84"/>
      <c r="B1859" s="93" t="s">
        <v>231</v>
      </c>
      <c r="C1859" s="94"/>
      <c r="D1859" s="95"/>
      <c r="E1859" s="95"/>
      <c r="F1859" s="95"/>
      <c r="G1859" s="96"/>
      <c r="H1859" s="96"/>
      <c r="I1859" s="96"/>
      <c r="J1859" s="271"/>
    </row>
    <row r="1860" spans="1:10">
      <c r="A1860" s="84"/>
      <c r="B1860" s="93" t="s">
        <v>231</v>
      </c>
      <c r="C1860" s="94"/>
      <c r="D1860" s="95"/>
      <c r="E1860" s="95"/>
      <c r="F1860" s="95"/>
      <c r="G1860" s="96"/>
      <c r="H1860" s="96"/>
      <c r="I1860" s="96"/>
      <c r="J1860" s="271"/>
    </row>
    <row r="1861" spans="1:10">
      <c r="A1861" s="84"/>
      <c r="B1861" s="93" t="s">
        <v>231</v>
      </c>
      <c r="C1861" s="94"/>
      <c r="D1861" s="95"/>
      <c r="E1861" s="95"/>
      <c r="F1861" s="95"/>
      <c r="G1861" s="96"/>
      <c r="H1861" s="96"/>
      <c r="I1861" s="96"/>
      <c r="J1861" s="271"/>
    </row>
    <row r="1862" spans="1:10">
      <c r="A1862" s="84"/>
      <c r="B1862" s="89"/>
      <c r="C1862" s="97"/>
      <c r="D1862" s="91"/>
      <c r="E1862" s="91"/>
      <c r="F1862" s="91"/>
      <c r="G1862" s="91" t="s">
        <v>279</v>
      </c>
      <c r="H1862" s="91"/>
      <c r="I1862" s="91"/>
      <c r="J1862" s="99">
        <f>+SUBTOTAL(9,J1857:J1861)</f>
        <v>460.79</v>
      </c>
    </row>
    <row r="1863" spans="1:10">
      <c r="A1863" s="84"/>
      <c r="B1863" s="89" t="s">
        <v>228</v>
      </c>
      <c r="C1863" s="90" t="s">
        <v>280</v>
      </c>
      <c r="D1863" s="92" t="s">
        <v>281</v>
      </c>
      <c r="E1863" s="92" t="s">
        <v>282</v>
      </c>
      <c r="F1863" s="92" t="s">
        <v>283</v>
      </c>
      <c r="G1863" s="92" t="s">
        <v>284</v>
      </c>
      <c r="H1863" s="92" t="s">
        <v>285</v>
      </c>
      <c r="I1863" s="92" t="s">
        <v>263</v>
      </c>
      <c r="J1863" s="99" t="s">
        <v>286</v>
      </c>
    </row>
    <row r="1864" spans="1:10">
      <c r="A1864" s="84"/>
      <c r="B1864" s="89" t="s">
        <v>231</v>
      </c>
      <c r="C1864" s="90"/>
      <c r="D1864" s="92"/>
      <c r="E1864" s="92"/>
      <c r="F1864" s="92"/>
      <c r="G1864" s="92"/>
      <c r="H1864" s="92"/>
      <c r="I1864" s="92"/>
      <c r="J1864" s="99"/>
    </row>
    <row r="1865" spans="1:10">
      <c r="A1865" s="84"/>
      <c r="B1865" s="93" t="s">
        <v>231</v>
      </c>
      <c r="C1865" s="94"/>
      <c r="D1865" s="96"/>
      <c r="E1865" s="96"/>
      <c r="F1865" s="96"/>
      <c r="G1865" s="96"/>
      <c r="H1865" s="96"/>
      <c r="I1865" s="96"/>
      <c r="J1865" s="271"/>
    </row>
    <row r="1866" spans="1:10">
      <c r="A1866" s="84"/>
      <c r="B1866" s="93" t="s">
        <v>231</v>
      </c>
      <c r="C1866" s="94"/>
      <c r="D1866" s="96"/>
      <c r="E1866" s="96"/>
      <c r="F1866" s="96"/>
      <c r="G1866" s="96"/>
      <c r="H1866" s="96"/>
      <c r="I1866" s="96"/>
      <c r="J1866" s="271"/>
    </row>
    <row r="1867" spans="1:10">
      <c r="A1867" s="84"/>
      <c r="B1867" s="93" t="s">
        <v>231</v>
      </c>
      <c r="C1867" s="94"/>
      <c r="D1867" s="96"/>
      <c r="E1867" s="96"/>
      <c r="F1867" s="96"/>
      <c r="G1867" s="96"/>
      <c r="H1867" s="96"/>
      <c r="I1867" s="96"/>
      <c r="J1867" s="271"/>
    </row>
    <row r="1868" spans="1:10">
      <c r="A1868" s="84"/>
      <c r="B1868" s="93" t="s">
        <v>231</v>
      </c>
      <c r="C1868" s="94"/>
      <c r="D1868" s="96"/>
      <c r="E1868" s="96"/>
      <c r="F1868" s="96"/>
      <c r="G1868" s="96"/>
      <c r="H1868" s="96"/>
      <c r="I1868" s="96"/>
      <c r="J1868" s="271"/>
    </row>
    <row r="1869" spans="1:10">
      <c r="A1869" s="84"/>
      <c r="B1869" s="93" t="s">
        <v>231</v>
      </c>
      <c r="C1869" s="94"/>
      <c r="D1869" s="96"/>
      <c r="E1869" s="96"/>
      <c r="F1869" s="96"/>
      <c r="G1869" s="96"/>
      <c r="H1869" s="96"/>
      <c r="I1869" s="96"/>
      <c r="J1869" s="271"/>
    </row>
    <row r="1870" spans="1:10">
      <c r="A1870" s="84"/>
      <c r="B1870" s="93" t="s">
        <v>231</v>
      </c>
      <c r="C1870" s="94"/>
      <c r="D1870" s="96"/>
      <c r="E1870" s="96"/>
      <c r="F1870" s="96"/>
      <c r="G1870" s="96"/>
      <c r="H1870" s="96"/>
      <c r="I1870" s="96"/>
      <c r="J1870" s="271"/>
    </row>
    <row r="1871" spans="1:10">
      <c r="A1871" s="84"/>
      <c r="B1871" s="89"/>
      <c r="C1871" s="97"/>
      <c r="D1871" s="91"/>
      <c r="E1871" s="91"/>
      <c r="F1871" s="91"/>
      <c r="G1871" s="91" t="s">
        <v>290</v>
      </c>
      <c r="H1871" s="91"/>
      <c r="I1871" s="91"/>
      <c r="J1871" s="99">
        <f>+SUBTOTAL(9,J1864:J1870)</f>
        <v>0</v>
      </c>
    </row>
    <row r="1872" spans="1:10">
      <c r="A1872" s="84"/>
      <c r="B1872" s="89" t="s">
        <v>291</v>
      </c>
      <c r="C1872" s="97"/>
      <c r="D1872" s="91"/>
      <c r="E1872" s="91"/>
      <c r="F1872" s="91"/>
      <c r="G1872" s="91"/>
      <c r="H1872" s="91"/>
      <c r="I1872" s="91"/>
      <c r="J1872" s="99">
        <f>+SUBTOTAL(9,J1846:J1870)</f>
        <v>460.79</v>
      </c>
    </row>
    <row r="1873" spans="1:10">
      <c r="A1873" s="84"/>
      <c r="B1873" s="89" t="s">
        <v>292</v>
      </c>
      <c r="C1873" s="97"/>
      <c r="D1873" s="91">
        <v>0</v>
      </c>
      <c r="E1873" s="91"/>
      <c r="F1873" s="91"/>
      <c r="G1873" s="91"/>
      <c r="H1873" s="91"/>
      <c r="I1873" s="91"/>
      <c r="J1873" s="99">
        <f>+ROUND(J1872*D1873/100,2)</f>
        <v>0</v>
      </c>
    </row>
    <row r="1874" spans="1:10" ht="14.4" thickBot="1">
      <c r="A1874" s="84"/>
      <c r="B1874" s="89" t="s">
        <v>293</v>
      </c>
      <c r="C1874" s="97"/>
      <c r="D1874" s="91"/>
      <c r="E1874" s="91"/>
      <c r="F1874" s="91"/>
      <c r="G1874" s="91"/>
      <c r="H1874" s="91"/>
      <c r="I1874" s="91"/>
      <c r="J1874" s="99">
        <f>+J1872+ J1873</f>
        <v>460.79</v>
      </c>
    </row>
    <row r="1875" spans="1:10">
      <c r="A1875" s="84"/>
      <c r="B1875" s="85" t="s">
        <v>294</v>
      </c>
      <c r="C1875" s="86"/>
      <c r="D1875" s="88"/>
      <c r="E1875" s="88"/>
      <c r="F1875" s="88" t="s">
        <v>295</v>
      </c>
      <c r="G1875" s="88"/>
      <c r="H1875" s="88"/>
      <c r="I1875" s="88" t="s">
        <v>296</v>
      </c>
      <c r="J1875" s="270"/>
    </row>
    <row r="1876" spans="1:10">
      <c r="A1876" s="84"/>
      <c r="B1876" s="93" t="s">
        <v>297</v>
      </c>
      <c r="C1876" s="84"/>
      <c r="D1876" s="95"/>
      <c r="E1876" s="95"/>
      <c r="F1876" s="95" t="s">
        <v>298</v>
      </c>
      <c r="G1876" s="95"/>
      <c r="H1876" s="95"/>
      <c r="I1876" s="95"/>
      <c r="J1876" s="276"/>
    </row>
    <row r="1877" spans="1:10">
      <c r="A1877" s="84"/>
      <c r="B1877" s="93" t="s">
        <v>299</v>
      </c>
      <c r="C1877" s="84"/>
      <c r="D1877" s="95"/>
      <c r="E1877" s="95"/>
      <c r="F1877" s="95" t="s">
        <v>300</v>
      </c>
      <c r="G1877" s="95"/>
      <c r="H1877" s="95"/>
      <c r="I1877" s="95"/>
      <c r="J1877" s="276"/>
    </row>
    <row r="1878" spans="1:10" ht="14.4" thickBot="1">
      <c r="A1878" s="84"/>
      <c r="B1878" s="100" t="s">
        <v>301</v>
      </c>
      <c r="C1878" s="84"/>
      <c r="D1878" s="95"/>
      <c r="E1878" s="95"/>
      <c r="F1878" s="95"/>
      <c r="G1878" s="95"/>
      <c r="H1878" s="95"/>
      <c r="I1878" s="95"/>
      <c r="J1878" s="277"/>
    </row>
    <row r="1879" spans="1:10">
      <c r="A1879" s="84"/>
      <c r="B1879" s="86"/>
      <c r="C1879" s="86"/>
      <c r="D1879" s="88"/>
      <c r="E1879" s="88"/>
      <c r="F1879" s="88"/>
      <c r="G1879" s="88"/>
      <c r="H1879" s="88"/>
      <c r="I1879" s="88"/>
      <c r="J1879" s="88"/>
    </row>
    <row r="1880" spans="1:10" ht="14.4" thickBot="1">
      <c r="A1880" s="84"/>
      <c r="B1880" s="84"/>
      <c r="C1880" s="84"/>
      <c r="D1880" s="95"/>
      <c r="E1880" s="95"/>
      <c r="F1880" s="95"/>
      <c r="G1880" s="95"/>
      <c r="H1880" s="95"/>
      <c r="I1880" s="95"/>
      <c r="J1880" s="95"/>
    </row>
    <row r="1881" spans="1:10">
      <c r="A1881" s="84"/>
      <c r="B1881" s="85"/>
      <c r="C1881" s="86"/>
      <c r="D1881" s="87" t="s">
        <v>227</v>
      </c>
      <c r="E1881" s="87"/>
      <c r="F1881" s="87"/>
      <c r="G1881" s="88"/>
      <c r="H1881" s="88"/>
      <c r="I1881" s="88"/>
      <c r="J1881" s="270"/>
    </row>
    <row r="1882" spans="1:10">
      <c r="A1882" s="84"/>
      <c r="B1882" s="89" t="s">
        <v>228</v>
      </c>
      <c r="C1882" s="90" t="s">
        <v>92</v>
      </c>
      <c r="D1882" s="91"/>
      <c r="E1882" s="91"/>
      <c r="F1882" s="91"/>
      <c r="G1882" s="91"/>
      <c r="H1882" s="92" t="s">
        <v>229</v>
      </c>
      <c r="I1882" s="91"/>
      <c r="J1882" s="99" t="s">
        <v>230</v>
      </c>
    </row>
    <row r="1883" spans="1:10">
      <c r="A1883" s="84"/>
      <c r="B1883" s="93" t="s">
        <v>664</v>
      </c>
      <c r="C1883" s="94" t="s">
        <v>668</v>
      </c>
      <c r="D1883" s="95"/>
      <c r="E1883" s="95"/>
      <c r="F1883" s="95"/>
      <c r="G1883" s="95"/>
      <c r="H1883" s="96" t="s">
        <v>233</v>
      </c>
      <c r="I1883" s="95"/>
      <c r="J1883" s="271" t="s">
        <v>386</v>
      </c>
    </row>
    <row r="1884" spans="1:10">
      <c r="A1884" s="84"/>
      <c r="B1884" s="89"/>
      <c r="C1884" s="90"/>
      <c r="D1884" s="91"/>
      <c r="E1884" s="92"/>
      <c r="F1884" s="92" t="s">
        <v>235</v>
      </c>
      <c r="G1884" s="92"/>
      <c r="H1884" s="92" t="s">
        <v>236</v>
      </c>
      <c r="I1884" s="92"/>
      <c r="J1884" s="99" t="s">
        <v>237</v>
      </c>
    </row>
    <row r="1885" spans="1:10">
      <c r="A1885" s="84"/>
      <c r="B1885" s="93" t="s">
        <v>228</v>
      </c>
      <c r="C1885" s="94" t="s">
        <v>238</v>
      </c>
      <c r="D1885" s="95"/>
      <c r="E1885" s="96" t="s">
        <v>239</v>
      </c>
      <c r="F1885" s="92" t="s">
        <v>240</v>
      </c>
      <c r="G1885" s="92" t="s">
        <v>241</v>
      </c>
      <c r="H1885" s="92" t="s">
        <v>240</v>
      </c>
      <c r="I1885" s="272" t="s">
        <v>241</v>
      </c>
      <c r="J1885" s="271" t="s">
        <v>242</v>
      </c>
    </row>
    <row r="1886" spans="1:10">
      <c r="A1886" s="84"/>
      <c r="B1886" s="273" t="s">
        <v>247</v>
      </c>
      <c r="C1886" s="90" t="s">
        <v>248</v>
      </c>
      <c r="D1886" s="91"/>
      <c r="E1886" s="92">
        <v>0.12048</v>
      </c>
      <c r="F1886" s="92">
        <v>1</v>
      </c>
      <c r="G1886" s="92">
        <v>0</v>
      </c>
      <c r="H1886" s="92">
        <v>20.67</v>
      </c>
      <c r="I1886" s="92">
        <v>1.77</v>
      </c>
      <c r="J1886" s="99">
        <f>+ROUND(E1886* ((F1886*H1886) + (G1886*I1886)),2)</f>
        <v>2.4900000000000002</v>
      </c>
    </row>
    <row r="1887" spans="1:10">
      <c r="A1887" s="84"/>
      <c r="B1887" s="274" t="s">
        <v>425</v>
      </c>
      <c r="C1887" s="94" t="s">
        <v>426</v>
      </c>
      <c r="D1887" s="95"/>
      <c r="E1887" s="96">
        <v>0.60241</v>
      </c>
      <c r="F1887" s="96">
        <v>1</v>
      </c>
      <c r="G1887" s="96">
        <v>0</v>
      </c>
      <c r="H1887" s="96">
        <v>0.87</v>
      </c>
      <c r="I1887" s="96">
        <v>0.48</v>
      </c>
      <c r="J1887" s="271">
        <f>+ROUND(E1887* ((F1887*H1887) + (G1887*I1887)),2)</f>
        <v>0.52</v>
      </c>
    </row>
    <row r="1888" spans="1:10">
      <c r="A1888" s="84"/>
      <c r="B1888" s="274" t="s">
        <v>429</v>
      </c>
      <c r="C1888" s="94" t="s">
        <v>430</v>
      </c>
      <c r="D1888" s="95"/>
      <c r="E1888" s="96">
        <v>0.60241</v>
      </c>
      <c r="F1888" s="96">
        <v>1</v>
      </c>
      <c r="G1888" s="96">
        <v>0</v>
      </c>
      <c r="H1888" s="96">
        <v>10.18</v>
      </c>
      <c r="I1888" s="96">
        <v>0.48</v>
      </c>
      <c r="J1888" s="271">
        <f>+ROUND(E1888* ((F1888*H1888) + (G1888*I1888)),2)</f>
        <v>6.13</v>
      </c>
    </row>
    <row r="1889" spans="1:10">
      <c r="A1889" s="84"/>
      <c r="B1889" s="93" t="s">
        <v>231</v>
      </c>
      <c r="C1889" s="94"/>
      <c r="D1889" s="95"/>
      <c r="E1889" s="96"/>
      <c r="F1889" s="96"/>
      <c r="G1889" s="96"/>
      <c r="H1889" s="96"/>
      <c r="I1889" s="96"/>
      <c r="J1889" s="271"/>
    </row>
    <row r="1890" spans="1:10">
      <c r="A1890" s="84"/>
      <c r="B1890" s="93" t="s">
        <v>231</v>
      </c>
      <c r="C1890" s="94"/>
      <c r="D1890" s="95"/>
      <c r="E1890" s="96"/>
      <c r="F1890" s="96"/>
      <c r="G1890" s="96"/>
      <c r="H1890" s="96"/>
      <c r="I1890" s="96"/>
      <c r="J1890" s="271"/>
    </row>
    <row r="1891" spans="1:10">
      <c r="A1891" s="84"/>
      <c r="B1891" s="93" t="s">
        <v>231</v>
      </c>
      <c r="C1891" s="94"/>
      <c r="D1891" s="95"/>
      <c r="E1891" s="96"/>
      <c r="F1891" s="96"/>
      <c r="G1891" s="96"/>
      <c r="H1891" s="96"/>
      <c r="I1891" s="96"/>
      <c r="J1891" s="271"/>
    </row>
    <row r="1892" spans="1:10">
      <c r="A1892" s="84"/>
      <c r="B1892" s="93" t="s">
        <v>231</v>
      </c>
      <c r="C1892" s="94"/>
      <c r="D1892" s="95"/>
      <c r="E1892" s="96"/>
      <c r="F1892" s="96"/>
      <c r="G1892" s="96"/>
      <c r="H1892" s="96"/>
      <c r="I1892" s="96"/>
      <c r="J1892" s="271"/>
    </row>
    <row r="1893" spans="1:10">
      <c r="A1893" s="84"/>
      <c r="B1893" s="89"/>
      <c r="C1893" s="97"/>
      <c r="D1893" s="91"/>
      <c r="E1893" s="91"/>
      <c r="F1893" s="91"/>
      <c r="G1893" s="91" t="s">
        <v>249</v>
      </c>
      <c r="H1893" s="91"/>
      <c r="I1893" s="91"/>
      <c r="J1893" s="99">
        <f>+SUBTOTAL(9,J1886:J1892)</f>
        <v>9.14</v>
      </c>
    </row>
    <row r="1894" spans="1:10">
      <c r="A1894" s="84"/>
      <c r="B1894" s="89" t="s">
        <v>228</v>
      </c>
      <c r="C1894" s="90" t="s">
        <v>250</v>
      </c>
      <c r="D1894" s="91"/>
      <c r="E1894" s="91"/>
      <c r="F1894" s="91"/>
      <c r="G1894" s="91"/>
      <c r="H1894" s="92" t="s">
        <v>239</v>
      </c>
      <c r="I1894" s="92" t="s">
        <v>251</v>
      </c>
      <c r="J1894" s="99" t="s">
        <v>252</v>
      </c>
    </row>
    <row r="1895" spans="1:10">
      <c r="A1895" s="84"/>
      <c r="B1895" s="89" t="s">
        <v>531</v>
      </c>
      <c r="C1895" s="90" t="s">
        <v>532</v>
      </c>
      <c r="D1895" s="91"/>
      <c r="E1895" s="91"/>
      <c r="F1895" s="91"/>
      <c r="G1895" s="91"/>
      <c r="H1895" s="92">
        <v>1</v>
      </c>
      <c r="I1895" s="92">
        <v>25.37</v>
      </c>
      <c r="J1895" s="99">
        <f>+ROUND(H1895*I1895,2)</f>
        <v>25.37</v>
      </c>
    </row>
    <row r="1896" spans="1:10">
      <c r="A1896" s="84"/>
      <c r="B1896" s="93" t="s">
        <v>253</v>
      </c>
      <c r="C1896" s="94" t="s">
        <v>254</v>
      </c>
      <c r="D1896" s="95"/>
      <c r="E1896" s="95"/>
      <c r="F1896" s="95"/>
      <c r="G1896" s="95"/>
      <c r="H1896" s="96">
        <v>2</v>
      </c>
      <c r="I1896" s="96">
        <v>21.04</v>
      </c>
      <c r="J1896" s="271">
        <f>+ROUND(H1896*I1896,2)</f>
        <v>42.08</v>
      </c>
    </row>
    <row r="1897" spans="1:10">
      <c r="A1897" s="84"/>
      <c r="B1897" s="93" t="s">
        <v>231</v>
      </c>
      <c r="C1897" s="94"/>
      <c r="D1897" s="95"/>
      <c r="E1897" s="95"/>
      <c r="F1897" s="95"/>
      <c r="G1897" s="95"/>
      <c r="H1897" s="96"/>
      <c r="I1897" s="96"/>
      <c r="J1897" s="271"/>
    </row>
    <row r="1898" spans="1:10">
      <c r="A1898" s="84"/>
      <c r="B1898" s="93" t="s">
        <v>231</v>
      </c>
      <c r="C1898" s="94"/>
      <c r="D1898" s="95"/>
      <c r="E1898" s="95"/>
      <c r="F1898" s="95"/>
      <c r="G1898" s="95"/>
      <c r="H1898" s="96"/>
      <c r="I1898" s="96"/>
      <c r="J1898" s="271"/>
    </row>
    <row r="1899" spans="1:10">
      <c r="A1899" s="84"/>
      <c r="B1899" s="93" t="s">
        <v>231</v>
      </c>
      <c r="C1899" s="94"/>
      <c r="D1899" s="95"/>
      <c r="E1899" s="95"/>
      <c r="F1899" s="95"/>
      <c r="G1899" s="95"/>
      <c r="H1899" s="96"/>
      <c r="I1899" s="96"/>
      <c r="J1899" s="271"/>
    </row>
    <row r="1900" spans="1:10">
      <c r="A1900" s="84"/>
      <c r="B1900" s="93" t="s">
        <v>231</v>
      </c>
      <c r="C1900" s="94"/>
      <c r="D1900" s="95"/>
      <c r="E1900" s="95"/>
      <c r="F1900" s="95"/>
      <c r="G1900" s="95"/>
      <c r="H1900" s="96"/>
      <c r="I1900" s="96"/>
      <c r="J1900" s="271"/>
    </row>
    <row r="1901" spans="1:10">
      <c r="A1901" s="84"/>
      <c r="B1901" s="93" t="s">
        <v>231</v>
      </c>
      <c r="C1901" s="94"/>
      <c r="D1901" s="95"/>
      <c r="E1901" s="95"/>
      <c r="F1901" s="95"/>
      <c r="G1901" s="95"/>
      <c r="H1901" s="96"/>
      <c r="I1901" s="96"/>
      <c r="J1901" s="271"/>
    </row>
    <row r="1902" spans="1:10">
      <c r="A1902" s="84"/>
      <c r="B1902" s="89"/>
      <c r="C1902" s="97"/>
      <c r="D1902" s="91"/>
      <c r="E1902" s="91"/>
      <c r="F1902" s="91"/>
      <c r="G1902" s="91" t="s">
        <v>255</v>
      </c>
      <c r="H1902" s="91"/>
      <c r="I1902" s="91"/>
      <c r="J1902" s="99">
        <f>+SUBTOTAL(9,J1895:J1901)</f>
        <v>67.45</v>
      </c>
    </row>
    <row r="1903" spans="1:10">
      <c r="A1903" s="84"/>
      <c r="B1903" s="89"/>
      <c r="C1903" s="97"/>
      <c r="D1903" s="91"/>
      <c r="E1903" s="91"/>
      <c r="F1903" s="91" t="s">
        <v>256</v>
      </c>
      <c r="G1903" s="91"/>
      <c r="H1903" s="91"/>
      <c r="I1903" s="91">
        <v>0</v>
      </c>
      <c r="J1903" s="99">
        <f>+ROUND(I1903*J1902,2)</f>
        <v>0</v>
      </c>
    </row>
    <row r="1904" spans="1:10">
      <c r="A1904" s="84"/>
      <c r="B1904" s="89"/>
      <c r="C1904" s="97"/>
      <c r="D1904" s="91"/>
      <c r="E1904" s="91"/>
      <c r="F1904" s="91" t="s">
        <v>257</v>
      </c>
      <c r="G1904" s="91"/>
      <c r="H1904" s="91"/>
      <c r="I1904" s="91"/>
      <c r="J1904" s="99">
        <f>+SUBTOTAL(9,J1895:J1903)</f>
        <v>67.45</v>
      </c>
    </row>
    <row r="1905" spans="1:10">
      <c r="A1905" s="84"/>
      <c r="B1905" s="98"/>
      <c r="C1905" s="97"/>
      <c r="D1905" s="91"/>
      <c r="E1905" s="91"/>
      <c r="F1905" s="91"/>
      <c r="G1905" s="91" t="s">
        <v>258</v>
      </c>
      <c r="H1905" s="91"/>
      <c r="I1905" s="91"/>
      <c r="J1905" s="275">
        <f>+SUBTOTAL(9,J1886:J1904)</f>
        <v>76.59</v>
      </c>
    </row>
    <row r="1906" spans="1:10">
      <c r="A1906" s="84"/>
      <c r="B1906" s="98"/>
      <c r="C1906" s="97" t="s">
        <v>259</v>
      </c>
      <c r="D1906" s="91">
        <v>5</v>
      </c>
      <c r="E1906" s="91"/>
      <c r="F1906" s="91"/>
      <c r="G1906" s="91" t="s">
        <v>260</v>
      </c>
      <c r="H1906" s="91"/>
      <c r="I1906" s="91"/>
      <c r="J1906" s="275">
        <f>+ROUND(J1905/D1906,2)</f>
        <v>15.32</v>
      </c>
    </row>
    <row r="1907" spans="1:10">
      <c r="A1907" s="84"/>
      <c r="B1907" s="89" t="s">
        <v>228</v>
      </c>
      <c r="C1907" s="90" t="s">
        <v>261</v>
      </c>
      <c r="D1907" s="91"/>
      <c r="E1907" s="91"/>
      <c r="F1907" s="91"/>
      <c r="G1907" s="92" t="s">
        <v>230</v>
      </c>
      <c r="H1907" s="92" t="s">
        <v>262</v>
      </c>
      <c r="I1907" s="92" t="s">
        <v>263</v>
      </c>
      <c r="J1907" s="99" t="s">
        <v>264</v>
      </c>
    </row>
    <row r="1908" spans="1:10">
      <c r="A1908" s="84"/>
      <c r="B1908" s="89" t="s">
        <v>669</v>
      </c>
      <c r="C1908" s="90" t="s">
        <v>670</v>
      </c>
      <c r="D1908" s="91"/>
      <c r="E1908" s="91"/>
      <c r="F1908" s="91"/>
      <c r="G1908" s="92" t="s">
        <v>332</v>
      </c>
      <c r="H1908" s="92">
        <v>4.79</v>
      </c>
      <c r="I1908" s="92">
        <v>2.4</v>
      </c>
      <c r="J1908" s="99">
        <f>+ROUND(H1908*I1908,2)</f>
        <v>11.5</v>
      </c>
    </row>
    <row r="1909" spans="1:10">
      <c r="A1909" s="84"/>
      <c r="B1909" s="93" t="s">
        <v>265</v>
      </c>
      <c r="C1909" s="94" t="s">
        <v>266</v>
      </c>
      <c r="D1909" s="95"/>
      <c r="E1909" s="95"/>
      <c r="F1909" s="95"/>
      <c r="G1909" s="96" t="s">
        <v>267</v>
      </c>
      <c r="H1909" s="96">
        <v>448.91</v>
      </c>
      <c r="I1909" s="96">
        <v>6.6699999999999997E-3</v>
      </c>
      <c r="J1909" s="271">
        <f>+ROUND(H1909*I1909,2)</f>
        <v>2.99</v>
      </c>
    </row>
    <row r="1910" spans="1:10">
      <c r="A1910" s="84"/>
      <c r="B1910" s="93" t="s">
        <v>671</v>
      </c>
      <c r="C1910" s="94" t="s">
        <v>672</v>
      </c>
      <c r="D1910" s="95"/>
      <c r="E1910" s="95"/>
      <c r="F1910" s="95"/>
      <c r="G1910" s="96" t="s">
        <v>267</v>
      </c>
      <c r="H1910" s="96">
        <v>421.36</v>
      </c>
      <c r="I1910" s="96">
        <v>8.0000000000000004E-4</v>
      </c>
      <c r="J1910" s="271">
        <f>+ROUND(H1910*I1910,2)</f>
        <v>0.34</v>
      </c>
    </row>
    <row r="1911" spans="1:10">
      <c r="A1911" s="84"/>
      <c r="B1911" s="93" t="s">
        <v>673</v>
      </c>
      <c r="C1911" s="94" t="s">
        <v>674</v>
      </c>
      <c r="D1911" s="95"/>
      <c r="E1911" s="95"/>
      <c r="F1911" s="95"/>
      <c r="G1911" s="96" t="s">
        <v>270</v>
      </c>
      <c r="H1911" s="96">
        <v>33.81</v>
      </c>
      <c r="I1911" s="96">
        <v>2.3999999999999998E-3</v>
      </c>
      <c r="J1911" s="271">
        <f>+ROUND(H1911*I1911,2)</f>
        <v>0.08</v>
      </c>
    </row>
    <row r="1912" spans="1:10">
      <c r="A1912" s="84"/>
      <c r="B1912" s="93" t="s">
        <v>231</v>
      </c>
      <c r="C1912" s="94"/>
      <c r="D1912" s="95"/>
      <c r="E1912" s="95"/>
      <c r="F1912" s="95"/>
      <c r="G1912" s="96"/>
      <c r="H1912" s="96"/>
      <c r="I1912" s="96"/>
      <c r="J1912" s="271"/>
    </row>
    <row r="1913" spans="1:10">
      <c r="A1913" s="84"/>
      <c r="B1913" s="93" t="s">
        <v>231</v>
      </c>
      <c r="C1913" s="94"/>
      <c r="D1913" s="95"/>
      <c r="E1913" s="95"/>
      <c r="F1913" s="95"/>
      <c r="G1913" s="96"/>
      <c r="H1913" s="96"/>
      <c r="I1913" s="96"/>
      <c r="J1913" s="271"/>
    </row>
    <row r="1914" spans="1:10">
      <c r="A1914" s="84"/>
      <c r="B1914" s="93" t="s">
        <v>231</v>
      </c>
      <c r="C1914" s="94"/>
      <c r="D1914" s="95"/>
      <c r="E1914" s="95"/>
      <c r="F1914" s="95"/>
      <c r="G1914" s="96"/>
      <c r="H1914" s="96"/>
      <c r="I1914" s="96"/>
      <c r="J1914" s="271"/>
    </row>
    <row r="1915" spans="1:10">
      <c r="A1915" s="84"/>
      <c r="B1915" s="89"/>
      <c r="C1915" s="97"/>
      <c r="D1915" s="91"/>
      <c r="E1915" s="91"/>
      <c r="F1915" s="91"/>
      <c r="G1915" s="91" t="s">
        <v>275</v>
      </c>
      <c r="H1915" s="91"/>
      <c r="I1915" s="91"/>
      <c r="J1915" s="99">
        <f>+SUBTOTAL(9,J1908:J1914)</f>
        <v>14.91</v>
      </c>
    </row>
    <row r="1916" spans="1:10">
      <c r="A1916" s="84"/>
      <c r="B1916" s="89" t="s">
        <v>228</v>
      </c>
      <c r="C1916" s="90" t="s">
        <v>276</v>
      </c>
      <c r="D1916" s="91"/>
      <c r="E1916" s="91"/>
      <c r="F1916" s="91"/>
      <c r="G1916" s="92" t="s">
        <v>230</v>
      </c>
      <c r="H1916" s="92" t="s">
        <v>262</v>
      </c>
      <c r="I1916" s="92" t="s">
        <v>263</v>
      </c>
      <c r="J1916" s="99" t="s">
        <v>264</v>
      </c>
    </row>
    <row r="1917" spans="1:10">
      <c r="A1917" s="84"/>
      <c r="B1917" s="89" t="s">
        <v>231</v>
      </c>
      <c r="C1917" s="90"/>
      <c r="D1917" s="91"/>
      <c r="E1917" s="91"/>
      <c r="F1917" s="91"/>
      <c r="G1917" s="92"/>
      <c r="H1917" s="92"/>
      <c r="I1917" s="92"/>
      <c r="J1917" s="99"/>
    </row>
    <row r="1918" spans="1:10">
      <c r="A1918" s="84"/>
      <c r="B1918" s="93" t="s">
        <v>231</v>
      </c>
      <c r="C1918" s="94"/>
      <c r="D1918" s="95"/>
      <c r="E1918" s="95"/>
      <c r="F1918" s="95"/>
      <c r="G1918" s="96"/>
      <c r="H1918" s="96"/>
      <c r="I1918" s="96"/>
      <c r="J1918" s="271"/>
    </row>
    <row r="1919" spans="1:10">
      <c r="A1919" s="84"/>
      <c r="B1919" s="93" t="s">
        <v>231</v>
      </c>
      <c r="C1919" s="94"/>
      <c r="D1919" s="95"/>
      <c r="E1919" s="95"/>
      <c r="F1919" s="95"/>
      <c r="G1919" s="96"/>
      <c r="H1919" s="96"/>
      <c r="I1919" s="96"/>
      <c r="J1919" s="271"/>
    </row>
    <row r="1920" spans="1:10">
      <c r="A1920" s="84"/>
      <c r="B1920" s="93" t="s">
        <v>231</v>
      </c>
      <c r="C1920" s="94"/>
      <c r="D1920" s="95"/>
      <c r="E1920" s="95"/>
      <c r="F1920" s="95"/>
      <c r="G1920" s="96"/>
      <c r="H1920" s="96"/>
      <c r="I1920" s="96"/>
      <c r="J1920" s="271"/>
    </row>
    <row r="1921" spans="1:10">
      <c r="A1921" s="84"/>
      <c r="B1921" s="93" t="s">
        <v>231</v>
      </c>
      <c r="C1921" s="94"/>
      <c r="D1921" s="95"/>
      <c r="E1921" s="95"/>
      <c r="F1921" s="95"/>
      <c r="G1921" s="96"/>
      <c r="H1921" s="96"/>
      <c r="I1921" s="96"/>
      <c r="J1921" s="271"/>
    </row>
    <row r="1922" spans="1:10">
      <c r="A1922" s="84"/>
      <c r="B1922" s="89"/>
      <c r="C1922" s="97"/>
      <c r="D1922" s="91"/>
      <c r="E1922" s="91"/>
      <c r="F1922" s="91"/>
      <c r="G1922" s="91" t="s">
        <v>279</v>
      </c>
      <c r="H1922" s="91"/>
      <c r="I1922" s="91"/>
      <c r="J1922" s="99">
        <f>+SUBTOTAL(9,J1917:J1921)</f>
        <v>0</v>
      </c>
    </row>
    <row r="1923" spans="1:10">
      <c r="A1923" s="84"/>
      <c r="B1923" s="89" t="s">
        <v>228</v>
      </c>
      <c r="C1923" s="90" t="s">
        <v>280</v>
      </c>
      <c r="D1923" s="92" t="s">
        <v>281</v>
      </c>
      <c r="E1923" s="92" t="s">
        <v>282</v>
      </c>
      <c r="F1923" s="92" t="s">
        <v>283</v>
      </c>
      <c r="G1923" s="92" t="s">
        <v>284</v>
      </c>
      <c r="H1923" s="92" t="s">
        <v>285</v>
      </c>
      <c r="I1923" s="92" t="s">
        <v>263</v>
      </c>
      <c r="J1923" s="99" t="s">
        <v>286</v>
      </c>
    </row>
    <row r="1924" spans="1:10">
      <c r="A1924" s="84"/>
      <c r="B1924" s="89" t="s">
        <v>675</v>
      </c>
      <c r="C1924" s="90" t="s">
        <v>676</v>
      </c>
      <c r="D1924" s="92" t="s">
        <v>289</v>
      </c>
      <c r="E1924" s="92">
        <v>0</v>
      </c>
      <c r="F1924" s="92">
        <v>56.58</v>
      </c>
      <c r="G1924" s="92">
        <v>56.58</v>
      </c>
      <c r="H1924" s="92">
        <v>0.74</v>
      </c>
      <c r="I1924" s="92">
        <v>2.3999999999999998E-3</v>
      </c>
      <c r="J1924" s="99">
        <f>+ROUND(G1924*H1924*I1924,2)</f>
        <v>0.1</v>
      </c>
    </row>
    <row r="1925" spans="1:10">
      <c r="A1925" s="84"/>
      <c r="B1925" s="93" t="s">
        <v>231</v>
      </c>
      <c r="C1925" s="94"/>
      <c r="D1925" s="96"/>
      <c r="E1925" s="96"/>
      <c r="F1925" s="96"/>
      <c r="G1925" s="96"/>
      <c r="H1925" s="96"/>
      <c r="I1925" s="96"/>
      <c r="J1925" s="271"/>
    </row>
    <row r="1926" spans="1:10">
      <c r="A1926" s="84"/>
      <c r="B1926" s="93" t="s">
        <v>231</v>
      </c>
      <c r="C1926" s="94"/>
      <c r="D1926" s="96"/>
      <c r="E1926" s="96"/>
      <c r="F1926" s="96"/>
      <c r="G1926" s="96"/>
      <c r="H1926" s="96"/>
      <c r="I1926" s="96"/>
      <c r="J1926" s="271"/>
    </row>
    <row r="1927" spans="1:10">
      <c r="A1927" s="84"/>
      <c r="B1927" s="93" t="s">
        <v>231</v>
      </c>
      <c r="C1927" s="94"/>
      <c r="D1927" s="96"/>
      <c r="E1927" s="96"/>
      <c r="F1927" s="96"/>
      <c r="G1927" s="96"/>
      <c r="H1927" s="96"/>
      <c r="I1927" s="96"/>
      <c r="J1927" s="271"/>
    </row>
    <row r="1928" spans="1:10">
      <c r="A1928" s="84"/>
      <c r="B1928" s="93" t="s">
        <v>231</v>
      </c>
      <c r="C1928" s="94"/>
      <c r="D1928" s="96"/>
      <c r="E1928" s="96"/>
      <c r="F1928" s="96"/>
      <c r="G1928" s="96"/>
      <c r="H1928" s="96"/>
      <c r="I1928" s="96"/>
      <c r="J1928" s="271"/>
    </row>
    <row r="1929" spans="1:10">
      <c r="A1929" s="84"/>
      <c r="B1929" s="93" t="s">
        <v>231</v>
      </c>
      <c r="C1929" s="94"/>
      <c r="D1929" s="96"/>
      <c r="E1929" s="96"/>
      <c r="F1929" s="96"/>
      <c r="G1929" s="96"/>
      <c r="H1929" s="96"/>
      <c r="I1929" s="96"/>
      <c r="J1929" s="271"/>
    </row>
    <row r="1930" spans="1:10">
      <c r="A1930" s="84"/>
      <c r="B1930" s="93" t="s">
        <v>231</v>
      </c>
      <c r="C1930" s="94"/>
      <c r="D1930" s="96"/>
      <c r="E1930" s="96"/>
      <c r="F1930" s="96"/>
      <c r="G1930" s="96"/>
      <c r="H1930" s="96"/>
      <c r="I1930" s="96"/>
      <c r="J1930" s="271"/>
    </row>
    <row r="1931" spans="1:10">
      <c r="A1931" s="84"/>
      <c r="B1931" s="89"/>
      <c r="C1931" s="97"/>
      <c r="D1931" s="91"/>
      <c r="E1931" s="91"/>
      <c r="F1931" s="91"/>
      <c r="G1931" s="91" t="s">
        <v>290</v>
      </c>
      <c r="H1931" s="91"/>
      <c r="I1931" s="91"/>
      <c r="J1931" s="99">
        <f>+SUBTOTAL(9,J1924:J1930)</f>
        <v>0.1</v>
      </c>
    </row>
    <row r="1932" spans="1:10">
      <c r="A1932" s="84"/>
      <c r="B1932" s="89" t="s">
        <v>291</v>
      </c>
      <c r="C1932" s="97"/>
      <c r="D1932" s="91"/>
      <c r="E1932" s="91"/>
      <c r="F1932" s="91"/>
      <c r="G1932" s="91"/>
      <c r="H1932" s="91"/>
      <c r="I1932" s="91"/>
      <c r="J1932" s="99">
        <f>+SUBTOTAL(9,J1906:J1930)</f>
        <v>30.330000000000002</v>
      </c>
    </row>
    <row r="1933" spans="1:10">
      <c r="A1933" s="84"/>
      <c r="B1933" s="89" t="s">
        <v>292</v>
      </c>
      <c r="C1933" s="97"/>
      <c r="D1933" s="91">
        <v>0</v>
      </c>
      <c r="E1933" s="91"/>
      <c r="F1933" s="91"/>
      <c r="G1933" s="91"/>
      <c r="H1933" s="91"/>
      <c r="I1933" s="91"/>
      <c r="J1933" s="99">
        <f>+ROUND(J1932*D1933/100,2)</f>
        <v>0</v>
      </c>
    </row>
    <row r="1934" spans="1:10" ht="14.4" thickBot="1">
      <c r="A1934" s="84"/>
      <c r="B1934" s="89" t="s">
        <v>293</v>
      </c>
      <c r="C1934" s="97"/>
      <c r="D1934" s="91"/>
      <c r="E1934" s="91"/>
      <c r="F1934" s="91"/>
      <c r="G1934" s="91"/>
      <c r="H1934" s="91"/>
      <c r="I1934" s="91"/>
      <c r="J1934" s="99">
        <f>+J1932+ J1933</f>
        <v>30.330000000000002</v>
      </c>
    </row>
    <row r="1935" spans="1:10">
      <c r="A1935" s="84"/>
      <c r="B1935" s="85" t="s">
        <v>294</v>
      </c>
      <c r="C1935" s="86"/>
      <c r="D1935" s="88"/>
      <c r="E1935" s="88"/>
      <c r="F1935" s="88" t="s">
        <v>295</v>
      </c>
      <c r="G1935" s="88"/>
      <c r="H1935" s="88"/>
      <c r="I1935" s="88" t="s">
        <v>296</v>
      </c>
      <c r="J1935" s="270"/>
    </row>
    <row r="1936" spans="1:10">
      <c r="A1936" s="84"/>
      <c r="B1936" s="93" t="s">
        <v>297</v>
      </c>
      <c r="C1936" s="84"/>
      <c r="D1936" s="95"/>
      <c r="E1936" s="95"/>
      <c r="F1936" s="95" t="s">
        <v>298</v>
      </c>
      <c r="G1936" s="95"/>
      <c r="H1936" s="95"/>
      <c r="I1936" s="95"/>
      <c r="J1936" s="276"/>
    </row>
    <row r="1937" spans="1:10">
      <c r="A1937" s="84"/>
      <c r="B1937" s="93" t="s">
        <v>299</v>
      </c>
      <c r="C1937" s="84"/>
      <c r="D1937" s="95"/>
      <c r="E1937" s="95"/>
      <c r="F1937" s="95" t="s">
        <v>300</v>
      </c>
      <c r="G1937" s="95"/>
      <c r="H1937" s="95"/>
      <c r="I1937" s="95"/>
      <c r="J1937" s="276"/>
    </row>
    <row r="1938" spans="1:10" ht="14.4" thickBot="1">
      <c r="A1938" s="84"/>
      <c r="B1938" s="100" t="s">
        <v>301</v>
      </c>
      <c r="C1938" s="84"/>
      <c r="D1938" s="95"/>
      <c r="E1938" s="95"/>
      <c r="F1938" s="95"/>
      <c r="G1938" s="95"/>
      <c r="H1938" s="95"/>
      <c r="I1938" s="95"/>
      <c r="J1938" s="277"/>
    </row>
    <row r="1939" spans="1:10">
      <c r="A1939" s="84"/>
      <c r="B1939" s="86"/>
      <c r="C1939" s="86"/>
      <c r="D1939" s="88"/>
      <c r="E1939" s="88"/>
      <c r="F1939" s="88"/>
      <c r="G1939" s="88"/>
      <c r="H1939" s="88"/>
      <c r="I1939" s="88"/>
      <c r="J1939" s="88"/>
    </row>
    <row r="1940" spans="1:10" ht="14.4" thickBot="1">
      <c r="A1940" s="84"/>
      <c r="B1940" s="84"/>
      <c r="C1940" s="84"/>
      <c r="D1940" s="95"/>
      <c r="E1940" s="95"/>
      <c r="F1940" s="95"/>
      <c r="G1940" s="95"/>
      <c r="H1940" s="95"/>
      <c r="I1940" s="95"/>
      <c r="J1940" s="95"/>
    </row>
    <row r="1941" spans="1:10">
      <c r="A1941" s="84"/>
      <c r="B1941" s="85"/>
      <c r="C1941" s="86"/>
      <c r="D1941" s="87" t="s">
        <v>227</v>
      </c>
      <c r="E1941" s="87"/>
      <c r="F1941" s="87"/>
      <c r="G1941" s="88"/>
      <c r="H1941" s="88"/>
      <c r="I1941" s="88"/>
      <c r="J1941" s="270"/>
    </row>
    <row r="1942" spans="1:10">
      <c r="A1942" s="84"/>
      <c r="B1942" s="89" t="s">
        <v>228</v>
      </c>
      <c r="C1942" s="90" t="s">
        <v>92</v>
      </c>
      <c r="D1942" s="91"/>
      <c r="E1942" s="91"/>
      <c r="F1942" s="91"/>
      <c r="G1942" s="91"/>
      <c r="H1942" s="92" t="s">
        <v>229</v>
      </c>
      <c r="I1942" s="91"/>
      <c r="J1942" s="99" t="s">
        <v>230</v>
      </c>
    </row>
    <row r="1943" spans="1:10">
      <c r="A1943" s="84"/>
      <c r="B1943" s="93" t="s">
        <v>666</v>
      </c>
      <c r="C1943" s="94" t="s">
        <v>677</v>
      </c>
      <c r="D1943" s="95"/>
      <c r="E1943" s="95"/>
      <c r="F1943" s="95"/>
      <c r="G1943" s="95"/>
      <c r="H1943" s="96" t="s">
        <v>233</v>
      </c>
      <c r="I1943" s="95"/>
      <c r="J1943" s="271" t="s">
        <v>386</v>
      </c>
    </row>
    <row r="1944" spans="1:10">
      <c r="A1944" s="84"/>
      <c r="B1944" s="89"/>
      <c r="C1944" s="90"/>
      <c r="D1944" s="91"/>
      <c r="E1944" s="92"/>
      <c r="F1944" s="92" t="s">
        <v>235</v>
      </c>
      <c r="G1944" s="92"/>
      <c r="H1944" s="92" t="s">
        <v>236</v>
      </c>
      <c r="I1944" s="92"/>
      <c r="J1944" s="99" t="s">
        <v>237</v>
      </c>
    </row>
    <row r="1945" spans="1:10">
      <c r="A1945" s="84"/>
      <c r="B1945" s="93" t="s">
        <v>228</v>
      </c>
      <c r="C1945" s="94" t="s">
        <v>238</v>
      </c>
      <c r="D1945" s="95"/>
      <c r="E1945" s="96" t="s">
        <v>239</v>
      </c>
      <c r="F1945" s="92" t="s">
        <v>240</v>
      </c>
      <c r="G1945" s="92" t="s">
        <v>241</v>
      </c>
      <c r="H1945" s="92" t="s">
        <v>240</v>
      </c>
      <c r="I1945" s="272" t="s">
        <v>241</v>
      </c>
      <c r="J1945" s="271" t="s">
        <v>242</v>
      </c>
    </row>
    <row r="1946" spans="1:10">
      <c r="A1946" s="84"/>
      <c r="B1946" s="89" t="s">
        <v>231</v>
      </c>
      <c r="C1946" s="90"/>
      <c r="D1946" s="91"/>
      <c r="E1946" s="92"/>
      <c r="F1946" s="92"/>
      <c r="G1946" s="92"/>
      <c r="H1946" s="92"/>
      <c r="I1946" s="92"/>
      <c r="J1946" s="99"/>
    </row>
    <row r="1947" spans="1:10">
      <c r="A1947" s="84"/>
      <c r="B1947" s="93" t="s">
        <v>231</v>
      </c>
      <c r="C1947" s="94"/>
      <c r="D1947" s="95"/>
      <c r="E1947" s="96"/>
      <c r="F1947" s="96"/>
      <c r="G1947" s="96"/>
      <c r="H1947" s="96"/>
      <c r="I1947" s="96"/>
      <c r="J1947" s="271"/>
    </row>
    <row r="1948" spans="1:10">
      <c r="A1948" s="84"/>
      <c r="B1948" s="93" t="s">
        <v>231</v>
      </c>
      <c r="C1948" s="94"/>
      <c r="D1948" s="95"/>
      <c r="E1948" s="96"/>
      <c r="F1948" s="96"/>
      <c r="G1948" s="96"/>
      <c r="H1948" s="96"/>
      <c r="I1948" s="96"/>
      <c r="J1948" s="271"/>
    </row>
    <row r="1949" spans="1:10">
      <c r="A1949" s="84"/>
      <c r="B1949" s="93" t="s">
        <v>231</v>
      </c>
      <c r="C1949" s="94"/>
      <c r="D1949" s="95"/>
      <c r="E1949" s="96"/>
      <c r="F1949" s="96"/>
      <c r="G1949" s="96"/>
      <c r="H1949" s="96"/>
      <c r="I1949" s="96"/>
      <c r="J1949" s="271"/>
    </row>
    <row r="1950" spans="1:10">
      <c r="A1950" s="84"/>
      <c r="B1950" s="93" t="s">
        <v>231</v>
      </c>
      <c r="C1950" s="94"/>
      <c r="D1950" s="95"/>
      <c r="E1950" s="96"/>
      <c r="F1950" s="96"/>
      <c r="G1950" s="96"/>
      <c r="H1950" s="96"/>
      <c r="I1950" s="96"/>
      <c r="J1950" s="271"/>
    </row>
    <row r="1951" spans="1:10">
      <c r="A1951" s="84"/>
      <c r="B1951" s="93" t="s">
        <v>231</v>
      </c>
      <c r="C1951" s="94"/>
      <c r="D1951" s="95"/>
      <c r="E1951" s="96"/>
      <c r="F1951" s="96"/>
      <c r="G1951" s="96"/>
      <c r="H1951" s="96"/>
      <c r="I1951" s="96"/>
      <c r="J1951" s="271"/>
    </row>
    <row r="1952" spans="1:10">
      <c r="A1952" s="84"/>
      <c r="B1952" s="93" t="s">
        <v>231</v>
      </c>
      <c r="C1952" s="94"/>
      <c r="D1952" s="95"/>
      <c r="E1952" s="96"/>
      <c r="F1952" s="96"/>
      <c r="G1952" s="96"/>
      <c r="H1952" s="96"/>
      <c r="I1952" s="96"/>
      <c r="J1952" s="271"/>
    </row>
    <row r="1953" spans="1:10">
      <c r="A1953" s="84"/>
      <c r="B1953" s="89"/>
      <c r="C1953" s="97"/>
      <c r="D1953" s="91"/>
      <c r="E1953" s="91"/>
      <c r="F1953" s="91"/>
      <c r="G1953" s="91" t="s">
        <v>249</v>
      </c>
      <c r="H1953" s="91"/>
      <c r="I1953" s="91"/>
      <c r="J1953" s="99">
        <f>+SUBTOTAL(9,J1946:J1952)</f>
        <v>0</v>
      </c>
    </row>
    <row r="1954" spans="1:10">
      <c r="A1954" s="84"/>
      <c r="B1954" s="89" t="s">
        <v>228</v>
      </c>
      <c r="C1954" s="90" t="s">
        <v>250</v>
      </c>
      <c r="D1954" s="91"/>
      <c r="E1954" s="91"/>
      <c r="F1954" s="91"/>
      <c r="G1954" s="91"/>
      <c r="H1954" s="92" t="s">
        <v>239</v>
      </c>
      <c r="I1954" s="92" t="s">
        <v>251</v>
      </c>
      <c r="J1954" s="99" t="s">
        <v>252</v>
      </c>
    </row>
    <row r="1955" spans="1:10">
      <c r="A1955" s="84"/>
      <c r="B1955" s="89" t="s">
        <v>531</v>
      </c>
      <c r="C1955" s="90" t="s">
        <v>532</v>
      </c>
      <c r="D1955" s="91"/>
      <c r="E1955" s="91"/>
      <c r="F1955" s="91"/>
      <c r="G1955" s="91"/>
      <c r="H1955" s="92">
        <v>1</v>
      </c>
      <c r="I1955" s="92">
        <v>25.37</v>
      </c>
      <c r="J1955" s="99">
        <f>+ROUND(H1955*I1955,2)</f>
        <v>25.37</v>
      </c>
    </row>
    <row r="1956" spans="1:10">
      <c r="A1956" s="84"/>
      <c r="B1956" s="93" t="s">
        <v>253</v>
      </c>
      <c r="C1956" s="94" t="s">
        <v>254</v>
      </c>
      <c r="D1956" s="95"/>
      <c r="E1956" s="95"/>
      <c r="F1956" s="95"/>
      <c r="G1956" s="95"/>
      <c r="H1956" s="96">
        <v>1</v>
      </c>
      <c r="I1956" s="96">
        <v>21.04</v>
      </c>
      <c r="J1956" s="271">
        <f>+ROUND(H1956*I1956,2)</f>
        <v>21.04</v>
      </c>
    </row>
    <row r="1957" spans="1:10">
      <c r="A1957" s="84"/>
      <c r="B1957" s="93" t="s">
        <v>231</v>
      </c>
      <c r="C1957" s="94"/>
      <c r="D1957" s="95"/>
      <c r="E1957" s="95"/>
      <c r="F1957" s="95"/>
      <c r="G1957" s="95"/>
      <c r="H1957" s="96"/>
      <c r="I1957" s="96"/>
      <c r="J1957" s="271"/>
    </row>
    <row r="1958" spans="1:10">
      <c r="A1958" s="84"/>
      <c r="B1958" s="93" t="s">
        <v>231</v>
      </c>
      <c r="C1958" s="94"/>
      <c r="D1958" s="95"/>
      <c r="E1958" s="95"/>
      <c r="F1958" s="95"/>
      <c r="G1958" s="95"/>
      <c r="H1958" s="96"/>
      <c r="I1958" s="96"/>
      <c r="J1958" s="271"/>
    </row>
    <row r="1959" spans="1:10">
      <c r="A1959" s="84"/>
      <c r="B1959" s="93" t="s">
        <v>231</v>
      </c>
      <c r="C1959" s="94"/>
      <c r="D1959" s="95"/>
      <c r="E1959" s="95"/>
      <c r="F1959" s="95"/>
      <c r="G1959" s="95"/>
      <c r="H1959" s="96"/>
      <c r="I1959" s="96"/>
      <c r="J1959" s="271"/>
    </row>
    <row r="1960" spans="1:10">
      <c r="A1960" s="84"/>
      <c r="B1960" s="93" t="s">
        <v>231</v>
      </c>
      <c r="C1960" s="94"/>
      <c r="D1960" s="95"/>
      <c r="E1960" s="95"/>
      <c r="F1960" s="95"/>
      <c r="G1960" s="95"/>
      <c r="H1960" s="96"/>
      <c r="I1960" s="96"/>
      <c r="J1960" s="271"/>
    </row>
    <row r="1961" spans="1:10">
      <c r="A1961" s="84"/>
      <c r="B1961" s="93" t="s">
        <v>231</v>
      </c>
      <c r="C1961" s="94"/>
      <c r="D1961" s="95"/>
      <c r="E1961" s="95"/>
      <c r="F1961" s="95"/>
      <c r="G1961" s="95"/>
      <c r="H1961" s="96"/>
      <c r="I1961" s="96"/>
      <c r="J1961" s="271"/>
    </row>
    <row r="1962" spans="1:10">
      <c r="A1962" s="84"/>
      <c r="B1962" s="89"/>
      <c r="C1962" s="97"/>
      <c r="D1962" s="91"/>
      <c r="E1962" s="91"/>
      <c r="F1962" s="91"/>
      <c r="G1962" s="91" t="s">
        <v>255</v>
      </c>
      <c r="H1962" s="91"/>
      <c r="I1962" s="91"/>
      <c r="J1962" s="99">
        <f>+SUBTOTAL(9,J1955:J1961)</f>
        <v>46.41</v>
      </c>
    </row>
    <row r="1963" spans="1:10">
      <c r="A1963" s="84"/>
      <c r="B1963" s="89"/>
      <c r="C1963" s="97"/>
      <c r="D1963" s="91"/>
      <c r="E1963" s="91"/>
      <c r="F1963" s="91" t="s">
        <v>256</v>
      </c>
      <c r="G1963" s="91"/>
      <c r="H1963" s="91"/>
      <c r="I1963" s="91">
        <v>0</v>
      </c>
      <c r="J1963" s="99">
        <f>+ROUND(I1963*J1962,2)</f>
        <v>0</v>
      </c>
    </row>
    <row r="1964" spans="1:10">
      <c r="A1964" s="84"/>
      <c r="B1964" s="89"/>
      <c r="C1964" s="97"/>
      <c r="D1964" s="91"/>
      <c r="E1964" s="91"/>
      <c r="F1964" s="91" t="s">
        <v>257</v>
      </c>
      <c r="G1964" s="91"/>
      <c r="H1964" s="91"/>
      <c r="I1964" s="91"/>
      <c r="J1964" s="99">
        <f>+SUBTOTAL(9,J1955:J1963)</f>
        <v>46.41</v>
      </c>
    </row>
    <row r="1965" spans="1:10">
      <c r="A1965" s="84"/>
      <c r="B1965" s="98"/>
      <c r="C1965" s="97"/>
      <c r="D1965" s="91"/>
      <c r="E1965" s="91"/>
      <c r="F1965" s="91"/>
      <c r="G1965" s="91" t="s">
        <v>258</v>
      </c>
      <c r="H1965" s="91"/>
      <c r="I1965" s="91"/>
      <c r="J1965" s="275">
        <f>+SUBTOTAL(9,J1946:J1964)</f>
        <v>46.41</v>
      </c>
    </row>
    <row r="1966" spans="1:10">
      <c r="A1966" s="84"/>
      <c r="B1966" s="98"/>
      <c r="C1966" s="97" t="s">
        <v>259</v>
      </c>
      <c r="D1966" s="91">
        <v>2.5</v>
      </c>
      <c r="E1966" s="91"/>
      <c r="F1966" s="91"/>
      <c r="G1966" s="91" t="s">
        <v>260</v>
      </c>
      <c r="H1966" s="91"/>
      <c r="I1966" s="91"/>
      <c r="J1966" s="275">
        <f>+ROUND(J1965/D1966,2)</f>
        <v>18.559999999999999</v>
      </c>
    </row>
    <row r="1967" spans="1:10">
      <c r="A1967" s="84"/>
      <c r="B1967" s="89" t="s">
        <v>228</v>
      </c>
      <c r="C1967" s="90" t="s">
        <v>261</v>
      </c>
      <c r="D1967" s="91"/>
      <c r="E1967" s="91"/>
      <c r="F1967" s="91"/>
      <c r="G1967" s="92" t="s">
        <v>230</v>
      </c>
      <c r="H1967" s="92" t="s">
        <v>262</v>
      </c>
      <c r="I1967" s="92" t="s">
        <v>263</v>
      </c>
      <c r="J1967" s="99" t="s">
        <v>264</v>
      </c>
    </row>
    <row r="1968" spans="1:10">
      <c r="A1968" s="84"/>
      <c r="B1968" s="89" t="s">
        <v>678</v>
      </c>
      <c r="C1968" s="90" t="s">
        <v>679</v>
      </c>
      <c r="D1968" s="91"/>
      <c r="E1968" s="91"/>
      <c r="F1968" s="91"/>
      <c r="G1968" s="92" t="s">
        <v>386</v>
      </c>
      <c r="H1968" s="92">
        <v>332.17</v>
      </c>
      <c r="I1968" s="92">
        <v>1</v>
      </c>
      <c r="J1968" s="99">
        <f>+ROUND(H1968*I1968,2)</f>
        <v>332.17</v>
      </c>
    </row>
    <row r="1969" spans="1:10">
      <c r="A1969" s="84"/>
      <c r="B1969" s="93" t="s">
        <v>680</v>
      </c>
      <c r="C1969" s="94" t="s">
        <v>681</v>
      </c>
      <c r="D1969" s="95"/>
      <c r="E1969" s="95"/>
      <c r="F1969" s="95"/>
      <c r="G1969" s="96" t="s">
        <v>332</v>
      </c>
      <c r="H1969" s="96">
        <v>127.64</v>
      </c>
      <c r="I1969" s="96">
        <v>0.624</v>
      </c>
      <c r="J1969" s="271">
        <f>+ROUND(H1969*I1969,2)</f>
        <v>79.650000000000006</v>
      </c>
    </row>
    <row r="1970" spans="1:10">
      <c r="A1970" s="84"/>
      <c r="B1970" s="93" t="s">
        <v>682</v>
      </c>
      <c r="C1970" s="94" t="s">
        <v>683</v>
      </c>
      <c r="D1970" s="95"/>
      <c r="E1970" s="95"/>
      <c r="F1970" s="95"/>
      <c r="G1970" s="96" t="s">
        <v>270</v>
      </c>
      <c r="H1970" s="96">
        <v>33.81</v>
      </c>
      <c r="I1970" s="96">
        <v>5.5999999999999995E-4</v>
      </c>
      <c r="J1970" s="271">
        <f>+ROUND(H1970*I1970,2)</f>
        <v>0.02</v>
      </c>
    </row>
    <row r="1971" spans="1:10">
      <c r="A1971" s="84"/>
      <c r="B1971" s="93" t="s">
        <v>684</v>
      </c>
      <c r="C1971" s="94" t="s">
        <v>685</v>
      </c>
      <c r="D1971" s="95"/>
      <c r="E1971" s="95"/>
      <c r="F1971" s="95"/>
      <c r="G1971" s="96" t="s">
        <v>270</v>
      </c>
      <c r="H1971" s="96">
        <v>33.81</v>
      </c>
      <c r="I1971" s="96">
        <v>6.2E-4</v>
      </c>
      <c r="J1971" s="271">
        <f>+ROUND(H1971*I1971,2)</f>
        <v>0.02</v>
      </c>
    </row>
    <row r="1972" spans="1:10">
      <c r="A1972" s="84"/>
      <c r="B1972" s="93" t="s">
        <v>231</v>
      </c>
      <c r="C1972" s="94"/>
      <c r="D1972" s="95"/>
      <c r="E1972" s="95"/>
      <c r="F1972" s="95"/>
      <c r="G1972" s="96"/>
      <c r="H1972" s="96"/>
      <c r="I1972" s="96"/>
      <c r="J1972" s="271"/>
    </row>
    <row r="1973" spans="1:10">
      <c r="A1973" s="84"/>
      <c r="B1973" s="93" t="s">
        <v>231</v>
      </c>
      <c r="C1973" s="94"/>
      <c r="D1973" s="95"/>
      <c r="E1973" s="95"/>
      <c r="F1973" s="95"/>
      <c r="G1973" s="96"/>
      <c r="H1973" s="96"/>
      <c r="I1973" s="96"/>
      <c r="J1973" s="271"/>
    </row>
    <row r="1974" spans="1:10">
      <c r="A1974" s="84"/>
      <c r="B1974" s="93" t="s">
        <v>231</v>
      </c>
      <c r="C1974" s="94"/>
      <c r="D1974" s="95"/>
      <c r="E1974" s="95"/>
      <c r="F1974" s="95"/>
      <c r="G1974" s="96"/>
      <c r="H1974" s="96"/>
      <c r="I1974" s="96"/>
      <c r="J1974" s="271"/>
    </row>
    <row r="1975" spans="1:10">
      <c r="A1975" s="84"/>
      <c r="B1975" s="89"/>
      <c r="C1975" s="97"/>
      <c r="D1975" s="91"/>
      <c r="E1975" s="91"/>
      <c r="F1975" s="91"/>
      <c r="G1975" s="91" t="s">
        <v>275</v>
      </c>
      <c r="H1975" s="91"/>
      <c r="I1975" s="91"/>
      <c r="J1975" s="99">
        <f>+SUBTOTAL(9,J1968:J1974)</f>
        <v>411.86</v>
      </c>
    </row>
    <row r="1976" spans="1:10">
      <c r="A1976" s="84"/>
      <c r="B1976" s="89" t="s">
        <v>228</v>
      </c>
      <c r="C1976" s="90" t="s">
        <v>276</v>
      </c>
      <c r="D1976" s="91"/>
      <c r="E1976" s="91"/>
      <c r="F1976" s="91"/>
      <c r="G1976" s="92" t="s">
        <v>230</v>
      </c>
      <c r="H1976" s="92" t="s">
        <v>262</v>
      </c>
      <c r="I1976" s="92" t="s">
        <v>263</v>
      </c>
      <c r="J1976" s="99" t="s">
        <v>264</v>
      </c>
    </row>
    <row r="1977" spans="1:10">
      <c r="A1977" s="84"/>
      <c r="B1977" s="89" t="s">
        <v>231</v>
      </c>
      <c r="C1977" s="90"/>
      <c r="D1977" s="91"/>
      <c r="E1977" s="91"/>
      <c r="F1977" s="91"/>
      <c r="G1977" s="92"/>
      <c r="H1977" s="92"/>
      <c r="I1977" s="92"/>
      <c r="J1977" s="99"/>
    </row>
    <row r="1978" spans="1:10">
      <c r="A1978" s="84"/>
      <c r="B1978" s="93" t="s">
        <v>231</v>
      </c>
      <c r="C1978" s="94"/>
      <c r="D1978" s="95"/>
      <c r="E1978" s="95"/>
      <c r="F1978" s="95"/>
      <c r="G1978" s="96"/>
      <c r="H1978" s="96"/>
      <c r="I1978" s="96"/>
      <c r="J1978" s="271"/>
    </row>
    <row r="1979" spans="1:10">
      <c r="A1979" s="84"/>
      <c r="B1979" s="93" t="s">
        <v>231</v>
      </c>
      <c r="C1979" s="94"/>
      <c r="D1979" s="95"/>
      <c r="E1979" s="95"/>
      <c r="F1979" s="95"/>
      <c r="G1979" s="96"/>
      <c r="H1979" s="96"/>
      <c r="I1979" s="96"/>
      <c r="J1979" s="271"/>
    </row>
    <row r="1980" spans="1:10">
      <c r="A1980" s="84"/>
      <c r="B1980" s="93" t="s">
        <v>231</v>
      </c>
      <c r="C1980" s="94"/>
      <c r="D1980" s="95"/>
      <c r="E1980" s="95"/>
      <c r="F1980" s="95"/>
      <c r="G1980" s="96"/>
      <c r="H1980" s="96"/>
      <c r="I1980" s="96"/>
      <c r="J1980" s="271"/>
    </row>
    <row r="1981" spans="1:10">
      <c r="A1981" s="84"/>
      <c r="B1981" s="93" t="s">
        <v>231</v>
      </c>
      <c r="C1981" s="94"/>
      <c r="D1981" s="95"/>
      <c r="E1981" s="95"/>
      <c r="F1981" s="95"/>
      <c r="G1981" s="96"/>
      <c r="H1981" s="96"/>
      <c r="I1981" s="96"/>
      <c r="J1981" s="271"/>
    </row>
    <row r="1982" spans="1:10">
      <c r="A1982" s="84"/>
      <c r="B1982" s="89"/>
      <c r="C1982" s="97"/>
      <c r="D1982" s="91"/>
      <c r="E1982" s="91"/>
      <c r="F1982" s="91"/>
      <c r="G1982" s="91" t="s">
        <v>279</v>
      </c>
      <c r="H1982" s="91"/>
      <c r="I1982" s="91"/>
      <c r="J1982" s="99">
        <f>+SUBTOTAL(9,J1977:J1981)</f>
        <v>0</v>
      </c>
    </row>
    <row r="1983" spans="1:10">
      <c r="A1983" s="84"/>
      <c r="B1983" s="89" t="s">
        <v>228</v>
      </c>
      <c r="C1983" s="90" t="s">
        <v>280</v>
      </c>
      <c r="D1983" s="92" t="s">
        <v>281</v>
      </c>
      <c r="E1983" s="92" t="s">
        <v>282</v>
      </c>
      <c r="F1983" s="92" t="s">
        <v>283</v>
      </c>
      <c r="G1983" s="92" t="s">
        <v>284</v>
      </c>
      <c r="H1983" s="92" t="s">
        <v>285</v>
      </c>
      <c r="I1983" s="92" t="s">
        <v>263</v>
      </c>
      <c r="J1983" s="99" t="s">
        <v>286</v>
      </c>
    </row>
    <row r="1984" spans="1:10">
      <c r="A1984" s="84"/>
      <c r="B1984" s="89" t="s">
        <v>686</v>
      </c>
      <c r="C1984" s="90" t="s">
        <v>687</v>
      </c>
      <c r="D1984" s="92" t="s">
        <v>289</v>
      </c>
      <c r="E1984" s="92">
        <v>0</v>
      </c>
      <c r="F1984" s="92">
        <v>56.58</v>
      </c>
      <c r="G1984" s="92">
        <v>56.58</v>
      </c>
      <c r="H1984" s="92">
        <v>0.74</v>
      </c>
      <c r="I1984" s="92">
        <v>5.5999999999999995E-4</v>
      </c>
      <c r="J1984" s="99">
        <f>+ROUND(G1984*H1984*I1984,2)</f>
        <v>0.02</v>
      </c>
    </row>
    <row r="1985" spans="1:10">
      <c r="A1985" s="84"/>
      <c r="B1985" s="93" t="s">
        <v>688</v>
      </c>
      <c r="C1985" s="94" t="s">
        <v>689</v>
      </c>
      <c r="D1985" s="96" t="s">
        <v>289</v>
      </c>
      <c r="E1985" s="96">
        <v>0</v>
      </c>
      <c r="F1985" s="96">
        <v>56.58</v>
      </c>
      <c r="G1985" s="96">
        <v>56.58</v>
      </c>
      <c r="H1985" s="96">
        <v>0.74</v>
      </c>
      <c r="I1985" s="96">
        <v>6.2E-4</v>
      </c>
      <c r="J1985" s="271">
        <f>+ROUND(G1985*H1985*I1985,2)</f>
        <v>0.03</v>
      </c>
    </row>
    <row r="1986" spans="1:10">
      <c r="A1986" s="84"/>
      <c r="B1986" s="93" t="s">
        <v>231</v>
      </c>
      <c r="C1986" s="94"/>
      <c r="D1986" s="96"/>
      <c r="E1986" s="96"/>
      <c r="F1986" s="96"/>
      <c r="G1986" s="96"/>
      <c r="H1986" s="96"/>
      <c r="I1986" s="96"/>
      <c r="J1986" s="271"/>
    </row>
    <row r="1987" spans="1:10">
      <c r="A1987" s="84"/>
      <c r="B1987" s="93" t="s">
        <v>231</v>
      </c>
      <c r="C1987" s="94"/>
      <c r="D1987" s="96"/>
      <c r="E1987" s="96"/>
      <c r="F1987" s="96"/>
      <c r="G1987" s="96"/>
      <c r="H1987" s="96"/>
      <c r="I1987" s="96"/>
      <c r="J1987" s="271"/>
    </row>
    <row r="1988" spans="1:10">
      <c r="A1988" s="84"/>
      <c r="B1988" s="93" t="s">
        <v>231</v>
      </c>
      <c r="C1988" s="94"/>
      <c r="D1988" s="96"/>
      <c r="E1988" s="96"/>
      <c r="F1988" s="96"/>
      <c r="G1988" s="96"/>
      <c r="H1988" s="96"/>
      <c r="I1988" s="96"/>
      <c r="J1988" s="271"/>
    </row>
    <row r="1989" spans="1:10">
      <c r="A1989" s="84"/>
      <c r="B1989" s="93" t="s">
        <v>231</v>
      </c>
      <c r="C1989" s="94"/>
      <c r="D1989" s="96"/>
      <c r="E1989" s="96"/>
      <c r="F1989" s="96"/>
      <c r="G1989" s="96"/>
      <c r="H1989" s="96"/>
      <c r="I1989" s="96"/>
      <c r="J1989" s="271"/>
    </row>
    <row r="1990" spans="1:10">
      <c r="A1990" s="84"/>
      <c r="B1990" s="93" t="s">
        <v>231</v>
      </c>
      <c r="C1990" s="94"/>
      <c r="D1990" s="96"/>
      <c r="E1990" s="96"/>
      <c r="F1990" s="96"/>
      <c r="G1990" s="96"/>
      <c r="H1990" s="96"/>
      <c r="I1990" s="96"/>
      <c r="J1990" s="271"/>
    </row>
    <row r="1991" spans="1:10">
      <c r="A1991" s="84"/>
      <c r="B1991" s="89"/>
      <c r="C1991" s="97"/>
      <c r="D1991" s="91"/>
      <c r="E1991" s="91"/>
      <c r="F1991" s="91"/>
      <c r="G1991" s="91" t="s">
        <v>290</v>
      </c>
      <c r="H1991" s="91"/>
      <c r="I1991" s="91"/>
      <c r="J1991" s="99">
        <f>+SUBTOTAL(9,J1984:J1990)</f>
        <v>0.05</v>
      </c>
    </row>
    <row r="1992" spans="1:10">
      <c r="A1992" s="84"/>
      <c r="B1992" s="89" t="s">
        <v>291</v>
      </c>
      <c r="C1992" s="97"/>
      <c r="D1992" s="91"/>
      <c r="E1992" s="91"/>
      <c r="F1992" s="91"/>
      <c r="G1992" s="91"/>
      <c r="H1992" s="91"/>
      <c r="I1992" s="91"/>
      <c r="J1992" s="99">
        <f>+SUBTOTAL(9,J1966:J1990)</f>
        <v>430.46999999999991</v>
      </c>
    </row>
    <row r="1993" spans="1:10">
      <c r="A1993" s="84"/>
      <c r="B1993" s="89" t="s">
        <v>292</v>
      </c>
      <c r="C1993" s="97"/>
      <c r="D1993" s="91">
        <v>0</v>
      </c>
      <c r="E1993" s="91"/>
      <c r="F1993" s="91"/>
      <c r="G1993" s="91"/>
      <c r="H1993" s="91"/>
      <c r="I1993" s="91"/>
      <c r="J1993" s="99">
        <f>+ROUND(J1992*D1993/100,2)</f>
        <v>0</v>
      </c>
    </row>
    <row r="1994" spans="1:10" ht="14.4" thickBot="1">
      <c r="A1994" s="84"/>
      <c r="B1994" s="89" t="s">
        <v>293</v>
      </c>
      <c r="C1994" s="97"/>
      <c r="D1994" s="91"/>
      <c r="E1994" s="91"/>
      <c r="F1994" s="91"/>
      <c r="G1994" s="91"/>
      <c r="H1994" s="91"/>
      <c r="I1994" s="91"/>
      <c r="J1994" s="99">
        <f>+J1992+ J1993</f>
        <v>430.46999999999991</v>
      </c>
    </row>
    <row r="1995" spans="1:10">
      <c r="A1995" s="84"/>
      <c r="B1995" s="85" t="s">
        <v>294</v>
      </c>
      <c r="C1995" s="86"/>
      <c r="D1995" s="88"/>
      <c r="E1995" s="88"/>
      <c r="F1995" s="88" t="s">
        <v>295</v>
      </c>
      <c r="G1995" s="88"/>
      <c r="H1995" s="88"/>
      <c r="I1995" s="88" t="s">
        <v>296</v>
      </c>
      <c r="J1995" s="270"/>
    </row>
    <row r="1996" spans="1:10">
      <c r="A1996" s="84"/>
      <c r="B1996" s="93" t="s">
        <v>297</v>
      </c>
      <c r="C1996" s="84"/>
      <c r="D1996" s="95"/>
      <c r="E1996" s="95"/>
      <c r="F1996" s="95" t="s">
        <v>298</v>
      </c>
      <c r="G1996" s="95"/>
      <c r="H1996" s="95"/>
      <c r="I1996" s="95"/>
      <c r="J1996" s="276"/>
    </row>
    <row r="1997" spans="1:10">
      <c r="A1997" s="84"/>
      <c r="B1997" s="93" t="s">
        <v>299</v>
      </c>
      <c r="C1997" s="84"/>
      <c r="D1997" s="95"/>
      <c r="E1997" s="95"/>
      <c r="F1997" s="95" t="s">
        <v>300</v>
      </c>
      <c r="G1997" s="95"/>
      <c r="H1997" s="95"/>
      <c r="I1997" s="95"/>
      <c r="J1997" s="276"/>
    </row>
    <row r="1998" spans="1:10" ht="14.4" thickBot="1">
      <c r="A1998" s="84"/>
      <c r="B1998" s="100" t="s">
        <v>301</v>
      </c>
      <c r="C1998" s="84"/>
      <c r="D1998" s="95"/>
      <c r="E1998" s="95"/>
      <c r="F1998" s="95"/>
      <c r="G1998" s="95"/>
      <c r="H1998" s="95"/>
      <c r="I1998" s="95"/>
      <c r="J1998" s="277"/>
    </row>
    <row r="1999" spans="1:10">
      <c r="A1999" s="84"/>
      <c r="B1999" s="86"/>
      <c r="C1999" s="86"/>
      <c r="D1999" s="88"/>
      <c r="E1999" s="88"/>
      <c r="F1999" s="88"/>
      <c r="G1999" s="88"/>
      <c r="H1999" s="88"/>
      <c r="I1999" s="88"/>
      <c r="J1999" s="88"/>
    </row>
    <row r="2000" spans="1:10" ht="14.4" thickBot="1">
      <c r="A2000" s="84"/>
      <c r="B2000" s="84"/>
      <c r="C2000" s="84"/>
      <c r="D2000" s="95"/>
      <c r="E2000" s="95"/>
      <c r="F2000" s="95"/>
      <c r="G2000" s="95"/>
      <c r="H2000" s="95"/>
      <c r="I2000" s="95"/>
      <c r="J2000" s="95"/>
    </row>
    <row r="2001" spans="1:10">
      <c r="A2001" s="84"/>
      <c r="B2001" s="85"/>
      <c r="C2001" s="86"/>
      <c r="D2001" s="87" t="s">
        <v>227</v>
      </c>
      <c r="E2001" s="87"/>
      <c r="F2001" s="87"/>
      <c r="G2001" s="88"/>
      <c r="H2001" s="88"/>
      <c r="I2001" s="88"/>
      <c r="J2001" s="270"/>
    </row>
    <row r="2002" spans="1:10">
      <c r="A2002" s="84"/>
      <c r="B2002" s="89" t="s">
        <v>228</v>
      </c>
      <c r="C2002" s="90" t="s">
        <v>92</v>
      </c>
      <c r="D2002" s="91"/>
      <c r="E2002" s="91"/>
      <c r="F2002" s="91"/>
      <c r="G2002" s="91"/>
      <c r="H2002" s="92" t="s">
        <v>229</v>
      </c>
      <c r="I2002" s="91"/>
      <c r="J2002" s="99" t="s">
        <v>230</v>
      </c>
    </row>
    <row r="2003" spans="1:10">
      <c r="A2003" s="84"/>
      <c r="B2003" s="93" t="s">
        <v>231</v>
      </c>
      <c r="C2003" s="94" t="s">
        <v>148</v>
      </c>
      <c r="D2003" s="95"/>
      <c r="E2003" s="95"/>
      <c r="F2003" s="95"/>
      <c r="G2003" s="95"/>
      <c r="H2003" s="96" t="s">
        <v>233</v>
      </c>
      <c r="I2003" s="95"/>
      <c r="J2003" s="271" t="s">
        <v>386</v>
      </c>
    </row>
    <row r="2004" spans="1:10">
      <c r="A2004" s="84"/>
      <c r="B2004" s="89"/>
      <c r="C2004" s="90"/>
      <c r="D2004" s="91"/>
      <c r="E2004" s="92"/>
      <c r="F2004" s="92" t="s">
        <v>235</v>
      </c>
      <c r="G2004" s="92"/>
      <c r="H2004" s="92" t="s">
        <v>236</v>
      </c>
      <c r="I2004" s="92"/>
      <c r="J2004" s="99" t="s">
        <v>237</v>
      </c>
    </row>
    <row r="2005" spans="1:10">
      <c r="A2005" s="84"/>
      <c r="B2005" s="93" t="s">
        <v>228</v>
      </c>
      <c r="C2005" s="94" t="s">
        <v>238</v>
      </c>
      <c r="D2005" s="95"/>
      <c r="E2005" s="96" t="s">
        <v>239</v>
      </c>
      <c r="F2005" s="92" t="s">
        <v>240</v>
      </c>
      <c r="G2005" s="92" t="s">
        <v>241</v>
      </c>
      <c r="H2005" s="92" t="s">
        <v>240</v>
      </c>
      <c r="I2005" s="272" t="s">
        <v>241</v>
      </c>
      <c r="J2005" s="271" t="s">
        <v>242</v>
      </c>
    </row>
    <row r="2006" spans="1:10">
      <c r="A2006" s="84"/>
      <c r="B2006" s="273" t="s">
        <v>398</v>
      </c>
      <c r="C2006" s="90" t="s">
        <v>399</v>
      </c>
      <c r="D2006" s="91"/>
      <c r="E2006" s="92">
        <v>1</v>
      </c>
      <c r="F2006" s="92">
        <v>1</v>
      </c>
      <c r="G2006" s="92">
        <v>0</v>
      </c>
      <c r="H2006" s="92">
        <v>34.700000000000003</v>
      </c>
      <c r="I2006" s="92">
        <v>25.11</v>
      </c>
      <c r="J2006" s="99">
        <f>+ROUND(E2006* ((F2006*H2006) + (G2006*I2006)),2)</f>
        <v>34.700000000000003</v>
      </c>
    </row>
    <row r="2007" spans="1:10">
      <c r="A2007" s="84"/>
      <c r="B2007" s="274" t="s">
        <v>400</v>
      </c>
      <c r="C2007" s="94" t="s">
        <v>401</v>
      </c>
      <c r="D2007" s="95"/>
      <c r="E2007" s="96">
        <v>1</v>
      </c>
      <c r="F2007" s="96">
        <v>0.03</v>
      </c>
      <c r="G2007" s="96">
        <v>0.97</v>
      </c>
      <c r="H2007" s="96">
        <v>257.73</v>
      </c>
      <c r="I2007" s="96">
        <v>71.84</v>
      </c>
      <c r="J2007" s="271">
        <f>+ROUND(E2007* ((F2007*H2007) + (G2007*I2007)),2)</f>
        <v>77.42</v>
      </c>
    </row>
    <row r="2008" spans="1:10">
      <c r="A2008" s="84"/>
      <c r="B2008" s="93" t="s">
        <v>231</v>
      </c>
      <c r="C2008" s="94"/>
      <c r="D2008" s="95"/>
      <c r="E2008" s="96"/>
      <c r="F2008" s="96"/>
      <c r="G2008" s="96"/>
      <c r="H2008" s="96"/>
      <c r="I2008" s="96"/>
      <c r="J2008" s="271"/>
    </row>
    <row r="2009" spans="1:10">
      <c r="A2009" s="84"/>
      <c r="B2009" s="93" t="s">
        <v>231</v>
      </c>
      <c r="C2009" s="94"/>
      <c r="D2009" s="95"/>
      <c r="E2009" s="96"/>
      <c r="F2009" s="96"/>
      <c r="G2009" s="96"/>
      <c r="H2009" s="96"/>
      <c r="I2009" s="96"/>
      <c r="J2009" s="271"/>
    </row>
    <row r="2010" spans="1:10">
      <c r="A2010" s="84"/>
      <c r="B2010" s="93" t="s">
        <v>231</v>
      </c>
      <c r="C2010" s="94"/>
      <c r="D2010" s="95"/>
      <c r="E2010" s="96"/>
      <c r="F2010" s="96"/>
      <c r="G2010" s="96"/>
      <c r="H2010" s="96"/>
      <c r="I2010" s="96"/>
      <c r="J2010" s="271"/>
    </row>
    <row r="2011" spans="1:10">
      <c r="A2011" s="84"/>
      <c r="B2011" s="93" t="s">
        <v>231</v>
      </c>
      <c r="C2011" s="94"/>
      <c r="D2011" s="95"/>
      <c r="E2011" s="96"/>
      <c r="F2011" s="96"/>
      <c r="G2011" s="96"/>
      <c r="H2011" s="96"/>
      <c r="I2011" s="96"/>
      <c r="J2011" s="271"/>
    </row>
    <row r="2012" spans="1:10">
      <c r="A2012" s="84"/>
      <c r="B2012" s="93" t="s">
        <v>231</v>
      </c>
      <c r="C2012" s="94"/>
      <c r="D2012" s="95"/>
      <c r="E2012" s="96"/>
      <c r="F2012" s="96"/>
      <c r="G2012" s="96"/>
      <c r="H2012" s="96"/>
      <c r="I2012" s="96"/>
      <c r="J2012" s="271"/>
    </row>
    <row r="2013" spans="1:10">
      <c r="A2013" s="84"/>
      <c r="B2013" s="89"/>
      <c r="C2013" s="97"/>
      <c r="D2013" s="91"/>
      <c r="E2013" s="91"/>
      <c r="F2013" s="91"/>
      <c r="G2013" s="91" t="s">
        <v>249</v>
      </c>
      <c r="H2013" s="91"/>
      <c r="I2013" s="91"/>
      <c r="J2013" s="99">
        <f>+SUBTOTAL(9,J2006:J2012)</f>
        <v>112.12</v>
      </c>
    </row>
    <row r="2014" spans="1:10">
      <c r="A2014" s="84"/>
      <c r="B2014" s="89" t="s">
        <v>228</v>
      </c>
      <c r="C2014" s="90" t="s">
        <v>250</v>
      </c>
      <c r="D2014" s="91"/>
      <c r="E2014" s="91"/>
      <c r="F2014" s="91"/>
      <c r="G2014" s="91"/>
      <c r="H2014" s="92" t="s">
        <v>239</v>
      </c>
      <c r="I2014" s="92" t="s">
        <v>251</v>
      </c>
      <c r="J2014" s="99" t="s">
        <v>252</v>
      </c>
    </row>
    <row r="2015" spans="1:10">
      <c r="A2015" s="84"/>
      <c r="B2015" s="89" t="s">
        <v>253</v>
      </c>
      <c r="C2015" s="90" t="s">
        <v>254</v>
      </c>
      <c r="D2015" s="91"/>
      <c r="E2015" s="91"/>
      <c r="F2015" s="91"/>
      <c r="G2015" s="91"/>
      <c r="H2015" s="92">
        <v>1</v>
      </c>
      <c r="I2015" s="92">
        <v>21.04</v>
      </c>
      <c r="J2015" s="99">
        <f>+ROUND(H2015*I2015,2)</f>
        <v>21.04</v>
      </c>
    </row>
    <row r="2016" spans="1:10">
      <c r="A2016" s="84"/>
      <c r="B2016" s="93" t="s">
        <v>231</v>
      </c>
      <c r="C2016" s="94"/>
      <c r="D2016" s="95"/>
      <c r="E2016" s="95"/>
      <c r="F2016" s="95"/>
      <c r="G2016" s="95"/>
      <c r="H2016" s="96"/>
      <c r="I2016" s="96"/>
      <c r="J2016" s="271"/>
    </row>
    <row r="2017" spans="1:10">
      <c r="A2017" s="84"/>
      <c r="B2017" s="93" t="s">
        <v>231</v>
      </c>
      <c r="C2017" s="94"/>
      <c r="D2017" s="95"/>
      <c r="E2017" s="95"/>
      <c r="F2017" s="95"/>
      <c r="G2017" s="95"/>
      <c r="H2017" s="96"/>
      <c r="I2017" s="96"/>
      <c r="J2017" s="271"/>
    </row>
    <row r="2018" spans="1:10">
      <c r="A2018" s="84"/>
      <c r="B2018" s="93" t="s">
        <v>231</v>
      </c>
      <c r="C2018" s="94"/>
      <c r="D2018" s="95"/>
      <c r="E2018" s="95"/>
      <c r="F2018" s="95"/>
      <c r="G2018" s="95"/>
      <c r="H2018" s="96"/>
      <c r="I2018" s="96"/>
      <c r="J2018" s="271"/>
    </row>
    <row r="2019" spans="1:10">
      <c r="A2019" s="84"/>
      <c r="B2019" s="93" t="s">
        <v>231</v>
      </c>
      <c r="C2019" s="94"/>
      <c r="D2019" s="95"/>
      <c r="E2019" s="95"/>
      <c r="F2019" s="95"/>
      <c r="G2019" s="95"/>
      <c r="H2019" s="96"/>
      <c r="I2019" s="96"/>
      <c r="J2019" s="271"/>
    </row>
    <row r="2020" spans="1:10">
      <c r="A2020" s="84"/>
      <c r="B2020" s="93" t="s">
        <v>231</v>
      </c>
      <c r="C2020" s="94"/>
      <c r="D2020" s="95"/>
      <c r="E2020" s="95"/>
      <c r="F2020" s="95"/>
      <c r="G2020" s="95"/>
      <c r="H2020" s="96"/>
      <c r="I2020" s="96"/>
      <c r="J2020" s="271"/>
    </row>
    <row r="2021" spans="1:10">
      <c r="A2021" s="84"/>
      <c r="B2021" s="93" t="s">
        <v>231</v>
      </c>
      <c r="C2021" s="94"/>
      <c r="D2021" s="95"/>
      <c r="E2021" s="95"/>
      <c r="F2021" s="95"/>
      <c r="G2021" s="95"/>
      <c r="H2021" s="96"/>
      <c r="I2021" s="96"/>
      <c r="J2021" s="271"/>
    </row>
    <row r="2022" spans="1:10">
      <c r="A2022" s="84"/>
      <c r="B2022" s="89"/>
      <c r="C2022" s="97"/>
      <c r="D2022" s="91"/>
      <c r="E2022" s="91"/>
      <c r="F2022" s="91"/>
      <c r="G2022" s="91" t="s">
        <v>255</v>
      </c>
      <c r="H2022" s="91"/>
      <c r="I2022" s="91"/>
      <c r="J2022" s="99">
        <f>+SUBTOTAL(9,J2015:J2021)</f>
        <v>21.04</v>
      </c>
    </row>
    <row r="2023" spans="1:10">
      <c r="A2023" s="84"/>
      <c r="B2023" s="89"/>
      <c r="C2023" s="97"/>
      <c r="D2023" s="91"/>
      <c r="E2023" s="91"/>
      <c r="F2023" s="91" t="s">
        <v>256</v>
      </c>
      <c r="G2023" s="91"/>
      <c r="H2023" s="91"/>
      <c r="I2023" s="91">
        <v>0</v>
      </c>
      <c r="J2023" s="99">
        <f>+ROUND(I2023*J2022,2)</f>
        <v>0</v>
      </c>
    </row>
    <row r="2024" spans="1:10">
      <c r="A2024" s="84"/>
      <c r="B2024" s="89"/>
      <c r="C2024" s="97"/>
      <c r="D2024" s="91"/>
      <c r="E2024" s="91"/>
      <c r="F2024" s="91" t="s">
        <v>257</v>
      </c>
      <c r="G2024" s="91"/>
      <c r="H2024" s="91"/>
      <c r="I2024" s="91"/>
      <c r="J2024" s="99">
        <f>+SUBTOTAL(9,J2015:J2023)</f>
        <v>21.04</v>
      </c>
    </row>
    <row r="2025" spans="1:10">
      <c r="A2025" s="84"/>
      <c r="B2025" s="98"/>
      <c r="C2025" s="97"/>
      <c r="D2025" s="91"/>
      <c r="E2025" s="91"/>
      <c r="F2025" s="91"/>
      <c r="G2025" s="91" t="s">
        <v>258</v>
      </c>
      <c r="H2025" s="91"/>
      <c r="I2025" s="91"/>
      <c r="J2025" s="275">
        <f>+SUBTOTAL(9,J2006:J2024)</f>
        <v>133.16</v>
      </c>
    </row>
    <row r="2026" spans="1:10">
      <c r="A2026" s="84"/>
      <c r="B2026" s="98"/>
      <c r="C2026" s="97" t="s">
        <v>259</v>
      </c>
      <c r="D2026" s="91">
        <v>22.51</v>
      </c>
      <c r="E2026" s="91"/>
      <c r="F2026" s="91"/>
      <c r="G2026" s="91" t="s">
        <v>260</v>
      </c>
      <c r="H2026" s="91"/>
      <c r="I2026" s="91"/>
      <c r="J2026" s="275">
        <f>+ROUND(J2025/D2026,2)</f>
        <v>5.92</v>
      </c>
    </row>
    <row r="2027" spans="1:10">
      <c r="A2027" s="84"/>
      <c r="B2027" s="89" t="s">
        <v>228</v>
      </c>
      <c r="C2027" s="90" t="s">
        <v>261</v>
      </c>
      <c r="D2027" s="91"/>
      <c r="E2027" s="91"/>
      <c r="F2027" s="91"/>
      <c r="G2027" s="92" t="s">
        <v>230</v>
      </c>
      <c r="H2027" s="92" t="s">
        <v>262</v>
      </c>
      <c r="I2027" s="92" t="s">
        <v>263</v>
      </c>
      <c r="J2027" s="99" t="s">
        <v>264</v>
      </c>
    </row>
    <row r="2028" spans="1:10">
      <c r="A2028" s="84"/>
      <c r="B2028" s="89" t="s">
        <v>231</v>
      </c>
      <c r="C2028" s="90"/>
      <c r="D2028" s="91"/>
      <c r="E2028" s="91"/>
      <c r="F2028" s="91"/>
      <c r="G2028" s="92"/>
      <c r="H2028" s="92"/>
      <c r="I2028" s="92"/>
      <c r="J2028" s="99"/>
    </row>
    <row r="2029" spans="1:10">
      <c r="A2029" s="84"/>
      <c r="B2029" s="93" t="s">
        <v>231</v>
      </c>
      <c r="C2029" s="94"/>
      <c r="D2029" s="95"/>
      <c r="E2029" s="95"/>
      <c r="F2029" s="95"/>
      <c r="G2029" s="96"/>
      <c r="H2029" s="96"/>
      <c r="I2029" s="96"/>
      <c r="J2029" s="271"/>
    </row>
    <row r="2030" spans="1:10">
      <c r="A2030" s="84"/>
      <c r="B2030" s="93" t="s">
        <v>231</v>
      </c>
      <c r="C2030" s="94"/>
      <c r="D2030" s="95"/>
      <c r="E2030" s="95"/>
      <c r="F2030" s="95"/>
      <c r="G2030" s="96"/>
      <c r="H2030" s="96"/>
      <c r="I2030" s="96"/>
      <c r="J2030" s="271"/>
    </row>
    <row r="2031" spans="1:10">
      <c r="A2031" s="84"/>
      <c r="B2031" s="93" t="s">
        <v>231</v>
      </c>
      <c r="C2031" s="94"/>
      <c r="D2031" s="95"/>
      <c r="E2031" s="95"/>
      <c r="F2031" s="95"/>
      <c r="G2031" s="96"/>
      <c r="H2031" s="96"/>
      <c r="I2031" s="96"/>
      <c r="J2031" s="271"/>
    </row>
    <row r="2032" spans="1:10">
      <c r="A2032" s="84"/>
      <c r="B2032" s="93" t="s">
        <v>231</v>
      </c>
      <c r="C2032" s="94"/>
      <c r="D2032" s="95"/>
      <c r="E2032" s="95"/>
      <c r="F2032" s="95"/>
      <c r="G2032" s="96"/>
      <c r="H2032" s="96"/>
      <c r="I2032" s="96"/>
      <c r="J2032" s="271"/>
    </row>
    <row r="2033" spans="1:10">
      <c r="A2033" s="84"/>
      <c r="B2033" s="93" t="s">
        <v>231</v>
      </c>
      <c r="C2033" s="94"/>
      <c r="D2033" s="95"/>
      <c r="E2033" s="95"/>
      <c r="F2033" s="95"/>
      <c r="G2033" s="96"/>
      <c r="H2033" s="96"/>
      <c r="I2033" s="96"/>
      <c r="J2033" s="271"/>
    </row>
    <row r="2034" spans="1:10">
      <c r="A2034" s="84"/>
      <c r="B2034" s="93" t="s">
        <v>231</v>
      </c>
      <c r="C2034" s="94"/>
      <c r="D2034" s="95"/>
      <c r="E2034" s="95"/>
      <c r="F2034" s="95"/>
      <c r="G2034" s="96"/>
      <c r="H2034" s="96"/>
      <c r="I2034" s="96"/>
      <c r="J2034" s="271"/>
    </row>
    <row r="2035" spans="1:10">
      <c r="A2035" s="84"/>
      <c r="B2035" s="89"/>
      <c r="C2035" s="97"/>
      <c r="D2035" s="91"/>
      <c r="E2035" s="91"/>
      <c r="F2035" s="91"/>
      <c r="G2035" s="91" t="s">
        <v>275</v>
      </c>
      <c r="H2035" s="91"/>
      <c r="I2035" s="91"/>
      <c r="J2035" s="99">
        <f>+SUBTOTAL(9,J2028:J2034)</f>
        <v>0</v>
      </c>
    </row>
    <row r="2036" spans="1:10">
      <c r="A2036" s="84"/>
      <c r="B2036" s="89" t="s">
        <v>228</v>
      </c>
      <c r="C2036" s="90" t="s">
        <v>276</v>
      </c>
      <c r="D2036" s="91"/>
      <c r="E2036" s="91"/>
      <c r="F2036" s="91"/>
      <c r="G2036" s="92" t="s">
        <v>230</v>
      </c>
      <c r="H2036" s="92" t="s">
        <v>262</v>
      </c>
      <c r="I2036" s="92" t="s">
        <v>263</v>
      </c>
      <c r="J2036" s="99" t="s">
        <v>264</v>
      </c>
    </row>
    <row r="2037" spans="1:10">
      <c r="A2037" s="84"/>
      <c r="B2037" s="89" t="s">
        <v>231</v>
      </c>
      <c r="C2037" s="90"/>
      <c r="D2037" s="91"/>
      <c r="E2037" s="91"/>
      <c r="F2037" s="91"/>
      <c r="G2037" s="92"/>
      <c r="H2037" s="92"/>
      <c r="I2037" s="92"/>
      <c r="J2037" s="99"/>
    </row>
    <row r="2038" spans="1:10">
      <c r="A2038" s="84"/>
      <c r="B2038" s="93" t="s">
        <v>231</v>
      </c>
      <c r="C2038" s="94"/>
      <c r="D2038" s="95"/>
      <c r="E2038" s="95"/>
      <c r="F2038" s="95"/>
      <c r="G2038" s="96"/>
      <c r="H2038" s="96"/>
      <c r="I2038" s="96"/>
      <c r="J2038" s="271"/>
    </row>
    <row r="2039" spans="1:10">
      <c r="A2039" s="84"/>
      <c r="B2039" s="93" t="s">
        <v>231</v>
      </c>
      <c r="C2039" s="94"/>
      <c r="D2039" s="95"/>
      <c r="E2039" s="95"/>
      <c r="F2039" s="95"/>
      <c r="G2039" s="96"/>
      <c r="H2039" s="96"/>
      <c r="I2039" s="96"/>
      <c r="J2039" s="271"/>
    </row>
    <row r="2040" spans="1:10">
      <c r="A2040" s="84"/>
      <c r="B2040" s="93" t="s">
        <v>231</v>
      </c>
      <c r="C2040" s="94"/>
      <c r="D2040" s="95"/>
      <c r="E2040" s="95"/>
      <c r="F2040" s="95"/>
      <c r="G2040" s="96"/>
      <c r="H2040" s="96"/>
      <c r="I2040" s="96"/>
      <c r="J2040" s="271"/>
    </row>
    <row r="2041" spans="1:10">
      <c r="A2041" s="84"/>
      <c r="B2041" s="93" t="s">
        <v>231</v>
      </c>
      <c r="C2041" s="94"/>
      <c r="D2041" s="95"/>
      <c r="E2041" s="95"/>
      <c r="F2041" s="95"/>
      <c r="G2041" s="96"/>
      <c r="H2041" s="96"/>
      <c r="I2041" s="96"/>
      <c r="J2041" s="271"/>
    </row>
    <row r="2042" spans="1:10">
      <c r="A2042" s="84"/>
      <c r="B2042" s="89"/>
      <c r="C2042" s="97"/>
      <c r="D2042" s="91"/>
      <c r="E2042" s="91"/>
      <c r="F2042" s="91"/>
      <c r="G2042" s="91" t="s">
        <v>279</v>
      </c>
      <c r="H2042" s="91"/>
      <c r="I2042" s="91"/>
      <c r="J2042" s="99">
        <f>+SUBTOTAL(9,J2037:J2041)</f>
        <v>0</v>
      </c>
    </row>
    <row r="2043" spans="1:10">
      <c r="A2043" s="84"/>
      <c r="B2043" s="89" t="s">
        <v>228</v>
      </c>
      <c r="C2043" s="90" t="s">
        <v>280</v>
      </c>
      <c r="D2043" s="92" t="s">
        <v>281</v>
      </c>
      <c r="E2043" s="92" t="s">
        <v>282</v>
      </c>
      <c r="F2043" s="92" t="s">
        <v>283</v>
      </c>
      <c r="G2043" s="92" t="s">
        <v>284</v>
      </c>
      <c r="H2043" s="92" t="s">
        <v>285</v>
      </c>
      <c r="I2043" s="92" t="s">
        <v>263</v>
      </c>
      <c r="J2043" s="99" t="s">
        <v>286</v>
      </c>
    </row>
    <row r="2044" spans="1:10">
      <c r="A2044" s="84"/>
      <c r="B2044" s="89" t="s">
        <v>231</v>
      </c>
      <c r="C2044" s="90"/>
      <c r="D2044" s="92"/>
      <c r="E2044" s="92"/>
      <c r="F2044" s="92"/>
      <c r="G2044" s="92"/>
      <c r="H2044" s="92"/>
      <c r="I2044" s="92"/>
      <c r="J2044" s="99"/>
    </row>
    <row r="2045" spans="1:10">
      <c r="A2045" s="84"/>
      <c r="B2045" s="93" t="s">
        <v>231</v>
      </c>
      <c r="C2045" s="94"/>
      <c r="D2045" s="96"/>
      <c r="E2045" s="96"/>
      <c r="F2045" s="96"/>
      <c r="G2045" s="96"/>
      <c r="H2045" s="96"/>
      <c r="I2045" s="96"/>
      <c r="J2045" s="271"/>
    </row>
    <row r="2046" spans="1:10">
      <c r="A2046" s="84"/>
      <c r="B2046" s="93" t="s">
        <v>231</v>
      </c>
      <c r="C2046" s="94"/>
      <c r="D2046" s="96"/>
      <c r="E2046" s="96"/>
      <c r="F2046" s="96"/>
      <c r="G2046" s="96"/>
      <c r="H2046" s="96"/>
      <c r="I2046" s="96"/>
      <c r="J2046" s="271"/>
    </row>
    <row r="2047" spans="1:10">
      <c r="A2047" s="84"/>
      <c r="B2047" s="93" t="s">
        <v>231</v>
      </c>
      <c r="C2047" s="94"/>
      <c r="D2047" s="96"/>
      <c r="E2047" s="96"/>
      <c r="F2047" s="96"/>
      <c r="G2047" s="96"/>
      <c r="H2047" s="96"/>
      <c r="I2047" s="96"/>
      <c r="J2047" s="271"/>
    </row>
    <row r="2048" spans="1:10">
      <c r="A2048" s="84"/>
      <c r="B2048" s="93" t="s">
        <v>231</v>
      </c>
      <c r="C2048" s="94"/>
      <c r="D2048" s="96"/>
      <c r="E2048" s="96"/>
      <c r="F2048" s="96"/>
      <c r="G2048" s="96"/>
      <c r="H2048" s="96"/>
      <c r="I2048" s="96"/>
      <c r="J2048" s="271"/>
    </row>
    <row r="2049" spans="1:10">
      <c r="A2049" s="84"/>
      <c r="B2049" s="93" t="s">
        <v>231</v>
      </c>
      <c r="C2049" s="94"/>
      <c r="D2049" s="96"/>
      <c r="E2049" s="96"/>
      <c r="F2049" s="96"/>
      <c r="G2049" s="96"/>
      <c r="H2049" s="96"/>
      <c r="I2049" s="96"/>
      <c r="J2049" s="271"/>
    </row>
    <row r="2050" spans="1:10">
      <c r="A2050" s="84"/>
      <c r="B2050" s="93" t="s">
        <v>231</v>
      </c>
      <c r="C2050" s="94"/>
      <c r="D2050" s="96"/>
      <c r="E2050" s="96"/>
      <c r="F2050" s="96"/>
      <c r="G2050" s="96"/>
      <c r="H2050" s="96"/>
      <c r="I2050" s="96"/>
      <c r="J2050" s="271"/>
    </row>
    <row r="2051" spans="1:10">
      <c r="A2051" s="84"/>
      <c r="B2051" s="89"/>
      <c r="C2051" s="97"/>
      <c r="D2051" s="91"/>
      <c r="E2051" s="91"/>
      <c r="F2051" s="91"/>
      <c r="G2051" s="91" t="s">
        <v>290</v>
      </c>
      <c r="H2051" s="91"/>
      <c r="I2051" s="91"/>
      <c r="J2051" s="99">
        <f>+SUBTOTAL(9,J2044:J2050)</f>
        <v>0</v>
      </c>
    </row>
    <row r="2052" spans="1:10">
      <c r="A2052" s="84"/>
      <c r="B2052" s="89" t="s">
        <v>291</v>
      </c>
      <c r="C2052" s="97"/>
      <c r="D2052" s="91"/>
      <c r="E2052" s="91"/>
      <c r="F2052" s="91"/>
      <c r="G2052" s="91"/>
      <c r="H2052" s="91"/>
      <c r="I2052" s="91"/>
      <c r="J2052" s="99">
        <f>+SUBTOTAL(9,J2026:J2050)</f>
        <v>5.92</v>
      </c>
    </row>
    <row r="2053" spans="1:10">
      <c r="A2053" s="84"/>
      <c r="B2053" s="89" t="s">
        <v>292</v>
      </c>
      <c r="C2053" s="97"/>
      <c r="D2053" s="91">
        <v>0</v>
      </c>
      <c r="E2053" s="91"/>
      <c r="F2053" s="91"/>
      <c r="G2053" s="91"/>
      <c r="H2053" s="91"/>
      <c r="I2053" s="91"/>
      <c r="J2053" s="99">
        <f>+ROUND(J2052*D2053/100,2)</f>
        <v>0</v>
      </c>
    </row>
    <row r="2054" spans="1:10" ht="14.4" thickBot="1">
      <c r="A2054" s="84"/>
      <c r="B2054" s="89" t="s">
        <v>293</v>
      </c>
      <c r="C2054" s="97"/>
      <c r="D2054" s="91"/>
      <c r="E2054" s="91"/>
      <c r="F2054" s="91"/>
      <c r="G2054" s="91"/>
      <c r="H2054" s="91"/>
      <c r="I2054" s="91"/>
      <c r="J2054" s="99">
        <f>+J2052+ J2053</f>
        <v>5.92</v>
      </c>
    </row>
    <row r="2055" spans="1:10">
      <c r="A2055" s="84"/>
      <c r="B2055" s="85" t="s">
        <v>294</v>
      </c>
      <c r="C2055" s="86"/>
      <c r="D2055" s="88"/>
      <c r="E2055" s="88"/>
      <c r="F2055" s="88" t="s">
        <v>295</v>
      </c>
      <c r="G2055" s="88"/>
      <c r="H2055" s="88"/>
      <c r="I2055" s="88" t="s">
        <v>296</v>
      </c>
      <c r="J2055" s="270"/>
    </row>
    <row r="2056" spans="1:10">
      <c r="A2056" s="84"/>
      <c r="B2056" s="93" t="s">
        <v>297</v>
      </c>
      <c r="C2056" s="84"/>
      <c r="D2056" s="95"/>
      <c r="E2056" s="95"/>
      <c r="F2056" s="95" t="s">
        <v>298</v>
      </c>
      <c r="G2056" s="95"/>
      <c r="H2056" s="95"/>
      <c r="I2056" s="95"/>
      <c r="J2056" s="276"/>
    </row>
    <row r="2057" spans="1:10">
      <c r="A2057" s="84"/>
      <c r="B2057" s="93" t="s">
        <v>299</v>
      </c>
      <c r="C2057" s="84"/>
      <c r="D2057" s="95"/>
      <c r="E2057" s="95"/>
      <c r="F2057" s="95" t="s">
        <v>300</v>
      </c>
      <c r="G2057" s="95"/>
      <c r="H2057" s="95"/>
      <c r="I2057" s="95"/>
      <c r="J2057" s="276"/>
    </row>
    <row r="2058" spans="1:10" ht="14.4" thickBot="1">
      <c r="A2058" s="84"/>
      <c r="B2058" s="100" t="s">
        <v>301</v>
      </c>
      <c r="C2058" s="84"/>
      <c r="D2058" s="95"/>
      <c r="E2058" s="95"/>
      <c r="F2058" s="95"/>
      <c r="G2058" s="95"/>
      <c r="H2058" s="95"/>
      <c r="I2058" s="95"/>
      <c r="J2058" s="277"/>
    </row>
    <row r="2059" spans="1:10">
      <c r="A2059" s="84"/>
      <c r="B2059" s="86"/>
      <c r="C2059" s="86"/>
      <c r="D2059" s="88"/>
      <c r="E2059" s="88"/>
      <c r="F2059" s="88"/>
      <c r="G2059" s="88"/>
      <c r="H2059" s="88"/>
      <c r="I2059" s="88"/>
      <c r="J2059" s="88"/>
    </row>
    <row r="2060" spans="1:10" ht="14.4" thickBot="1">
      <c r="A2060" s="84"/>
      <c r="B2060" s="84"/>
      <c r="C2060" s="84"/>
      <c r="D2060" s="95"/>
      <c r="E2060" s="95"/>
      <c r="F2060" s="95"/>
      <c r="G2060" s="95"/>
      <c r="H2060" s="95"/>
      <c r="I2060" s="95"/>
      <c r="J2060" s="95"/>
    </row>
    <row r="2061" spans="1:10">
      <c r="A2061" s="84"/>
      <c r="B2061" s="85"/>
      <c r="C2061" s="86"/>
      <c r="D2061" s="87" t="s">
        <v>227</v>
      </c>
      <c r="E2061" s="87"/>
      <c r="F2061" s="87"/>
      <c r="G2061" s="88"/>
      <c r="H2061" s="88"/>
      <c r="I2061" s="88"/>
      <c r="J2061" s="270"/>
    </row>
    <row r="2062" spans="1:10">
      <c r="A2062" s="84"/>
      <c r="B2062" s="89" t="s">
        <v>228</v>
      </c>
      <c r="C2062" s="90" t="s">
        <v>92</v>
      </c>
      <c r="D2062" s="91"/>
      <c r="E2062" s="91"/>
      <c r="F2062" s="91"/>
      <c r="G2062" s="91"/>
      <c r="H2062" s="92" t="s">
        <v>229</v>
      </c>
      <c r="I2062" s="91"/>
      <c r="J2062" s="99" t="s">
        <v>230</v>
      </c>
    </row>
    <row r="2063" spans="1:10">
      <c r="A2063" s="84"/>
      <c r="B2063" s="93" t="s">
        <v>231</v>
      </c>
      <c r="C2063" s="94" t="s">
        <v>149</v>
      </c>
      <c r="D2063" s="95"/>
      <c r="E2063" s="95"/>
      <c r="F2063" s="95"/>
      <c r="G2063" s="95"/>
      <c r="H2063" s="96" t="s">
        <v>233</v>
      </c>
      <c r="I2063" s="95"/>
      <c r="J2063" s="271" t="s">
        <v>267</v>
      </c>
    </row>
    <row r="2064" spans="1:10">
      <c r="A2064" s="84"/>
      <c r="B2064" s="89"/>
      <c r="C2064" s="90"/>
      <c r="D2064" s="91"/>
      <c r="E2064" s="92"/>
      <c r="F2064" s="92" t="s">
        <v>235</v>
      </c>
      <c r="G2064" s="92"/>
      <c r="H2064" s="92" t="s">
        <v>236</v>
      </c>
      <c r="I2064" s="92"/>
      <c r="J2064" s="99" t="s">
        <v>237</v>
      </c>
    </row>
    <row r="2065" spans="1:10">
      <c r="A2065" s="84"/>
      <c r="B2065" s="93" t="s">
        <v>228</v>
      </c>
      <c r="C2065" s="94" t="s">
        <v>238</v>
      </c>
      <c r="D2065" s="95"/>
      <c r="E2065" s="96" t="s">
        <v>239</v>
      </c>
      <c r="F2065" s="92" t="s">
        <v>240</v>
      </c>
      <c r="G2065" s="92" t="s">
        <v>241</v>
      </c>
      <c r="H2065" s="92" t="s">
        <v>240</v>
      </c>
      <c r="I2065" s="272" t="s">
        <v>241</v>
      </c>
      <c r="J2065" s="271" t="s">
        <v>242</v>
      </c>
    </row>
    <row r="2066" spans="1:10">
      <c r="A2066" s="84"/>
      <c r="B2066" s="89" t="s">
        <v>231</v>
      </c>
      <c r="C2066" s="90"/>
      <c r="D2066" s="91"/>
      <c r="E2066" s="92"/>
      <c r="F2066" s="92"/>
      <c r="G2066" s="92"/>
      <c r="H2066" s="92"/>
      <c r="I2066" s="92"/>
      <c r="J2066" s="99"/>
    </row>
    <row r="2067" spans="1:10">
      <c r="A2067" s="84"/>
      <c r="B2067" s="93" t="s">
        <v>231</v>
      </c>
      <c r="C2067" s="94"/>
      <c r="D2067" s="95"/>
      <c r="E2067" s="96"/>
      <c r="F2067" s="96"/>
      <c r="G2067" s="96"/>
      <c r="H2067" s="96"/>
      <c r="I2067" s="96"/>
      <c r="J2067" s="271"/>
    </row>
    <row r="2068" spans="1:10">
      <c r="A2068" s="84"/>
      <c r="B2068" s="93" t="s">
        <v>231</v>
      </c>
      <c r="C2068" s="94"/>
      <c r="D2068" s="95"/>
      <c r="E2068" s="96"/>
      <c r="F2068" s="96"/>
      <c r="G2068" s="96"/>
      <c r="H2068" s="96"/>
      <c r="I2068" s="96"/>
      <c r="J2068" s="271"/>
    </row>
    <row r="2069" spans="1:10">
      <c r="A2069" s="84"/>
      <c r="B2069" s="93" t="s">
        <v>231</v>
      </c>
      <c r="C2069" s="94"/>
      <c r="D2069" s="95"/>
      <c r="E2069" s="96"/>
      <c r="F2069" s="96"/>
      <c r="G2069" s="96"/>
      <c r="H2069" s="96"/>
      <c r="I2069" s="96"/>
      <c r="J2069" s="271"/>
    </row>
    <row r="2070" spans="1:10">
      <c r="A2070" s="84"/>
      <c r="B2070" s="93" t="s">
        <v>231</v>
      </c>
      <c r="C2070" s="94"/>
      <c r="D2070" s="95"/>
      <c r="E2070" s="96"/>
      <c r="F2070" s="96"/>
      <c r="G2070" s="96"/>
      <c r="H2070" s="96"/>
      <c r="I2070" s="96"/>
      <c r="J2070" s="271"/>
    </row>
    <row r="2071" spans="1:10">
      <c r="A2071" s="84"/>
      <c r="B2071" s="93" t="s">
        <v>231</v>
      </c>
      <c r="C2071" s="94"/>
      <c r="D2071" s="95"/>
      <c r="E2071" s="96"/>
      <c r="F2071" s="96"/>
      <c r="G2071" s="96"/>
      <c r="H2071" s="96"/>
      <c r="I2071" s="96"/>
      <c r="J2071" s="271"/>
    </row>
    <row r="2072" spans="1:10">
      <c r="A2072" s="84"/>
      <c r="B2072" s="93" t="s">
        <v>231</v>
      </c>
      <c r="C2072" s="94"/>
      <c r="D2072" s="95"/>
      <c r="E2072" s="96"/>
      <c r="F2072" s="96"/>
      <c r="G2072" s="96"/>
      <c r="H2072" s="96"/>
      <c r="I2072" s="96"/>
      <c r="J2072" s="271"/>
    </row>
    <row r="2073" spans="1:10">
      <c r="A2073" s="84"/>
      <c r="B2073" s="89"/>
      <c r="C2073" s="97"/>
      <c r="D2073" s="91"/>
      <c r="E2073" s="91"/>
      <c r="F2073" s="91"/>
      <c r="G2073" s="91" t="s">
        <v>249</v>
      </c>
      <c r="H2073" s="91"/>
      <c r="I2073" s="91"/>
      <c r="J2073" s="99">
        <f>+SUBTOTAL(9,J2066:J2072)</f>
        <v>0</v>
      </c>
    </row>
    <row r="2074" spans="1:10">
      <c r="A2074" s="84"/>
      <c r="B2074" s="89" t="s">
        <v>228</v>
      </c>
      <c r="C2074" s="90" t="s">
        <v>250</v>
      </c>
      <c r="D2074" s="91"/>
      <c r="E2074" s="91"/>
      <c r="F2074" s="91"/>
      <c r="G2074" s="91"/>
      <c r="H2074" s="92" t="s">
        <v>239</v>
      </c>
      <c r="I2074" s="92" t="s">
        <v>251</v>
      </c>
      <c r="J2074" s="99" t="s">
        <v>252</v>
      </c>
    </row>
    <row r="2075" spans="1:10">
      <c r="A2075" s="84"/>
      <c r="B2075" s="89" t="s">
        <v>253</v>
      </c>
      <c r="C2075" s="90" t="s">
        <v>254</v>
      </c>
      <c r="D2075" s="91"/>
      <c r="E2075" s="91"/>
      <c r="F2075" s="91"/>
      <c r="G2075" s="91"/>
      <c r="H2075" s="92">
        <v>1</v>
      </c>
      <c r="I2075" s="92">
        <v>21.04</v>
      </c>
      <c r="J2075" s="99">
        <f>+ROUND(H2075*I2075,2)</f>
        <v>21.04</v>
      </c>
    </row>
    <row r="2076" spans="1:10">
      <c r="A2076" s="84"/>
      <c r="B2076" s="93" t="s">
        <v>231</v>
      </c>
      <c r="C2076" s="94"/>
      <c r="D2076" s="95"/>
      <c r="E2076" s="95"/>
      <c r="F2076" s="95"/>
      <c r="G2076" s="95"/>
      <c r="H2076" s="96"/>
      <c r="I2076" s="96"/>
      <c r="J2076" s="271"/>
    </row>
    <row r="2077" spans="1:10">
      <c r="A2077" s="84"/>
      <c r="B2077" s="93" t="s">
        <v>231</v>
      </c>
      <c r="C2077" s="94"/>
      <c r="D2077" s="95"/>
      <c r="E2077" s="95"/>
      <c r="F2077" s="95"/>
      <c r="G2077" s="95"/>
      <c r="H2077" s="96"/>
      <c r="I2077" s="96"/>
      <c r="J2077" s="271"/>
    </row>
    <row r="2078" spans="1:10">
      <c r="A2078" s="84"/>
      <c r="B2078" s="93" t="s">
        <v>231</v>
      </c>
      <c r="C2078" s="94"/>
      <c r="D2078" s="95"/>
      <c r="E2078" s="95"/>
      <c r="F2078" s="95"/>
      <c r="G2078" s="95"/>
      <c r="H2078" s="96"/>
      <c r="I2078" s="96"/>
      <c r="J2078" s="271"/>
    </row>
    <row r="2079" spans="1:10">
      <c r="A2079" s="84"/>
      <c r="B2079" s="93" t="s">
        <v>231</v>
      </c>
      <c r="C2079" s="94"/>
      <c r="D2079" s="95"/>
      <c r="E2079" s="95"/>
      <c r="F2079" s="95"/>
      <c r="G2079" s="95"/>
      <c r="H2079" s="96"/>
      <c r="I2079" s="96"/>
      <c r="J2079" s="271"/>
    </row>
    <row r="2080" spans="1:10">
      <c r="A2080" s="84"/>
      <c r="B2080" s="93" t="s">
        <v>231</v>
      </c>
      <c r="C2080" s="94"/>
      <c r="D2080" s="95"/>
      <c r="E2080" s="95"/>
      <c r="F2080" s="95"/>
      <c r="G2080" s="95"/>
      <c r="H2080" s="96"/>
      <c r="I2080" s="96"/>
      <c r="J2080" s="271"/>
    </row>
    <row r="2081" spans="1:10">
      <c r="A2081" s="84"/>
      <c r="B2081" s="93" t="s">
        <v>231</v>
      </c>
      <c r="C2081" s="94"/>
      <c r="D2081" s="95"/>
      <c r="E2081" s="95"/>
      <c r="F2081" s="95"/>
      <c r="G2081" s="95"/>
      <c r="H2081" s="96"/>
      <c r="I2081" s="96"/>
      <c r="J2081" s="271"/>
    </row>
    <row r="2082" spans="1:10">
      <c r="A2082" s="84"/>
      <c r="B2082" s="89"/>
      <c r="C2082" s="97"/>
      <c r="D2082" s="91"/>
      <c r="E2082" s="91"/>
      <c r="F2082" s="91"/>
      <c r="G2082" s="91" t="s">
        <v>255</v>
      </c>
      <c r="H2082" s="91"/>
      <c r="I2082" s="91"/>
      <c r="J2082" s="99">
        <f>+SUBTOTAL(9,J2075:J2081)</f>
        <v>21.04</v>
      </c>
    </row>
    <row r="2083" spans="1:10">
      <c r="A2083" s="84"/>
      <c r="B2083" s="89"/>
      <c r="C2083" s="97"/>
      <c r="D2083" s="91"/>
      <c r="E2083" s="91"/>
      <c r="F2083" s="91" t="s">
        <v>256</v>
      </c>
      <c r="G2083" s="91"/>
      <c r="H2083" s="91"/>
      <c r="I2083" s="91">
        <v>0</v>
      </c>
      <c r="J2083" s="99">
        <f>+ROUND(I2083*J2082,2)</f>
        <v>0</v>
      </c>
    </row>
    <row r="2084" spans="1:10">
      <c r="A2084" s="84"/>
      <c r="B2084" s="89"/>
      <c r="C2084" s="97"/>
      <c r="D2084" s="91"/>
      <c r="E2084" s="91"/>
      <c r="F2084" s="91" t="s">
        <v>257</v>
      </c>
      <c r="G2084" s="91"/>
      <c r="H2084" s="91"/>
      <c r="I2084" s="91"/>
      <c r="J2084" s="99">
        <f>+SUBTOTAL(9,J2075:J2083)</f>
        <v>21.04</v>
      </c>
    </row>
    <row r="2085" spans="1:10">
      <c r="A2085" s="84"/>
      <c r="B2085" s="98"/>
      <c r="C2085" s="97"/>
      <c r="D2085" s="91"/>
      <c r="E2085" s="91"/>
      <c r="F2085" s="91"/>
      <c r="G2085" s="91" t="s">
        <v>258</v>
      </c>
      <c r="H2085" s="91"/>
      <c r="I2085" s="91"/>
      <c r="J2085" s="275">
        <f>+SUBTOTAL(9,J2066:J2084)</f>
        <v>21.04</v>
      </c>
    </row>
    <row r="2086" spans="1:10">
      <c r="A2086" s="84"/>
      <c r="B2086" s="98"/>
      <c r="C2086" s="97" t="s">
        <v>259</v>
      </c>
      <c r="D2086" s="91">
        <v>5</v>
      </c>
      <c r="E2086" s="91"/>
      <c r="F2086" s="91"/>
      <c r="G2086" s="91" t="s">
        <v>260</v>
      </c>
      <c r="H2086" s="91"/>
      <c r="I2086" s="91"/>
      <c r="J2086" s="275">
        <f>+ROUND(J2085/D2086,2)</f>
        <v>4.21</v>
      </c>
    </row>
    <row r="2087" spans="1:10">
      <c r="A2087" s="84"/>
      <c r="B2087" s="89" t="s">
        <v>228</v>
      </c>
      <c r="C2087" s="90" t="s">
        <v>261</v>
      </c>
      <c r="D2087" s="91"/>
      <c r="E2087" s="91"/>
      <c r="F2087" s="91"/>
      <c r="G2087" s="92" t="s">
        <v>230</v>
      </c>
      <c r="H2087" s="92" t="s">
        <v>262</v>
      </c>
      <c r="I2087" s="92" t="s">
        <v>263</v>
      </c>
      <c r="J2087" s="99" t="s">
        <v>264</v>
      </c>
    </row>
    <row r="2088" spans="1:10">
      <c r="A2088" s="84"/>
      <c r="B2088" s="89" t="s">
        <v>231</v>
      </c>
      <c r="C2088" s="90"/>
      <c r="D2088" s="91"/>
      <c r="E2088" s="91"/>
      <c r="F2088" s="91"/>
      <c r="G2088" s="92"/>
      <c r="H2088" s="92"/>
      <c r="I2088" s="92"/>
      <c r="J2088" s="99"/>
    </row>
    <row r="2089" spans="1:10">
      <c r="A2089" s="84"/>
      <c r="B2089" s="93" t="s">
        <v>231</v>
      </c>
      <c r="C2089" s="94"/>
      <c r="D2089" s="95"/>
      <c r="E2089" s="95"/>
      <c r="F2089" s="95"/>
      <c r="G2089" s="96"/>
      <c r="H2089" s="96"/>
      <c r="I2089" s="96"/>
      <c r="J2089" s="271"/>
    </row>
    <row r="2090" spans="1:10">
      <c r="A2090" s="84"/>
      <c r="B2090" s="93" t="s">
        <v>231</v>
      </c>
      <c r="C2090" s="94"/>
      <c r="D2090" s="95"/>
      <c r="E2090" s="95"/>
      <c r="F2090" s="95"/>
      <c r="G2090" s="96"/>
      <c r="H2090" s="96"/>
      <c r="I2090" s="96"/>
      <c r="J2090" s="271"/>
    </row>
    <row r="2091" spans="1:10">
      <c r="A2091" s="84"/>
      <c r="B2091" s="93" t="s">
        <v>231</v>
      </c>
      <c r="C2091" s="94"/>
      <c r="D2091" s="95"/>
      <c r="E2091" s="95"/>
      <c r="F2091" s="95"/>
      <c r="G2091" s="96"/>
      <c r="H2091" s="96"/>
      <c r="I2091" s="96"/>
      <c r="J2091" s="271"/>
    </row>
    <row r="2092" spans="1:10">
      <c r="A2092" s="84"/>
      <c r="B2092" s="93" t="s">
        <v>231</v>
      </c>
      <c r="C2092" s="94"/>
      <c r="D2092" s="95"/>
      <c r="E2092" s="95"/>
      <c r="F2092" s="95"/>
      <c r="G2092" s="96"/>
      <c r="H2092" s="96"/>
      <c r="I2092" s="96"/>
      <c r="J2092" s="271"/>
    </row>
    <row r="2093" spans="1:10">
      <c r="A2093" s="84"/>
      <c r="B2093" s="93" t="s">
        <v>231</v>
      </c>
      <c r="C2093" s="94"/>
      <c r="D2093" s="95"/>
      <c r="E2093" s="95"/>
      <c r="F2093" s="95"/>
      <c r="G2093" s="96"/>
      <c r="H2093" s="96"/>
      <c r="I2093" s="96"/>
      <c r="J2093" s="271"/>
    </row>
    <row r="2094" spans="1:10">
      <c r="A2094" s="84"/>
      <c r="B2094" s="93" t="s">
        <v>231</v>
      </c>
      <c r="C2094" s="94"/>
      <c r="D2094" s="95"/>
      <c r="E2094" s="95"/>
      <c r="F2094" s="95"/>
      <c r="G2094" s="96"/>
      <c r="H2094" s="96"/>
      <c r="I2094" s="96"/>
      <c r="J2094" s="271"/>
    </row>
    <row r="2095" spans="1:10">
      <c r="A2095" s="84"/>
      <c r="B2095" s="89"/>
      <c r="C2095" s="97"/>
      <c r="D2095" s="91"/>
      <c r="E2095" s="91"/>
      <c r="F2095" s="91"/>
      <c r="G2095" s="91" t="s">
        <v>275</v>
      </c>
      <c r="H2095" s="91"/>
      <c r="I2095" s="91"/>
      <c r="J2095" s="99">
        <f>+SUBTOTAL(9,J2088:J2094)</f>
        <v>0</v>
      </c>
    </row>
    <row r="2096" spans="1:10">
      <c r="A2096" s="84"/>
      <c r="B2096" s="89" t="s">
        <v>228</v>
      </c>
      <c r="C2096" s="90" t="s">
        <v>276</v>
      </c>
      <c r="D2096" s="91"/>
      <c r="E2096" s="91"/>
      <c r="F2096" s="91"/>
      <c r="G2096" s="92" t="s">
        <v>230</v>
      </c>
      <c r="H2096" s="92" t="s">
        <v>262</v>
      </c>
      <c r="I2096" s="92" t="s">
        <v>263</v>
      </c>
      <c r="J2096" s="99" t="s">
        <v>264</v>
      </c>
    </row>
    <row r="2097" spans="1:10">
      <c r="A2097" s="84"/>
      <c r="B2097" s="89" t="s">
        <v>231</v>
      </c>
      <c r="C2097" s="90"/>
      <c r="D2097" s="91"/>
      <c r="E2097" s="91"/>
      <c r="F2097" s="91"/>
      <c r="G2097" s="92"/>
      <c r="H2097" s="92"/>
      <c r="I2097" s="92"/>
      <c r="J2097" s="99"/>
    </row>
    <row r="2098" spans="1:10">
      <c r="A2098" s="84"/>
      <c r="B2098" s="93" t="s">
        <v>231</v>
      </c>
      <c r="C2098" s="94"/>
      <c r="D2098" s="95"/>
      <c r="E2098" s="95"/>
      <c r="F2098" s="95"/>
      <c r="G2098" s="96"/>
      <c r="H2098" s="96"/>
      <c r="I2098" s="96"/>
      <c r="J2098" s="271"/>
    </row>
    <row r="2099" spans="1:10">
      <c r="A2099" s="84"/>
      <c r="B2099" s="93" t="s">
        <v>231</v>
      </c>
      <c r="C2099" s="94"/>
      <c r="D2099" s="95"/>
      <c r="E2099" s="95"/>
      <c r="F2099" s="95"/>
      <c r="G2099" s="96"/>
      <c r="H2099" s="96"/>
      <c r="I2099" s="96"/>
      <c r="J2099" s="271"/>
    </row>
    <row r="2100" spans="1:10">
      <c r="A2100" s="84"/>
      <c r="B2100" s="93" t="s">
        <v>231</v>
      </c>
      <c r="C2100" s="94"/>
      <c r="D2100" s="95"/>
      <c r="E2100" s="95"/>
      <c r="F2100" s="95"/>
      <c r="G2100" s="96"/>
      <c r="H2100" s="96"/>
      <c r="I2100" s="96"/>
      <c r="J2100" s="271"/>
    </row>
    <row r="2101" spans="1:10">
      <c r="A2101" s="84"/>
      <c r="B2101" s="93" t="s">
        <v>231</v>
      </c>
      <c r="C2101" s="94"/>
      <c r="D2101" s="95"/>
      <c r="E2101" s="95"/>
      <c r="F2101" s="95"/>
      <c r="G2101" s="96"/>
      <c r="H2101" s="96"/>
      <c r="I2101" s="96"/>
      <c r="J2101" s="271"/>
    </row>
    <row r="2102" spans="1:10">
      <c r="A2102" s="84"/>
      <c r="B2102" s="89"/>
      <c r="C2102" s="97"/>
      <c r="D2102" s="91"/>
      <c r="E2102" s="91"/>
      <c r="F2102" s="91"/>
      <c r="G2102" s="91" t="s">
        <v>279</v>
      </c>
      <c r="H2102" s="91"/>
      <c r="I2102" s="91"/>
      <c r="J2102" s="99">
        <f>+SUBTOTAL(9,J2097:J2101)</f>
        <v>0</v>
      </c>
    </row>
    <row r="2103" spans="1:10">
      <c r="A2103" s="84"/>
      <c r="B2103" s="89" t="s">
        <v>228</v>
      </c>
      <c r="C2103" s="90" t="s">
        <v>280</v>
      </c>
      <c r="D2103" s="92" t="s">
        <v>281</v>
      </c>
      <c r="E2103" s="92" t="s">
        <v>282</v>
      </c>
      <c r="F2103" s="92" t="s">
        <v>283</v>
      </c>
      <c r="G2103" s="92" t="s">
        <v>284</v>
      </c>
      <c r="H2103" s="92" t="s">
        <v>285</v>
      </c>
      <c r="I2103" s="92" t="s">
        <v>263</v>
      </c>
      <c r="J2103" s="99" t="s">
        <v>286</v>
      </c>
    </row>
    <row r="2104" spans="1:10">
      <c r="A2104" s="84"/>
      <c r="B2104" s="89" t="s">
        <v>231</v>
      </c>
      <c r="C2104" s="90"/>
      <c r="D2104" s="92"/>
      <c r="E2104" s="92"/>
      <c r="F2104" s="92"/>
      <c r="G2104" s="92"/>
      <c r="H2104" s="92"/>
      <c r="I2104" s="92"/>
      <c r="J2104" s="99"/>
    </row>
    <row r="2105" spans="1:10">
      <c r="A2105" s="84"/>
      <c r="B2105" s="93" t="s">
        <v>231</v>
      </c>
      <c r="C2105" s="94"/>
      <c r="D2105" s="96"/>
      <c r="E2105" s="96"/>
      <c r="F2105" s="96"/>
      <c r="G2105" s="96"/>
      <c r="H2105" s="96"/>
      <c r="I2105" s="96"/>
      <c r="J2105" s="271"/>
    </row>
    <row r="2106" spans="1:10">
      <c r="A2106" s="84"/>
      <c r="B2106" s="93" t="s">
        <v>231</v>
      </c>
      <c r="C2106" s="94"/>
      <c r="D2106" s="96"/>
      <c r="E2106" s="96"/>
      <c r="F2106" s="96"/>
      <c r="G2106" s="96"/>
      <c r="H2106" s="96"/>
      <c r="I2106" s="96"/>
      <c r="J2106" s="271"/>
    </row>
    <row r="2107" spans="1:10">
      <c r="A2107" s="84"/>
      <c r="B2107" s="93" t="s">
        <v>231</v>
      </c>
      <c r="C2107" s="94"/>
      <c r="D2107" s="96"/>
      <c r="E2107" s="96"/>
      <c r="F2107" s="96"/>
      <c r="G2107" s="96"/>
      <c r="H2107" s="96"/>
      <c r="I2107" s="96"/>
      <c r="J2107" s="271"/>
    </row>
    <row r="2108" spans="1:10">
      <c r="A2108" s="84"/>
      <c r="B2108" s="93" t="s">
        <v>231</v>
      </c>
      <c r="C2108" s="94"/>
      <c r="D2108" s="96"/>
      <c r="E2108" s="96"/>
      <c r="F2108" s="96"/>
      <c r="G2108" s="96"/>
      <c r="H2108" s="96"/>
      <c r="I2108" s="96"/>
      <c r="J2108" s="271"/>
    </row>
    <row r="2109" spans="1:10">
      <c r="A2109" s="84"/>
      <c r="B2109" s="93" t="s">
        <v>231</v>
      </c>
      <c r="C2109" s="94"/>
      <c r="D2109" s="96"/>
      <c r="E2109" s="96"/>
      <c r="F2109" s="96"/>
      <c r="G2109" s="96"/>
      <c r="H2109" s="96"/>
      <c r="I2109" s="96"/>
      <c r="J2109" s="271"/>
    </row>
    <row r="2110" spans="1:10">
      <c r="A2110" s="84"/>
      <c r="B2110" s="93" t="s">
        <v>231</v>
      </c>
      <c r="C2110" s="94"/>
      <c r="D2110" s="96"/>
      <c r="E2110" s="96"/>
      <c r="F2110" s="96"/>
      <c r="G2110" s="96"/>
      <c r="H2110" s="96"/>
      <c r="I2110" s="96"/>
      <c r="J2110" s="271"/>
    </row>
    <row r="2111" spans="1:10">
      <c r="A2111" s="84"/>
      <c r="B2111" s="89"/>
      <c r="C2111" s="97"/>
      <c r="D2111" s="91"/>
      <c r="E2111" s="91"/>
      <c r="F2111" s="91"/>
      <c r="G2111" s="91" t="s">
        <v>290</v>
      </c>
      <c r="H2111" s="91"/>
      <c r="I2111" s="91"/>
      <c r="J2111" s="99">
        <f>+SUBTOTAL(9,J2104:J2110)</f>
        <v>0</v>
      </c>
    </row>
    <row r="2112" spans="1:10">
      <c r="A2112" s="84"/>
      <c r="B2112" s="89" t="s">
        <v>291</v>
      </c>
      <c r="C2112" s="97"/>
      <c r="D2112" s="91"/>
      <c r="E2112" s="91"/>
      <c r="F2112" s="91"/>
      <c r="G2112" s="91"/>
      <c r="H2112" s="91"/>
      <c r="I2112" s="91"/>
      <c r="J2112" s="99">
        <f>+SUBTOTAL(9,J2086:J2110)</f>
        <v>4.21</v>
      </c>
    </row>
    <row r="2113" spans="1:10">
      <c r="A2113" s="84"/>
      <c r="B2113" s="89" t="s">
        <v>292</v>
      </c>
      <c r="C2113" s="97"/>
      <c r="D2113" s="91">
        <v>0</v>
      </c>
      <c r="E2113" s="91"/>
      <c r="F2113" s="91"/>
      <c r="G2113" s="91"/>
      <c r="H2113" s="91"/>
      <c r="I2113" s="91"/>
      <c r="J2113" s="99">
        <f>+ROUND(J2112*D2113/100,2)</f>
        <v>0</v>
      </c>
    </row>
    <row r="2114" spans="1:10" ht="14.4" thickBot="1">
      <c r="A2114" s="84"/>
      <c r="B2114" s="89" t="s">
        <v>293</v>
      </c>
      <c r="C2114" s="97"/>
      <c r="D2114" s="91"/>
      <c r="E2114" s="91"/>
      <c r="F2114" s="91"/>
      <c r="G2114" s="91"/>
      <c r="H2114" s="91"/>
      <c r="I2114" s="91"/>
      <c r="J2114" s="99">
        <f>+J2112+ J2113</f>
        <v>4.21</v>
      </c>
    </row>
    <row r="2115" spans="1:10">
      <c r="A2115" s="84"/>
      <c r="B2115" s="85" t="s">
        <v>294</v>
      </c>
      <c r="C2115" s="86"/>
      <c r="D2115" s="88"/>
      <c r="E2115" s="88"/>
      <c r="F2115" s="88" t="s">
        <v>295</v>
      </c>
      <c r="G2115" s="88"/>
      <c r="H2115" s="88"/>
      <c r="I2115" s="88" t="s">
        <v>296</v>
      </c>
      <c r="J2115" s="270"/>
    </row>
    <row r="2116" spans="1:10">
      <c r="A2116" s="84"/>
      <c r="B2116" s="93" t="s">
        <v>297</v>
      </c>
      <c r="C2116" s="84"/>
      <c r="D2116" s="95"/>
      <c r="E2116" s="95"/>
      <c r="F2116" s="95" t="s">
        <v>298</v>
      </c>
      <c r="G2116" s="95"/>
      <c r="H2116" s="95"/>
      <c r="I2116" s="95"/>
      <c r="J2116" s="276"/>
    </row>
    <row r="2117" spans="1:10">
      <c r="A2117" s="84"/>
      <c r="B2117" s="93" t="s">
        <v>299</v>
      </c>
      <c r="C2117" s="84"/>
      <c r="D2117" s="95"/>
      <c r="E2117" s="95"/>
      <c r="F2117" s="95" t="s">
        <v>300</v>
      </c>
      <c r="G2117" s="95"/>
      <c r="H2117" s="95"/>
      <c r="I2117" s="95"/>
      <c r="J2117" s="276"/>
    </row>
    <row r="2118" spans="1:10" ht="14.4" thickBot="1">
      <c r="A2118" s="84"/>
      <c r="B2118" s="100" t="s">
        <v>301</v>
      </c>
      <c r="C2118" s="84"/>
      <c r="D2118" s="95"/>
      <c r="E2118" s="95"/>
      <c r="F2118" s="95"/>
      <c r="G2118" s="95"/>
      <c r="H2118" s="95"/>
      <c r="I2118" s="95"/>
      <c r="J2118" s="277"/>
    </row>
    <row r="2119" spans="1:10">
      <c r="A2119" s="84"/>
      <c r="B2119" s="86"/>
      <c r="C2119" s="86"/>
      <c r="D2119" s="88"/>
      <c r="E2119" s="88"/>
      <c r="F2119" s="88"/>
      <c r="G2119" s="88"/>
      <c r="H2119" s="88"/>
      <c r="I2119" s="88"/>
      <c r="J2119" s="88"/>
    </row>
    <row r="2120" spans="1:10" ht="14.4" thickBot="1">
      <c r="A2120" s="84"/>
      <c r="B2120" s="84"/>
      <c r="C2120" s="84"/>
      <c r="D2120" s="95"/>
      <c r="E2120" s="95"/>
      <c r="F2120" s="95"/>
      <c r="G2120" s="95"/>
      <c r="H2120" s="95"/>
      <c r="I2120" s="95"/>
      <c r="J2120" s="95"/>
    </row>
    <row r="2121" spans="1:10">
      <c r="A2121" s="84"/>
      <c r="B2121" s="85"/>
      <c r="C2121" s="86"/>
      <c r="D2121" s="87" t="s">
        <v>227</v>
      </c>
      <c r="E2121" s="87"/>
      <c r="F2121" s="87"/>
      <c r="G2121" s="88"/>
      <c r="H2121" s="88"/>
      <c r="I2121" s="88"/>
      <c r="J2121" s="270"/>
    </row>
    <row r="2122" spans="1:10">
      <c r="A2122" s="84"/>
      <c r="B2122" s="89" t="s">
        <v>228</v>
      </c>
      <c r="C2122" s="90" t="s">
        <v>92</v>
      </c>
      <c r="D2122" s="91"/>
      <c r="E2122" s="91"/>
      <c r="F2122" s="91"/>
      <c r="G2122" s="91"/>
      <c r="H2122" s="92" t="s">
        <v>229</v>
      </c>
      <c r="I2122" s="91"/>
      <c r="J2122" s="99" t="s">
        <v>230</v>
      </c>
    </row>
    <row r="2123" spans="1:10">
      <c r="A2123" s="84"/>
      <c r="B2123" s="93" t="s">
        <v>231</v>
      </c>
      <c r="C2123" s="94" t="s">
        <v>690</v>
      </c>
      <c r="D2123" s="95"/>
      <c r="E2123" s="95"/>
      <c r="F2123" s="95"/>
      <c r="G2123" s="95"/>
      <c r="H2123" s="96" t="s">
        <v>233</v>
      </c>
      <c r="I2123" s="95"/>
      <c r="J2123" s="271" t="s">
        <v>386</v>
      </c>
    </row>
    <row r="2124" spans="1:10">
      <c r="A2124" s="84"/>
      <c r="B2124" s="89"/>
      <c r="C2124" s="90"/>
      <c r="D2124" s="91"/>
      <c r="E2124" s="92"/>
      <c r="F2124" s="92" t="s">
        <v>235</v>
      </c>
      <c r="G2124" s="92"/>
      <c r="H2124" s="92" t="s">
        <v>236</v>
      </c>
      <c r="I2124" s="92"/>
      <c r="J2124" s="99" t="s">
        <v>237</v>
      </c>
    </row>
    <row r="2125" spans="1:10">
      <c r="A2125" s="84"/>
      <c r="B2125" s="93" t="s">
        <v>228</v>
      </c>
      <c r="C2125" s="94" t="s">
        <v>238</v>
      </c>
      <c r="D2125" s="95"/>
      <c r="E2125" s="96" t="s">
        <v>239</v>
      </c>
      <c r="F2125" s="92" t="s">
        <v>240</v>
      </c>
      <c r="G2125" s="92" t="s">
        <v>241</v>
      </c>
      <c r="H2125" s="92" t="s">
        <v>240</v>
      </c>
      <c r="I2125" s="272" t="s">
        <v>241</v>
      </c>
      <c r="J2125" s="271" t="s">
        <v>242</v>
      </c>
    </row>
    <row r="2126" spans="1:10">
      <c r="A2126" s="84"/>
      <c r="B2126" s="89" t="s">
        <v>231</v>
      </c>
      <c r="C2126" s="90"/>
      <c r="D2126" s="91"/>
      <c r="E2126" s="92"/>
      <c r="F2126" s="92"/>
      <c r="G2126" s="92"/>
      <c r="H2126" s="92"/>
      <c r="I2126" s="92"/>
      <c r="J2126" s="99"/>
    </row>
    <row r="2127" spans="1:10">
      <c r="A2127" s="84"/>
      <c r="B2127" s="93" t="s">
        <v>231</v>
      </c>
      <c r="C2127" s="94"/>
      <c r="D2127" s="95"/>
      <c r="E2127" s="96"/>
      <c r="F2127" s="96"/>
      <c r="G2127" s="96"/>
      <c r="H2127" s="96"/>
      <c r="I2127" s="96"/>
      <c r="J2127" s="271"/>
    </row>
    <row r="2128" spans="1:10">
      <c r="A2128" s="84"/>
      <c r="B2128" s="93" t="s">
        <v>231</v>
      </c>
      <c r="C2128" s="94"/>
      <c r="D2128" s="95"/>
      <c r="E2128" s="96"/>
      <c r="F2128" s="96"/>
      <c r="G2128" s="96"/>
      <c r="H2128" s="96"/>
      <c r="I2128" s="96"/>
      <c r="J2128" s="271"/>
    </row>
    <row r="2129" spans="1:10">
      <c r="A2129" s="84"/>
      <c r="B2129" s="93" t="s">
        <v>231</v>
      </c>
      <c r="C2129" s="94"/>
      <c r="D2129" s="95"/>
      <c r="E2129" s="96"/>
      <c r="F2129" s="96"/>
      <c r="G2129" s="96"/>
      <c r="H2129" s="96"/>
      <c r="I2129" s="96"/>
      <c r="J2129" s="271"/>
    </row>
    <row r="2130" spans="1:10">
      <c r="A2130" s="84"/>
      <c r="B2130" s="93" t="s">
        <v>231</v>
      </c>
      <c r="C2130" s="94"/>
      <c r="D2130" s="95"/>
      <c r="E2130" s="96"/>
      <c r="F2130" s="96"/>
      <c r="G2130" s="96"/>
      <c r="H2130" s="96"/>
      <c r="I2130" s="96"/>
      <c r="J2130" s="271"/>
    </row>
    <row r="2131" spans="1:10">
      <c r="A2131" s="84"/>
      <c r="B2131" s="93" t="s">
        <v>231</v>
      </c>
      <c r="C2131" s="94"/>
      <c r="D2131" s="95"/>
      <c r="E2131" s="96"/>
      <c r="F2131" s="96"/>
      <c r="G2131" s="96"/>
      <c r="H2131" s="96"/>
      <c r="I2131" s="96"/>
      <c r="J2131" s="271"/>
    </row>
    <row r="2132" spans="1:10">
      <c r="A2132" s="84"/>
      <c r="B2132" s="93" t="s">
        <v>231</v>
      </c>
      <c r="C2132" s="94"/>
      <c r="D2132" s="95"/>
      <c r="E2132" s="96"/>
      <c r="F2132" s="96"/>
      <c r="G2132" s="96"/>
      <c r="H2132" s="96"/>
      <c r="I2132" s="96"/>
      <c r="J2132" s="271"/>
    </row>
    <row r="2133" spans="1:10">
      <c r="A2133" s="84"/>
      <c r="B2133" s="89"/>
      <c r="C2133" s="97"/>
      <c r="D2133" s="91"/>
      <c r="E2133" s="91"/>
      <c r="F2133" s="91"/>
      <c r="G2133" s="91" t="s">
        <v>249</v>
      </c>
      <c r="H2133" s="91"/>
      <c r="I2133" s="91"/>
      <c r="J2133" s="99">
        <f>+SUBTOTAL(9,J2126:J2132)</f>
        <v>0</v>
      </c>
    </row>
    <row r="2134" spans="1:10">
      <c r="A2134" s="84"/>
      <c r="B2134" s="89" t="s">
        <v>228</v>
      </c>
      <c r="C2134" s="90" t="s">
        <v>250</v>
      </c>
      <c r="D2134" s="91"/>
      <c r="E2134" s="91"/>
      <c r="F2134" s="91"/>
      <c r="G2134" s="91"/>
      <c r="H2134" s="92" t="s">
        <v>239</v>
      </c>
      <c r="I2134" s="92" t="s">
        <v>251</v>
      </c>
      <c r="J2134" s="99" t="s">
        <v>252</v>
      </c>
    </row>
    <row r="2135" spans="1:10">
      <c r="A2135" s="84"/>
      <c r="B2135" s="89" t="s">
        <v>253</v>
      </c>
      <c r="C2135" s="90" t="s">
        <v>254</v>
      </c>
      <c r="D2135" s="91"/>
      <c r="E2135" s="91"/>
      <c r="F2135" s="91"/>
      <c r="G2135" s="91"/>
      <c r="H2135" s="92">
        <v>4</v>
      </c>
      <c r="I2135" s="92">
        <v>21.04</v>
      </c>
      <c r="J2135" s="99">
        <f>+ROUND(H2135*I2135,2)</f>
        <v>84.16</v>
      </c>
    </row>
    <row r="2136" spans="1:10">
      <c r="A2136" s="84"/>
      <c r="B2136" s="93" t="s">
        <v>231</v>
      </c>
      <c r="C2136" s="94"/>
      <c r="D2136" s="95"/>
      <c r="E2136" s="95"/>
      <c r="F2136" s="95"/>
      <c r="G2136" s="95"/>
      <c r="H2136" s="96"/>
      <c r="I2136" s="96"/>
      <c r="J2136" s="271"/>
    </row>
    <row r="2137" spans="1:10">
      <c r="A2137" s="84"/>
      <c r="B2137" s="93" t="s">
        <v>231</v>
      </c>
      <c r="C2137" s="94"/>
      <c r="D2137" s="95"/>
      <c r="E2137" s="95"/>
      <c r="F2137" s="95"/>
      <c r="G2137" s="95"/>
      <c r="H2137" s="96"/>
      <c r="I2137" s="96"/>
      <c r="J2137" s="271"/>
    </row>
    <row r="2138" spans="1:10">
      <c r="A2138" s="84"/>
      <c r="B2138" s="93" t="s">
        <v>231</v>
      </c>
      <c r="C2138" s="94"/>
      <c r="D2138" s="95"/>
      <c r="E2138" s="95"/>
      <c r="F2138" s="95"/>
      <c r="G2138" s="95"/>
      <c r="H2138" s="96"/>
      <c r="I2138" s="96"/>
      <c r="J2138" s="271"/>
    </row>
    <row r="2139" spans="1:10">
      <c r="A2139" s="84"/>
      <c r="B2139" s="93" t="s">
        <v>231</v>
      </c>
      <c r="C2139" s="94"/>
      <c r="D2139" s="95"/>
      <c r="E2139" s="95"/>
      <c r="F2139" s="95"/>
      <c r="G2139" s="95"/>
      <c r="H2139" s="96"/>
      <c r="I2139" s="96"/>
      <c r="J2139" s="271"/>
    </row>
    <row r="2140" spans="1:10">
      <c r="A2140" s="84"/>
      <c r="B2140" s="93" t="s">
        <v>231</v>
      </c>
      <c r="C2140" s="94"/>
      <c r="D2140" s="95"/>
      <c r="E2140" s="95"/>
      <c r="F2140" s="95"/>
      <c r="G2140" s="95"/>
      <c r="H2140" s="96"/>
      <c r="I2140" s="96"/>
      <c r="J2140" s="271"/>
    </row>
    <row r="2141" spans="1:10">
      <c r="A2141" s="84"/>
      <c r="B2141" s="93" t="s">
        <v>231</v>
      </c>
      <c r="C2141" s="94"/>
      <c r="D2141" s="95"/>
      <c r="E2141" s="95"/>
      <c r="F2141" s="95"/>
      <c r="G2141" s="95"/>
      <c r="H2141" s="96"/>
      <c r="I2141" s="96"/>
      <c r="J2141" s="271"/>
    </row>
    <row r="2142" spans="1:10">
      <c r="A2142" s="84"/>
      <c r="B2142" s="89"/>
      <c r="C2142" s="97"/>
      <c r="D2142" s="91"/>
      <c r="E2142" s="91"/>
      <c r="F2142" s="91"/>
      <c r="G2142" s="91" t="s">
        <v>255</v>
      </c>
      <c r="H2142" s="91"/>
      <c r="I2142" s="91"/>
      <c r="J2142" s="99">
        <f>+SUBTOTAL(9,J2135:J2141)</f>
        <v>84.16</v>
      </c>
    </row>
    <row r="2143" spans="1:10">
      <c r="A2143" s="84"/>
      <c r="B2143" s="89"/>
      <c r="C2143" s="97"/>
      <c r="D2143" s="91"/>
      <c r="E2143" s="91"/>
      <c r="F2143" s="91" t="s">
        <v>256</v>
      </c>
      <c r="G2143" s="91"/>
      <c r="H2143" s="91"/>
      <c r="I2143" s="91">
        <v>0</v>
      </c>
      <c r="J2143" s="99">
        <f>+ROUND(I2143*J2142,2)</f>
        <v>0</v>
      </c>
    </row>
    <row r="2144" spans="1:10">
      <c r="A2144" s="84"/>
      <c r="B2144" s="89"/>
      <c r="C2144" s="97"/>
      <c r="D2144" s="91"/>
      <c r="E2144" s="91"/>
      <c r="F2144" s="91" t="s">
        <v>257</v>
      </c>
      <c r="G2144" s="91"/>
      <c r="H2144" s="91"/>
      <c r="I2144" s="91"/>
      <c r="J2144" s="99">
        <f>+SUBTOTAL(9,J2135:J2143)</f>
        <v>84.16</v>
      </c>
    </row>
    <row r="2145" spans="1:10">
      <c r="A2145" s="84"/>
      <c r="B2145" s="98"/>
      <c r="C2145" s="97"/>
      <c r="D2145" s="91"/>
      <c r="E2145" s="91"/>
      <c r="F2145" s="91"/>
      <c r="G2145" s="91" t="s">
        <v>258</v>
      </c>
      <c r="H2145" s="91"/>
      <c r="I2145" s="91"/>
      <c r="J2145" s="275">
        <f>+SUBTOTAL(9,J2126:J2144)</f>
        <v>84.16</v>
      </c>
    </row>
    <row r="2146" spans="1:10">
      <c r="A2146" s="84"/>
      <c r="B2146" s="98"/>
      <c r="C2146" s="97" t="s">
        <v>259</v>
      </c>
      <c r="D2146" s="91">
        <v>20</v>
      </c>
      <c r="E2146" s="91"/>
      <c r="F2146" s="91"/>
      <c r="G2146" s="91" t="s">
        <v>260</v>
      </c>
      <c r="H2146" s="91"/>
      <c r="I2146" s="91"/>
      <c r="J2146" s="275">
        <f>+ROUND(J2145/D2146,2)</f>
        <v>4.21</v>
      </c>
    </row>
    <row r="2147" spans="1:10">
      <c r="A2147" s="84"/>
      <c r="B2147" s="89" t="s">
        <v>228</v>
      </c>
      <c r="C2147" s="90" t="s">
        <v>261</v>
      </c>
      <c r="D2147" s="91"/>
      <c r="E2147" s="91"/>
      <c r="F2147" s="91"/>
      <c r="G2147" s="92" t="s">
        <v>230</v>
      </c>
      <c r="H2147" s="92" t="s">
        <v>262</v>
      </c>
      <c r="I2147" s="92" t="s">
        <v>263</v>
      </c>
      <c r="J2147" s="99" t="s">
        <v>264</v>
      </c>
    </row>
    <row r="2148" spans="1:10">
      <c r="A2148" s="84"/>
      <c r="B2148" s="89" t="s">
        <v>231</v>
      </c>
      <c r="C2148" s="90"/>
      <c r="D2148" s="91"/>
      <c r="E2148" s="91"/>
      <c r="F2148" s="91"/>
      <c r="G2148" s="92"/>
      <c r="H2148" s="92"/>
      <c r="I2148" s="92"/>
      <c r="J2148" s="99"/>
    </row>
    <row r="2149" spans="1:10">
      <c r="A2149" s="84"/>
      <c r="B2149" s="93" t="s">
        <v>231</v>
      </c>
      <c r="C2149" s="94"/>
      <c r="D2149" s="95"/>
      <c r="E2149" s="95"/>
      <c r="F2149" s="95"/>
      <c r="G2149" s="96"/>
      <c r="H2149" s="96"/>
      <c r="I2149" s="96"/>
      <c r="J2149" s="271"/>
    </row>
    <row r="2150" spans="1:10">
      <c r="A2150" s="84"/>
      <c r="B2150" s="93" t="s">
        <v>231</v>
      </c>
      <c r="C2150" s="94"/>
      <c r="D2150" s="95"/>
      <c r="E2150" s="95"/>
      <c r="F2150" s="95"/>
      <c r="G2150" s="96"/>
      <c r="H2150" s="96"/>
      <c r="I2150" s="96"/>
      <c r="J2150" s="271"/>
    </row>
    <row r="2151" spans="1:10">
      <c r="A2151" s="84"/>
      <c r="B2151" s="93" t="s">
        <v>231</v>
      </c>
      <c r="C2151" s="94"/>
      <c r="D2151" s="95"/>
      <c r="E2151" s="95"/>
      <c r="F2151" s="95"/>
      <c r="G2151" s="96"/>
      <c r="H2151" s="96"/>
      <c r="I2151" s="96"/>
      <c r="J2151" s="271"/>
    </row>
    <row r="2152" spans="1:10">
      <c r="A2152" s="84"/>
      <c r="B2152" s="93" t="s">
        <v>231</v>
      </c>
      <c r="C2152" s="94"/>
      <c r="D2152" s="95"/>
      <c r="E2152" s="95"/>
      <c r="F2152" s="95"/>
      <c r="G2152" s="96"/>
      <c r="H2152" s="96"/>
      <c r="I2152" s="96"/>
      <c r="J2152" s="271"/>
    </row>
    <row r="2153" spans="1:10">
      <c r="A2153" s="84"/>
      <c r="B2153" s="93" t="s">
        <v>231</v>
      </c>
      <c r="C2153" s="94"/>
      <c r="D2153" s="95"/>
      <c r="E2153" s="95"/>
      <c r="F2153" s="95"/>
      <c r="G2153" s="96"/>
      <c r="H2153" s="96"/>
      <c r="I2153" s="96"/>
      <c r="J2153" s="271"/>
    </row>
    <row r="2154" spans="1:10">
      <c r="A2154" s="84"/>
      <c r="B2154" s="93" t="s">
        <v>231</v>
      </c>
      <c r="C2154" s="94"/>
      <c r="D2154" s="95"/>
      <c r="E2154" s="95"/>
      <c r="F2154" s="95"/>
      <c r="G2154" s="96"/>
      <c r="H2154" s="96"/>
      <c r="I2154" s="96"/>
      <c r="J2154" s="271"/>
    </row>
    <row r="2155" spans="1:10">
      <c r="A2155" s="84"/>
      <c r="B2155" s="89"/>
      <c r="C2155" s="97"/>
      <c r="D2155" s="91"/>
      <c r="E2155" s="91"/>
      <c r="F2155" s="91"/>
      <c r="G2155" s="91" t="s">
        <v>275</v>
      </c>
      <c r="H2155" s="91"/>
      <c r="I2155" s="91"/>
      <c r="J2155" s="99">
        <f>+SUBTOTAL(9,J2148:J2154)</f>
        <v>0</v>
      </c>
    </row>
    <row r="2156" spans="1:10">
      <c r="A2156" s="84"/>
      <c r="B2156" s="89" t="s">
        <v>228</v>
      </c>
      <c r="C2156" s="90" t="s">
        <v>276</v>
      </c>
      <c r="D2156" s="91"/>
      <c r="E2156" s="91"/>
      <c r="F2156" s="91"/>
      <c r="G2156" s="92" t="s">
        <v>230</v>
      </c>
      <c r="H2156" s="92" t="s">
        <v>262</v>
      </c>
      <c r="I2156" s="92" t="s">
        <v>263</v>
      </c>
      <c r="J2156" s="99" t="s">
        <v>264</v>
      </c>
    </row>
    <row r="2157" spans="1:10">
      <c r="A2157" s="84"/>
      <c r="B2157" s="89" t="s">
        <v>231</v>
      </c>
      <c r="C2157" s="90"/>
      <c r="D2157" s="91"/>
      <c r="E2157" s="91"/>
      <c r="F2157" s="91"/>
      <c r="G2157" s="92"/>
      <c r="H2157" s="92"/>
      <c r="I2157" s="92"/>
      <c r="J2157" s="99"/>
    </row>
    <row r="2158" spans="1:10">
      <c r="A2158" s="84"/>
      <c r="B2158" s="93" t="s">
        <v>231</v>
      </c>
      <c r="C2158" s="94"/>
      <c r="D2158" s="95"/>
      <c r="E2158" s="95"/>
      <c r="F2158" s="95"/>
      <c r="G2158" s="96"/>
      <c r="H2158" s="96"/>
      <c r="I2158" s="96"/>
      <c r="J2158" s="271"/>
    </row>
    <row r="2159" spans="1:10">
      <c r="A2159" s="84"/>
      <c r="B2159" s="93" t="s">
        <v>231</v>
      </c>
      <c r="C2159" s="94"/>
      <c r="D2159" s="95"/>
      <c r="E2159" s="95"/>
      <c r="F2159" s="95"/>
      <c r="G2159" s="96"/>
      <c r="H2159" s="96"/>
      <c r="I2159" s="96"/>
      <c r="J2159" s="271"/>
    </row>
    <row r="2160" spans="1:10">
      <c r="A2160" s="84"/>
      <c r="B2160" s="93" t="s">
        <v>231</v>
      </c>
      <c r="C2160" s="94"/>
      <c r="D2160" s="95"/>
      <c r="E2160" s="95"/>
      <c r="F2160" s="95"/>
      <c r="G2160" s="96"/>
      <c r="H2160" s="96"/>
      <c r="I2160" s="96"/>
      <c r="J2160" s="271"/>
    </row>
    <row r="2161" spans="1:10">
      <c r="A2161" s="84"/>
      <c r="B2161" s="93" t="s">
        <v>231</v>
      </c>
      <c r="C2161" s="94"/>
      <c r="D2161" s="95"/>
      <c r="E2161" s="95"/>
      <c r="F2161" s="95"/>
      <c r="G2161" s="96"/>
      <c r="H2161" s="96"/>
      <c r="I2161" s="96"/>
      <c r="J2161" s="271"/>
    </row>
    <row r="2162" spans="1:10">
      <c r="A2162" s="84"/>
      <c r="B2162" s="89"/>
      <c r="C2162" s="97"/>
      <c r="D2162" s="91"/>
      <c r="E2162" s="91"/>
      <c r="F2162" s="91"/>
      <c r="G2162" s="91" t="s">
        <v>279</v>
      </c>
      <c r="H2162" s="91"/>
      <c r="I2162" s="91"/>
      <c r="J2162" s="99">
        <f>+SUBTOTAL(9,J2157:J2161)</f>
        <v>0</v>
      </c>
    </row>
    <row r="2163" spans="1:10">
      <c r="A2163" s="84"/>
      <c r="B2163" s="89" t="s">
        <v>228</v>
      </c>
      <c r="C2163" s="90" t="s">
        <v>280</v>
      </c>
      <c r="D2163" s="92" t="s">
        <v>281</v>
      </c>
      <c r="E2163" s="92" t="s">
        <v>282</v>
      </c>
      <c r="F2163" s="92" t="s">
        <v>283</v>
      </c>
      <c r="G2163" s="92" t="s">
        <v>284</v>
      </c>
      <c r="H2163" s="92" t="s">
        <v>285</v>
      </c>
      <c r="I2163" s="92" t="s">
        <v>263</v>
      </c>
      <c r="J2163" s="99" t="s">
        <v>286</v>
      </c>
    </row>
    <row r="2164" spans="1:10">
      <c r="A2164" s="84"/>
      <c r="B2164" s="89" t="s">
        <v>231</v>
      </c>
      <c r="C2164" s="90"/>
      <c r="D2164" s="92"/>
      <c r="E2164" s="92"/>
      <c r="F2164" s="92"/>
      <c r="G2164" s="92"/>
      <c r="H2164" s="92"/>
      <c r="I2164" s="92"/>
      <c r="J2164" s="99"/>
    </row>
    <row r="2165" spans="1:10">
      <c r="A2165" s="84"/>
      <c r="B2165" s="93" t="s">
        <v>231</v>
      </c>
      <c r="C2165" s="94"/>
      <c r="D2165" s="96"/>
      <c r="E2165" s="96"/>
      <c r="F2165" s="96"/>
      <c r="G2165" s="96"/>
      <c r="H2165" s="96"/>
      <c r="I2165" s="96"/>
      <c r="J2165" s="271"/>
    </row>
    <row r="2166" spans="1:10">
      <c r="A2166" s="84"/>
      <c r="B2166" s="93" t="s">
        <v>231</v>
      </c>
      <c r="C2166" s="94"/>
      <c r="D2166" s="96"/>
      <c r="E2166" s="96"/>
      <c r="F2166" s="96"/>
      <c r="G2166" s="96"/>
      <c r="H2166" s="96"/>
      <c r="I2166" s="96"/>
      <c r="J2166" s="271"/>
    </row>
    <row r="2167" spans="1:10">
      <c r="A2167" s="84"/>
      <c r="B2167" s="93" t="s">
        <v>231</v>
      </c>
      <c r="C2167" s="94"/>
      <c r="D2167" s="96"/>
      <c r="E2167" s="96"/>
      <c r="F2167" s="96"/>
      <c r="G2167" s="96"/>
      <c r="H2167" s="96"/>
      <c r="I2167" s="96"/>
      <c r="J2167" s="271"/>
    </row>
    <row r="2168" spans="1:10">
      <c r="A2168" s="84"/>
      <c r="B2168" s="93" t="s">
        <v>231</v>
      </c>
      <c r="C2168" s="94"/>
      <c r="D2168" s="96"/>
      <c r="E2168" s="96"/>
      <c r="F2168" s="96"/>
      <c r="G2168" s="96"/>
      <c r="H2168" s="96"/>
      <c r="I2168" s="96"/>
      <c r="J2168" s="271"/>
    </row>
    <row r="2169" spans="1:10">
      <c r="A2169" s="84"/>
      <c r="B2169" s="93" t="s">
        <v>231</v>
      </c>
      <c r="C2169" s="94"/>
      <c r="D2169" s="96"/>
      <c r="E2169" s="96"/>
      <c r="F2169" s="96"/>
      <c r="G2169" s="96"/>
      <c r="H2169" s="96"/>
      <c r="I2169" s="96"/>
      <c r="J2169" s="271"/>
    </row>
    <row r="2170" spans="1:10">
      <c r="A2170" s="84"/>
      <c r="B2170" s="93" t="s">
        <v>231</v>
      </c>
      <c r="C2170" s="94"/>
      <c r="D2170" s="96"/>
      <c r="E2170" s="96"/>
      <c r="F2170" s="96"/>
      <c r="G2170" s="96"/>
      <c r="H2170" s="96"/>
      <c r="I2170" s="96"/>
      <c r="J2170" s="271"/>
    </row>
    <row r="2171" spans="1:10">
      <c r="A2171" s="84"/>
      <c r="B2171" s="89"/>
      <c r="C2171" s="97"/>
      <c r="D2171" s="91"/>
      <c r="E2171" s="91"/>
      <c r="F2171" s="91"/>
      <c r="G2171" s="91" t="s">
        <v>290</v>
      </c>
      <c r="H2171" s="91"/>
      <c r="I2171" s="91"/>
      <c r="J2171" s="99">
        <f>+SUBTOTAL(9,J2164:J2170)</f>
        <v>0</v>
      </c>
    </row>
    <row r="2172" spans="1:10">
      <c r="A2172" s="84"/>
      <c r="B2172" s="89" t="s">
        <v>291</v>
      </c>
      <c r="C2172" s="97"/>
      <c r="D2172" s="91"/>
      <c r="E2172" s="91"/>
      <c r="F2172" s="91"/>
      <c r="G2172" s="91"/>
      <c r="H2172" s="91"/>
      <c r="I2172" s="91"/>
      <c r="J2172" s="99">
        <f>+SUBTOTAL(9,J2146:J2170)</f>
        <v>4.21</v>
      </c>
    </row>
    <row r="2173" spans="1:10">
      <c r="A2173" s="84"/>
      <c r="B2173" s="89" t="s">
        <v>292</v>
      </c>
      <c r="C2173" s="97"/>
      <c r="D2173" s="91">
        <v>0</v>
      </c>
      <c r="E2173" s="91"/>
      <c r="F2173" s="91"/>
      <c r="G2173" s="91"/>
      <c r="H2173" s="91"/>
      <c r="I2173" s="91"/>
      <c r="J2173" s="99">
        <f>+ROUND(J2172*D2173/100,2)</f>
        <v>0</v>
      </c>
    </row>
    <row r="2174" spans="1:10" ht="14.4" thickBot="1">
      <c r="A2174" s="84"/>
      <c r="B2174" s="89" t="s">
        <v>293</v>
      </c>
      <c r="C2174" s="97"/>
      <c r="D2174" s="91"/>
      <c r="E2174" s="91"/>
      <c r="F2174" s="91"/>
      <c r="G2174" s="91"/>
      <c r="H2174" s="91"/>
      <c r="I2174" s="91"/>
      <c r="J2174" s="99">
        <f>+J2172+ J2173</f>
        <v>4.21</v>
      </c>
    </row>
    <row r="2175" spans="1:10">
      <c r="A2175" s="84"/>
      <c r="B2175" s="85" t="s">
        <v>294</v>
      </c>
      <c r="C2175" s="86"/>
      <c r="D2175" s="88"/>
      <c r="E2175" s="88"/>
      <c r="F2175" s="88" t="s">
        <v>295</v>
      </c>
      <c r="G2175" s="88"/>
      <c r="H2175" s="88"/>
      <c r="I2175" s="88" t="s">
        <v>296</v>
      </c>
      <c r="J2175" s="270"/>
    </row>
    <row r="2176" spans="1:10">
      <c r="A2176" s="84"/>
      <c r="B2176" s="93" t="s">
        <v>297</v>
      </c>
      <c r="C2176" s="84"/>
      <c r="D2176" s="95"/>
      <c r="E2176" s="95"/>
      <c r="F2176" s="95" t="s">
        <v>298</v>
      </c>
      <c r="G2176" s="95"/>
      <c r="H2176" s="95"/>
      <c r="I2176" s="95"/>
      <c r="J2176" s="276"/>
    </row>
    <row r="2177" spans="1:10">
      <c r="A2177" s="84"/>
      <c r="B2177" s="93" t="s">
        <v>299</v>
      </c>
      <c r="C2177" s="84"/>
      <c r="D2177" s="95"/>
      <c r="E2177" s="95"/>
      <c r="F2177" s="95" t="s">
        <v>300</v>
      </c>
      <c r="G2177" s="95"/>
      <c r="H2177" s="95"/>
      <c r="I2177" s="95"/>
      <c r="J2177" s="276"/>
    </row>
    <row r="2178" spans="1:10" ht="14.4" thickBot="1">
      <c r="A2178" s="84"/>
      <c r="B2178" s="100" t="s">
        <v>301</v>
      </c>
      <c r="C2178" s="84"/>
      <c r="D2178" s="95"/>
      <c r="E2178" s="95"/>
      <c r="F2178" s="95"/>
      <c r="G2178" s="95"/>
      <c r="H2178" s="95"/>
      <c r="I2178" s="95"/>
      <c r="J2178" s="277"/>
    </row>
    <row r="2179" spans="1:10">
      <c r="A2179" s="84"/>
      <c r="B2179" s="86"/>
      <c r="C2179" s="86"/>
      <c r="D2179" s="88"/>
      <c r="E2179" s="88"/>
      <c r="F2179" s="88"/>
      <c r="G2179" s="88"/>
      <c r="H2179" s="88"/>
      <c r="I2179" s="88"/>
      <c r="J2179" s="88"/>
    </row>
    <row r="2180" spans="1:10" ht="14.4" thickBot="1">
      <c r="A2180" s="84"/>
      <c r="B2180" s="84"/>
      <c r="C2180" s="84"/>
      <c r="D2180" s="95"/>
      <c r="E2180" s="95"/>
      <c r="F2180" s="95"/>
      <c r="G2180" s="95"/>
      <c r="H2180" s="95"/>
      <c r="I2180" s="95"/>
      <c r="J2180" s="95"/>
    </row>
    <row r="2181" spans="1:10">
      <c r="A2181" s="84"/>
      <c r="B2181" s="85"/>
      <c r="C2181" s="86"/>
      <c r="D2181" s="87" t="s">
        <v>227</v>
      </c>
      <c r="E2181" s="87"/>
      <c r="F2181" s="87"/>
      <c r="G2181" s="88"/>
      <c r="H2181" s="88"/>
      <c r="I2181" s="88"/>
      <c r="J2181" s="270"/>
    </row>
    <row r="2182" spans="1:10">
      <c r="A2182" s="84"/>
      <c r="B2182" s="89" t="s">
        <v>228</v>
      </c>
      <c r="C2182" s="90" t="s">
        <v>92</v>
      </c>
      <c r="D2182" s="91"/>
      <c r="E2182" s="91"/>
      <c r="F2182" s="91"/>
      <c r="G2182" s="91"/>
      <c r="H2182" s="92" t="s">
        <v>229</v>
      </c>
      <c r="I2182" s="91"/>
      <c r="J2182" s="99" t="s">
        <v>230</v>
      </c>
    </row>
    <row r="2183" spans="1:10">
      <c r="A2183" s="84"/>
      <c r="B2183" s="93" t="s">
        <v>231</v>
      </c>
      <c r="C2183" s="94" t="s">
        <v>691</v>
      </c>
      <c r="D2183" s="95"/>
      <c r="E2183" s="95"/>
      <c r="F2183" s="95"/>
      <c r="G2183" s="95"/>
      <c r="H2183" s="96" t="s">
        <v>233</v>
      </c>
      <c r="I2183" s="95"/>
      <c r="J2183" s="271" t="s">
        <v>386</v>
      </c>
    </row>
    <row r="2184" spans="1:10">
      <c r="A2184" s="84"/>
      <c r="B2184" s="89"/>
      <c r="C2184" s="90"/>
      <c r="D2184" s="91"/>
      <c r="E2184" s="92"/>
      <c r="F2184" s="92" t="s">
        <v>235</v>
      </c>
      <c r="G2184" s="92"/>
      <c r="H2184" s="92" t="s">
        <v>236</v>
      </c>
      <c r="I2184" s="92"/>
      <c r="J2184" s="99" t="s">
        <v>237</v>
      </c>
    </row>
    <row r="2185" spans="1:10">
      <c r="A2185" s="84"/>
      <c r="B2185" s="93" t="s">
        <v>228</v>
      </c>
      <c r="C2185" s="94" t="s">
        <v>238</v>
      </c>
      <c r="D2185" s="95"/>
      <c r="E2185" s="96" t="s">
        <v>239</v>
      </c>
      <c r="F2185" s="92" t="s">
        <v>240</v>
      </c>
      <c r="G2185" s="92" t="s">
        <v>241</v>
      </c>
      <c r="H2185" s="92" t="s">
        <v>240</v>
      </c>
      <c r="I2185" s="272" t="s">
        <v>241</v>
      </c>
      <c r="J2185" s="271" t="s">
        <v>242</v>
      </c>
    </row>
    <row r="2186" spans="1:10">
      <c r="A2186" s="84"/>
      <c r="B2186" s="89" t="s">
        <v>231</v>
      </c>
      <c r="C2186" s="90"/>
      <c r="D2186" s="91"/>
      <c r="E2186" s="92"/>
      <c r="F2186" s="92"/>
      <c r="G2186" s="92"/>
      <c r="H2186" s="92"/>
      <c r="I2186" s="92"/>
      <c r="J2186" s="99"/>
    </row>
    <row r="2187" spans="1:10">
      <c r="A2187" s="84"/>
      <c r="B2187" s="93" t="s">
        <v>231</v>
      </c>
      <c r="C2187" s="94"/>
      <c r="D2187" s="95"/>
      <c r="E2187" s="96"/>
      <c r="F2187" s="96"/>
      <c r="G2187" s="96"/>
      <c r="H2187" s="96"/>
      <c r="I2187" s="96"/>
      <c r="J2187" s="271"/>
    </row>
    <row r="2188" spans="1:10">
      <c r="A2188" s="84"/>
      <c r="B2188" s="93" t="s">
        <v>231</v>
      </c>
      <c r="C2188" s="94"/>
      <c r="D2188" s="95"/>
      <c r="E2188" s="96"/>
      <c r="F2188" s="96"/>
      <c r="G2188" s="96"/>
      <c r="H2188" s="96"/>
      <c r="I2188" s="96"/>
      <c r="J2188" s="271"/>
    </row>
    <row r="2189" spans="1:10">
      <c r="A2189" s="84"/>
      <c r="B2189" s="93" t="s">
        <v>231</v>
      </c>
      <c r="C2189" s="94"/>
      <c r="D2189" s="95"/>
      <c r="E2189" s="96"/>
      <c r="F2189" s="96"/>
      <c r="G2189" s="96"/>
      <c r="H2189" s="96"/>
      <c r="I2189" s="96"/>
      <c r="J2189" s="271"/>
    </row>
    <row r="2190" spans="1:10">
      <c r="A2190" s="84"/>
      <c r="B2190" s="93" t="s">
        <v>231</v>
      </c>
      <c r="C2190" s="94"/>
      <c r="D2190" s="95"/>
      <c r="E2190" s="96"/>
      <c r="F2190" s="96"/>
      <c r="G2190" s="96"/>
      <c r="H2190" s="96"/>
      <c r="I2190" s="96"/>
      <c r="J2190" s="271"/>
    </row>
    <row r="2191" spans="1:10">
      <c r="A2191" s="84"/>
      <c r="B2191" s="93" t="s">
        <v>231</v>
      </c>
      <c r="C2191" s="94"/>
      <c r="D2191" s="95"/>
      <c r="E2191" s="96"/>
      <c r="F2191" s="96"/>
      <c r="G2191" s="96"/>
      <c r="H2191" s="96"/>
      <c r="I2191" s="96"/>
      <c r="J2191" s="271"/>
    </row>
    <row r="2192" spans="1:10">
      <c r="A2192" s="84"/>
      <c r="B2192" s="93" t="s">
        <v>231</v>
      </c>
      <c r="C2192" s="94"/>
      <c r="D2192" s="95"/>
      <c r="E2192" s="96"/>
      <c r="F2192" s="96"/>
      <c r="G2192" s="96"/>
      <c r="H2192" s="96"/>
      <c r="I2192" s="96"/>
      <c r="J2192" s="271"/>
    </row>
    <row r="2193" spans="1:10">
      <c r="A2193" s="84"/>
      <c r="B2193" s="89"/>
      <c r="C2193" s="97"/>
      <c r="D2193" s="91"/>
      <c r="E2193" s="91"/>
      <c r="F2193" s="91"/>
      <c r="G2193" s="91" t="s">
        <v>249</v>
      </c>
      <c r="H2193" s="91"/>
      <c r="I2193" s="91"/>
      <c r="J2193" s="99">
        <f>+SUBTOTAL(9,J2186:J2192)</f>
        <v>0</v>
      </c>
    </row>
    <row r="2194" spans="1:10">
      <c r="A2194" s="84"/>
      <c r="B2194" s="89" t="s">
        <v>228</v>
      </c>
      <c r="C2194" s="90" t="s">
        <v>250</v>
      </c>
      <c r="D2194" s="91"/>
      <c r="E2194" s="91"/>
      <c r="F2194" s="91"/>
      <c r="G2194" s="91"/>
      <c r="H2194" s="92" t="s">
        <v>239</v>
      </c>
      <c r="I2194" s="92" t="s">
        <v>251</v>
      </c>
      <c r="J2194" s="99" t="s">
        <v>252</v>
      </c>
    </row>
    <row r="2195" spans="1:10">
      <c r="A2195" s="84"/>
      <c r="B2195" s="89" t="s">
        <v>253</v>
      </c>
      <c r="C2195" s="90" t="s">
        <v>254</v>
      </c>
      <c r="D2195" s="91"/>
      <c r="E2195" s="91"/>
      <c r="F2195" s="91"/>
      <c r="G2195" s="91"/>
      <c r="H2195" s="92">
        <v>10</v>
      </c>
      <c r="I2195" s="92">
        <v>21.04</v>
      </c>
      <c r="J2195" s="99">
        <f>+ROUND(H2195*I2195,2)</f>
        <v>210.4</v>
      </c>
    </row>
    <row r="2196" spans="1:10">
      <c r="A2196" s="84"/>
      <c r="B2196" s="93" t="s">
        <v>231</v>
      </c>
      <c r="C2196" s="94"/>
      <c r="D2196" s="95"/>
      <c r="E2196" s="95"/>
      <c r="F2196" s="95"/>
      <c r="G2196" s="95"/>
      <c r="H2196" s="96"/>
      <c r="I2196" s="96"/>
      <c r="J2196" s="271"/>
    </row>
    <row r="2197" spans="1:10">
      <c r="A2197" s="84"/>
      <c r="B2197" s="93" t="s">
        <v>231</v>
      </c>
      <c r="C2197" s="94"/>
      <c r="D2197" s="95"/>
      <c r="E2197" s="95"/>
      <c r="F2197" s="95"/>
      <c r="G2197" s="95"/>
      <c r="H2197" s="96"/>
      <c r="I2197" s="96"/>
      <c r="J2197" s="271"/>
    </row>
    <row r="2198" spans="1:10">
      <c r="A2198" s="84"/>
      <c r="B2198" s="93" t="s">
        <v>231</v>
      </c>
      <c r="C2198" s="94"/>
      <c r="D2198" s="95"/>
      <c r="E2198" s="95"/>
      <c r="F2198" s="95"/>
      <c r="G2198" s="95"/>
      <c r="H2198" s="96"/>
      <c r="I2198" s="96"/>
      <c r="J2198" s="271"/>
    </row>
    <row r="2199" spans="1:10">
      <c r="A2199" s="84"/>
      <c r="B2199" s="93" t="s">
        <v>231</v>
      </c>
      <c r="C2199" s="94"/>
      <c r="D2199" s="95"/>
      <c r="E2199" s="95"/>
      <c r="F2199" s="95"/>
      <c r="G2199" s="95"/>
      <c r="H2199" s="96"/>
      <c r="I2199" s="96"/>
      <c r="J2199" s="271"/>
    </row>
    <row r="2200" spans="1:10">
      <c r="A2200" s="84"/>
      <c r="B2200" s="93" t="s">
        <v>231</v>
      </c>
      <c r="C2200" s="94"/>
      <c r="D2200" s="95"/>
      <c r="E2200" s="95"/>
      <c r="F2200" s="95"/>
      <c r="G2200" s="95"/>
      <c r="H2200" s="96"/>
      <c r="I2200" s="96"/>
      <c r="J2200" s="271"/>
    </row>
    <row r="2201" spans="1:10">
      <c r="A2201" s="84"/>
      <c r="B2201" s="93" t="s">
        <v>231</v>
      </c>
      <c r="C2201" s="94"/>
      <c r="D2201" s="95"/>
      <c r="E2201" s="95"/>
      <c r="F2201" s="95"/>
      <c r="G2201" s="95"/>
      <c r="H2201" s="96"/>
      <c r="I2201" s="96"/>
      <c r="J2201" s="271"/>
    </row>
    <row r="2202" spans="1:10">
      <c r="A2202" s="84"/>
      <c r="B2202" s="89"/>
      <c r="C2202" s="97"/>
      <c r="D2202" s="91"/>
      <c r="E2202" s="91"/>
      <c r="F2202" s="91"/>
      <c r="G2202" s="91" t="s">
        <v>255</v>
      </c>
      <c r="H2202" s="91"/>
      <c r="I2202" s="91"/>
      <c r="J2202" s="99">
        <f>+SUBTOTAL(9,J2195:J2201)</f>
        <v>210.4</v>
      </c>
    </row>
    <row r="2203" spans="1:10">
      <c r="A2203" s="84"/>
      <c r="B2203" s="89"/>
      <c r="C2203" s="97"/>
      <c r="D2203" s="91"/>
      <c r="E2203" s="91"/>
      <c r="F2203" s="91" t="s">
        <v>256</v>
      </c>
      <c r="G2203" s="91"/>
      <c r="H2203" s="91"/>
      <c r="I2203" s="91">
        <v>0</v>
      </c>
      <c r="J2203" s="99">
        <f>+ROUND(I2203*J2202,2)</f>
        <v>0</v>
      </c>
    </row>
    <row r="2204" spans="1:10">
      <c r="A2204" s="84"/>
      <c r="B2204" s="89"/>
      <c r="C2204" s="97"/>
      <c r="D2204" s="91"/>
      <c r="E2204" s="91"/>
      <c r="F2204" s="91" t="s">
        <v>257</v>
      </c>
      <c r="G2204" s="91"/>
      <c r="H2204" s="91"/>
      <c r="I2204" s="91"/>
      <c r="J2204" s="99">
        <f>+SUBTOTAL(9,J2195:J2203)</f>
        <v>210.4</v>
      </c>
    </row>
    <row r="2205" spans="1:10">
      <c r="A2205" s="84"/>
      <c r="B2205" s="98"/>
      <c r="C2205" s="97"/>
      <c r="D2205" s="91"/>
      <c r="E2205" s="91"/>
      <c r="F2205" s="91"/>
      <c r="G2205" s="91" t="s">
        <v>258</v>
      </c>
      <c r="H2205" s="91"/>
      <c r="I2205" s="91"/>
      <c r="J2205" s="275">
        <f>+SUBTOTAL(9,J2186:J2204)</f>
        <v>210.4</v>
      </c>
    </row>
    <row r="2206" spans="1:10">
      <c r="A2206" s="84"/>
      <c r="B2206" s="98"/>
      <c r="C2206" s="97" t="s">
        <v>259</v>
      </c>
      <c r="D2206" s="91">
        <v>300</v>
      </c>
      <c r="E2206" s="91"/>
      <c r="F2206" s="91"/>
      <c r="G2206" s="91" t="s">
        <v>260</v>
      </c>
      <c r="H2206" s="91"/>
      <c r="I2206" s="91"/>
      <c r="J2206" s="275">
        <f>+ROUND(J2205/D2206,2)</f>
        <v>0.7</v>
      </c>
    </row>
    <row r="2207" spans="1:10">
      <c r="A2207" s="84"/>
      <c r="B2207" s="89" t="s">
        <v>228</v>
      </c>
      <c r="C2207" s="90" t="s">
        <v>261</v>
      </c>
      <c r="D2207" s="91"/>
      <c r="E2207" s="91"/>
      <c r="F2207" s="91"/>
      <c r="G2207" s="92" t="s">
        <v>230</v>
      </c>
      <c r="H2207" s="92" t="s">
        <v>262</v>
      </c>
      <c r="I2207" s="92" t="s">
        <v>263</v>
      </c>
      <c r="J2207" s="99" t="s">
        <v>264</v>
      </c>
    </row>
    <row r="2208" spans="1:10">
      <c r="A2208" s="84"/>
      <c r="B2208" s="89" t="s">
        <v>231</v>
      </c>
      <c r="C2208" s="90"/>
      <c r="D2208" s="91"/>
      <c r="E2208" s="91"/>
      <c r="F2208" s="91"/>
      <c r="G2208" s="92"/>
      <c r="H2208" s="92"/>
      <c r="I2208" s="92"/>
      <c r="J2208" s="99"/>
    </row>
    <row r="2209" spans="1:10">
      <c r="A2209" s="84"/>
      <c r="B2209" s="93" t="s">
        <v>231</v>
      </c>
      <c r="C2209" s="94"/>
      <c r="D2209" s="95"/>
      <c r="E2209" s="95"/>
      <c r="F2209" s="95"/>
      <c r="G2209" s="96"/>
      <c r="H2209" s="96"/>
      <c r="I2209" s="96"/>
      <c r="J2209" s="271"/>
    </row>
    <row r="2210" spans="1:10">
      <c r="A2210" s="84"/>
      <c r="B2210" s="93" t="s">
        <v>231</v>
      </c>
      <c r="C2210" s="94"/>
      <c r="D2210" s="95"/>
      <c r="E2210" s="95"/>
      <c r="F2210" s="95"/>
      <c r="G2210" s="96"/>
      <c r="H2210" s="96"/>
      <c r="I2210" s="96"/>
      <c r="J2210" s="271"/>
    </row>
    <row r="2211" spans="1:10">
      <c r="A2211" s="84"/>
      <c r="B2211" s="93" t="s">
        <v>231</v>
      </c>
      <c r="C2211" s="94"/>
      <c r="D2211" s="95"/>
      <c r="E2211" s="95"/>
      <c r="F2211" s="95"/>
      <c r="G2211" s="96"/>
      <c r="H2211" s="96"/>
      <c r="I2211" s="96"/>
      <c r="J2211" s="271"/>
    </row>
    <row r="2212" spans="1:10">
      <c r="A2212" s="84"/>
      <c r="B2212" s="93" t="s">
        <v>231</v>
      </c>
      <c r="C2212" s="94"/>
      <c r="D2212" s="95"/>
      <c r="E2212" s="95"/>
      <c r="F2212" s="95"/>
      <c r="G2212" s="96"/>
      <c r="H2212" s="96"/>
      <c r="I2212" s="96"/>
      <c r="J2212" s="271"/>
    </row>
    <row r="2213" spans="1:10">
      <c r="A2213" s="84"/>
      <c r="B2213" s="93" t="s">
        <v>231</v>
      </c>
      <c r="C2213" s="94"/>
      <c r="D2213" s="95"/>
      <c r="E2213" s="95"/>
      <c r="F2213" s="95"/>
      <c r="G2213" s="96"/>
      <c r="H2213" s="96"/>
      <c r="I2213" s="96"/>
      <c r="J2213" s="271"/>
    </row>
    <row r="2214" spans="1:10">
      <c r="A2214" s="84"/>
      <c r="B2214" s="93" t="s">
        <v>231</v>
      </c>
      <c r="C2214" s="94"/>
      <c r="D2214" s="95"/>
      <c r="E2214" s="95"/>
      <c r="F2214" s="95"/>
      <c r="G2214" s="96"/>
      <c r="H2214" s="96"/>
      <c r="I2214" s="96"/>
      <c r="J2214" s="271"/>
    </row>
    <row r="2215" spans="1:10">
      <c r="A2215" s="84"/>
      <c r="B2215" s="89"/>
      <c r="C2215" s="97"/>
      <c r="D2215" s="91"/>
      <c r="E2215" s="91"/>
      <c r="F2215" s="91"/>
      <c r="G2215" s="91" t="s">
        <v>275</v>
      </c>
      <c r="H2215" s="91"/>
      <c r="I2215" s="91"/>
      <c r="J2215" s="99">
        <f>+SUBTOTAL(9,J2208:J2214)</f>
        <v>0</v>
      </c>
    </row>
    <row r="2216" spans="1:10">
      <c r="A2216" s="84"/>
      <c r="B2216" s="89" t="s">
        <v>228</v>
      </c>
      <c r="C2216" s="90" t="s">
        <v>276</v>
      </c>
      <c r="D2216" s="91"/>
      <c r="E2216" s="91"/>
      <c r="F2216" s="91"/>
      <c r="G2216" s="92" t="s">
        <v>230</v>
      </c>
      <c r="H2216" s="92" t="s">
        <v>262</v>
      </c>
      <c r="I2216" s="92" t="s">
        <v>263</v>
      </c>
      <c r="J2216" s="99" t="s">
        <v>264</v>
      </c>
    </row>
    <row r="2217" spans="1:10">
      <c r="A2217" s="84"/>
      <c r="B2217" s="89" t="s">
        <v>231</v>
      </c>
      <c r="C2217" s="90"/>
      <c r="D2217" s="91"/>
      <c r="E2217" s="91"/>
      <c r="F2217" s="91"/>
      <c r="G2217" s="92"/>
      <c r="H2217" s="92"/>
      <c r="I2217" s="92"/>
      <c r="J2217" s="99"/>
    </row>
    <row r="2218" spans="1:10">
      <c r="A2218" s="84"/>
      <c r="B2218" s="93" t="s">
        <v>231</v>
      </c>
      <c r="C2218" s="94"/>
      <c r="D2218" s="95"/>
      <c r="E2218" s="95"/>
      <c r="F2218" s="95"/>
      <c r="G2218" s="96"/>
      <c r="H2218" s="96"/>
      <c r="I2218" s="96"/>
      <c r="J2218" s="271"/>
    </row>
    <row r="2219" spans="1:10">
      <c r="A2219" s="84"/>
      <c r="B2219" s="93" t="s">
        <v>231</v>
      </c>
      <c r="C2219" s="94"/>
      <c r="D2219" s="95"/>
      <c r="E2219" s="95"/>
      <c r="F2219" s="95"/>
      <c r="G2219" s="96"/>
      <c r="H2219" s="96"/>
      <c r="I2219" s="96"/>
      <c r="J2219" s="271"/>
    </row>
    <row r="2220" spans="1:10">
      <c r="A2220" s="84"/>
      <c r="B2220" s="93" t="s">
        <v>231</v>
      </c>
      <c r="C2220" s="94"/>
      <c r="D2220" s="95"/>
      <c r="E2220" s="95"/>
      <c r="F2220" s="95"/>
      <c r="G2220" s="96"/>
      <c r="H2220" s="96"/>
      <c r="I2220" s="96"/>
      <c r="J2220" s="271"/>
    </row>
    <row r="2221" spans="1:10">
      <c r="A2221" s="84"/>
      <c r="B2221" s="93" t="s">
        <v>231</v>
      </c>
      <c r="C2221" s="94"/>
      <c r="D2221" s="95"/>
      <c r="E2221" s="95"/>
      <c r="F2221" s="95"/>
      <c r="G2221" s="96"/>
      <c r="H2221" s="96"/>
      <c r="I2221" s="96"/>
      <c r="J2221" s="271"/>
    </row>
    <row r="2222" spans="1:10">
      <c r="A2222" s="84"/>
      <c r="B2222" s="89"/>
      <c r="C2222" s="97"/>
      <c r="D2222" s="91"/>
      <c r="E2222" s="91"/>
      <c r="F2222" s="91"/>
      <c r="G2222" s="91" t="s">
        <v>279</v>
      </c>
      <c r="H2222" s="91"/>
      <c r="I2222" s="91"/>
      <c r="J2222" s="99">
        <f>+SUBTOTAL(9,J2217:J2221)</f>
        <v>0</v>
      </c>
    </row>
    <row r="2223" spans="1:10">
      <c r="A2223" s="84"/>
      <c r="B2223" s="89" t="s">
        <v>228</v>
      </c>
      <c r="C2223" s="90" t="s">
        <v>280</v>
      </c>
      <c r="D2223" s="92" t="s">
        <v>281</v>
      </c>
      <c r="E2223" s="92" t="s">
        <v>282</v>
      </c>
      <c r="F2223" s="92" t="s">
        <v>283</v>
      </c>
      <c r="G2223" s="92" t="s">
        <v>284</v>
      </c>
      <c r="H2223" s="92" t="s">
        <v>285</v>
      </c>
      <c r="I2223" s="92" t="s">
        <v>263</v>
      </c>
      <c r="J2223" s="99" t="s">
        <v>286</v>
      </c>
    </row>
    <row r="2224" spans="1:10">
      <c r="A2224" s="84"/>
      <c r="B2224" s="89" t="s">
        <v>231</v>
      </c>
      <c r="C2224" s="90"/>
      <c r="D2224" s="92"/>
      <c r="E2224" s="92"/>
      <c r="F2224" s="92"/>
      <c r="G2224" s="92"/>
      <c r="H2224" s="92"/>
      <c r="I2224" s="92"/>
      <c r="J2224" s="99"/>
    </row>
    <row r="2225" spans="1:10">
      <c r="A2225" s="84"/>
      <c r="B2225" s="93" t="s">
        <v>231</v>
      </c>
      <c r="C2225" s="94"/>
      <c r="D2225" s="96"/>
      <c r="E2225" s="96"/>
      <c r="F2225" s="96"/>
      <c r="G2225" s="96"/>
      <c r="H2225" s="96"/>
      <c r="I2225" s="96"/>
      <c r="J2225" s="271"/>
    </row>
    <row r="2226" spans="1:10">
      <c r="A2226" s="84"/>
      <c r="B2226" s="93" t="s">
        <v>231</v>
      </c>
      <c r="C2226" s="94"/>
      <c r="D2226" s="96"/>
      <c r="E2226" s="96"/>
      <c r="F2226" s="96"/>
      <c r="G2226" s="96"/>
      <c r="H2226" s="96"/>
      <c r="I2226" s="96"/>
      <c r="J2226" s="271"/>
    </row>
    <row r="2227" spans="1:10">
      <c r="A2227" s="84"/>
      <c r="B2227" s="93" t="s">
        <v>231</v>
      </c>
      <c r="C2227" s="94"/>
      <c r="D2227" s="96"/>
      <c r="E2227" s="96"/>
      <c r="F2227" s="96"/>
      <c r="G2227" s="96"/>
      <c r="H2227" s="96"/>
      <c r="I2227" s="96"/>
      <c r="J2227" s="271"/>
    </row>
    <row r="2228" spans="1:10">
      <c r="A2228" s="84"/>
      <c r="B2228" s="93" t="s">
        <v>231</v>
      </c>
      <c r="C2228" s="94"/>
      <c r="D2228" s="96"/>
      <c r="E2228" s="96"/>
      <c r="F2228" s="96"/>
      <c r="G2228" s="96"/>
      <c r="H2228" s="96"/>
      <c r="I2228" s="96"/>
      <c r="J2228" s="271"/>
    </row>
    <row r="2229" spans="1:10">
      <c r="A2229" s="84"/>
      <c r="B2229" s="93" t="s">
        <v>231</v>
      </c>
      <c r="C2229" s="94"/>
      <c r="D2229" s="96"/>
      <c r="E2229" s="96"/>
      <c r="F2229" s="96"/>
      <c r="G2229" s="96"/>
      <c r="H2229" s="96"/>
      <c r="I2229" s="96"/>
      <c r="J2229" s="271"/>
    </row>
    <row r="2230" spans="1:10">
      <c r="A2230" s="84"/>
      <c r="B2230" s="93" t="s">
        <v>231</v>
      </c>
      <c r="C2230" s="94"/>
      <c r="D2230" s="96"/>
      <c r="E2230" s="96"/>
      <c r="F2230" s="96"/>
      <c r="G2230" s="96"/>
      <c r="H2230" s="96"/>
      <c r="I2230" s="96"/>
      <c r="J2230" s="271"/>
    </row>
    <row r="2231" spans="1:10">
      <c r="A2231" s="84"/>
      <c r="B2231" s="89"/>
      <c r="C2231" s="97"/>
      <c r="D2231" s="91"/>
      <c r="E2231" s="91"/>
      <c r="F2231" s="91"/>
      <c r="G2231" s="91" t="s">
        <v>290</v>
      </c>
      <c r="H2231" s="91"/>
      <c r="I2231" s="91"/>
      <c r="J2231" s="99">
        <f>+SUBTOTAL(9,J2224:J2230)</f>
        <v>0</v>
      </c>
    </row>
    <row r="2232" spans="1:10">
      <c r="A2232" s="84"/>
      <c r="B2232" s="89" t="s">
        <v>291</v>
      </c>
      <c r="C2232" s="97"/>
      <c r="D2232" s="91"/>
      <c r="E2232" s="91"/>
      <c r="F2232" s="91"/>
      <c r="G2232" s="91"/>
      <c r="H2232" s="91"/>
      <c r="I2232" s="91"/>
      <c r="J2232" s="99">
        <f>+SUBTOTAL(9,J2206:J2230)</f>
        <v>0.7</v>
      </c>
    </row>
    <row r="2233" spans="1:10">
      <c r="A2233" s="84"/>
      <c r="B2233" s="89" t="s">
        <v>292</v>
      </c>
      <c r="C2233" s="97"/>
      <c r="D2233" s="91">
        <v>0</v>
      </c>
      <c r="E2233" s="91"/>
      <c r="F2233" s="91"/>
      <c r="G2233" s="91"/>
      <c r="H2233" s="91"/>
      <c r="I2233" s="91"/>
      <c r="J2233" s="99">
        <f>+ROUND(J2232*D2233/100,2)</f>
        <v>0</v>
      </c>
    </row>
    <row r="2234" spans="1:10" ht="14.4" thickBot="1">
      <c r="A2234" s="84"/>
      <c r="B2234" s="89" t="s">
        <v>293</v>
      </c>
      <c r="C2234" s="97"/>
      <c r="D2234" s="91"/>
      <c r="E2234" s="91"/>
      <c r="F2234" s="91"/>
      <c r="G2234" s="91"/>
      <c r="H2234" s="91"/>
      <c r="I2234" s="91"/>
      <c r="J2234" s="99">
        <f>+J2232+ J2233</f>
        <v>0.7</v>
      </c>
    </row>
    <row r="2235" spans="1:10">
      <c r="A2235" s="84"/>
      <c r="B2235" s="85" t="s">
        <v>294</v>
      </c>
      <c r="C2235" s="86"/>
      <c r="D2235" s="88"/>
      <c r="E2235" s="88"/>
      <c r="F2235" s="88" t="s">
        <v>295</v>
      </c>
      <c r="G2235" s="88"/>
      <c r="H2235" s="88"/>
      <c r="I2235" s="88" t="s">
        <v>296</v>
      </c>
      <c r="J2235" s="270"/>
    </row>
    <row r="2236" spans="1:10">
      <c r="A2236" s="84"/>
      <c r="B2236" s="93" t="s">
        <v>297</v>
      </c>
      <c r="C2236" s="84"/>
      <c r="D2236" s="95"/>
      <c r="E2236" s="95"/>
      <c r="F2236" s="95" t="s">
        <v>298</v>
      </c>
      <c r="G2236" s="95"/>
      <c r="H2236" s="95"/>
      <c r="I2236" s="95"/>
      <c r="J2236" s="276"/>
    </row>
    <row r="2237" spans="1:10">
      <c r="A2237" s="84"/>
      <c r="B2237" s="93" t="s">
        <v>299</v>
      </c>
      <c r="C2237" s="84"/>
      <c r="D2237" s="95"/>
      <c r="E2237" s="95"/>
      <c r="F2237" s="95" t="s">
        <v>300</v>
      </c>
      <c r="G2237" s="95"/>
      <c r="H2237" s="95"/>
      <c r="I2237" s="95"/>
      <c r="J2237" s="276"/>
    </row>
    <row r="2238" spans="1:10" ht="14.4" thickBot="1">
      <c r="A2238" s="84"/>
      <c r="B2238" s="100" t="s">
        <v>301</v>
      </c>
      <c r="C2238" s="84"/>
      <c r="D2238" s="95"/>
      <c r="E2238" s="95"/>
      <c r="F2238" s="95"/>
      <c r="G2238" s="95"/>
      <c r="H2238" s="95"/>
      <c r="I2238" s="95"/>
      <c r="J2238" s="277"/>
    </row>
    <row r="2239" spans="1:10">
      <c r="A2239" s="84"/>
      <c r="B2239" s="86"/>
      <c r="C2239" s="86"/>
      <c r="D2239" s="88"/>
      <c r="E2239" s="88"/>
      <c r="F2239" s="88"/>
      <c r="G2239" s="88"/>
      <c r="H2239" s="88"/>
      <c r="I2239" s="88"/>
      <c r="J2239" s="88"/>
    </row>
    <row r="2240" spans="1:10" ht="14.4" thickBot="1">
      <c r="A2240" s="84"/>
      <c r="B2240" s="84"/>
      <c r="C2240" s="84"/>
      <c r="D2240" s="95"/>
      <c r="E2240" s="95"/>
      <c r="F2240" s="95"/>
      <c r="G2240" s="95"/>
      <c r="H2240" s="95"/>
      <c r="I2240" s="95"/>
      <c r="J2240" s="95"/>
    </row>
    <row r="2241" spans="1:10">
      <c r="A2241" s="84"/>
      <c r="B2241" s="85"/>
      <c r="C2241" s="86"/>
      <c r="D2241" s="87" t="s">
        <v>227</v>
      </c>
      <c r="E2241" s="87"/>
      <c r="F2241" s="87"/>
      <c r="G2241" s="88"/>
      <c r="H2241" s="88"/>
      <c r="I2241" s="88"/>
      <c r="J2241" s="270"/>
    </row>
    <row r="2242" spans="1:10">
      <c r="A2242" s="84"/>
      <c r="B2242" s="89" t="s">
        <v>228</v>
      </c>
      <c r="C2242" s="90" t="s">
        <v>92</v>
      </c>
      <c r="D2242" s="91"/>
      <c r="E2242" s="91"/>
      <c r="F2242" s="91"/>
      <c r="G2242" s="91"/>
      <c r="H2242" s="92" t="s">
        <v>229</v>
      </c>
      <c r="I2242" s="91"/>
      <c r="J2242" s="99" t="s">
        <v>230</v>
      </c>
    </row>
    <row r="2243" spans="1:10">
      <c r="A2243" s="84"/>
      <c r="B2243" s="93" t="s">
        <v>231</v>
      </c>
      <c r="C2243" s="94" t="s">
        <v>692</v>
      </c>
      <c r="D2243" s="95"/>
      <c r="E2243" s="95"/>
      <c r="F2243" s="95"/>
      <c r="G2243" s="95"/>
      <c r="H2243" s="96" t="s">
        <v>233</v>
      </c>
      <c r="I2243" s="95"/>
      <c r="J2243" s="271" t="s">
        <v>386</v>
      </c>
    </row>
    <row r="2244" spans="1:10">
      <c r="A2244" s="84"/>
      <c r="B2244" s="89"/>
      <c r="C2244" s="90"/>
      <c r="D2244" s="91"/>
      <c r="E2244" s="92"/>
      <c r="F2244" s="92" t="s">
        <v>235</v>
      </c>
      <c r="G2244" s="92"/>
      <c r="H2244" s="92" t="s">
        <v>236</v>
      </c>
      <c r="I2244" s="92"/>
      <c r="J2244" s="99" t="s">
        <v>237</v>
      </c>
    </row>
    <row r="2245" spans="1:10">
      <c r="A2245" s="84"/>
      <c r="B2245" s="93" t="s">
        <v>228</v>
      </c>
      <c r="C2245" s="94" t="s">
        <v>238</v>
      </c>
      <c r="D2245" s="95"/>
      <c r="E2245" s="96" t="s">
        <v>239</v>
      </c>
      <c r="F2245" s="92" t="s">
        <v>240</v>
      </c>
      <c r="G2245" s="92" t="s">
        <v>241</v>
      </c>
      <c r="H2245" s="92" t="s">
        <v>240</v>
      </c>
      <c r="I2245" s="272" t="s">
        <v>241</v>
      </c>
      <c r="J2245" s="271" t="s">
        <v>242</v>
      </c>
    </row>
    <row r="2246" spans="1:10">
      <c r="A2246" s="84"/>
      <c r="B2246" s="89" t="s">
        <v>231</v>
      </c>
      <c r="C2246" s="90"/>
      <c r="D2246" s="91"/>
      <c r="E2246" s="92"/>
      <c r="F2246" s="92"/>
      <c r="G2246" s="92"/>
      <c r="H2246" s="92"/>
      <c r="I2246" s="92"/>
      <c r="J2246" s="99"/>
    </row>
    <row r="2247" spans="1:10">
      <c r="A2247" s="84"/>
      <c r="B2247" s="93" t="s">
        <v>231</v>
      </c>
      <c r="C2247" s="94"/>
      <c r="D2247" s="95"/>
      <c r="E2247" s="96"/>
      <c r="F2247" s="96"/>
      <c r="G2247" s="96"/>
      <c r="H2247" s="96"/>
      <c r="I2247" s="96"/>
      <c r="J2247" s="271"/>
    </row>
    <row r="2248" spans="1:10">
      <c r="A2248" s="84"/>
      <c r="B2248" s="93" t="s">
        <v>231</v>
      </c>
      <c r="C2248" s="94"/>
      <c r="D2248" s="95"/>
      <c r="E2248" s="96"/>
      <c r="F2248" s="96"/>
      <c r="G2248" s="96"/>
      <c r="H2248" s="96"/>
      <c r="I2248" s="96"/>
      <c r="J2248" s="271"/>
    </row>
    <row r="2249" spans="1:10">
      <c r="A2249" s="84"/>
      <c r="B2249" s="93" t="s">
        <v>231</v>
      </c>
      <c r="C2249" s="94"/>
      <c r="D2249" s="95"/>
      <c r="E2249" s="96"/>
      <c r="F2249" s="96"/>
      <c r="G2249" s="96"/>
      <c r="H2249" s="96"/>
      <c r="I2249" s="96"/>
      <c r="J2249" s="271"/>
    </row>
    <row r="2250" spans="1:10">
      <c r="A2250" s="84"/>
      <c r="B2250" s="93" t="s">
        <v>231</v>
      </c>
      <c r="C2250" s="94"/>
      <c r="D2250" s="95"/>
      <c r="E2250" s="96"/>
      <c r="F2250" s="96"/>
      <c r="G2250" s="96"/>
      <c r="H2250" s="96"/>
      <c r="I2250" s="96"/>
      <c r="J2250" s="271"/>
    </row>
    <row r="2251" spans="1:10">
      <c r="A2251" s="84"/>
      <c r="B2251" s="93" t="s">
        <v>231</v>
      </c>
      <c r="C2251" s="94"/>
      <c r="D2251" s="95"/>
      <c r="E2251" s="96"/>
      <c r="F2251" s="96"/>
      <c r="G2251" s="96"/>
      <c r="H2251" s="96"/>
      <c r="I2251" s="96"/>
      <c r="J2251" s="271"/>
    </row>
    <row r="2252" spans="1:10">
      <c r="A2252" s="84"/>
      <c r="B2252" s="93" t="s">
        <v>231</v>
      </c>
      <c r="C2252" s="94"/>
      <c r="D2252" s="95"/>
      <c r="E2252" s="96"/>
      <c r="F2252" s="96"/>
      <c r="G2252" s="96"/>
      <c r="H2252" s="96"/>
      <c r="I2252" s="96"/>
      <c r="J2252" s="271"/>
    </row>
    <row r="2253" spans="1:10">
      <c r="A2253" s="84"/>
      <c r="B2253" s="89"/>
      <c r="C2253" s="97"/>
      <c r="D2253" s="91"/>
      <c r="E2253" s="91"/>
      <c r="F2253" s="91"/>
      <c r="G2253" s="91" t="s">
        <v>249</v>
      </c>
      <c r="H2253" s="91"/>
      <c r="I2253" s="91"/>
      <c r="J2253" s="99">
        <f>+SUBTOTAL(9,J2246:J2252)</f>
        <v>0</v>
      </c>
    </row>
    <row r="2254" spans="1:10">
      <c r="A2254" s="84"/>
      <c r="B2254" s="89" t="s">
        <v>228</v>
      </c>
      <c r="C2254" s="90" t="s">
        <v>250</v>
      </c>
      <c r="D2254" s="91"/>
      <c r="E2254" s="91"/>
      <c r="F2254" s="91"/>
      <c r="G2254" s="91"/>
      <c r="H2254" s="92" t="s">
        <v>239</v>
      </c>
      <c r="I2254" s="92" t="s">
        <v>251</v>
      </c>
      <c r="J2254" s="99" t="s">
        <v>252</v>
      </c>
    </row>
    <row r="2255" spans="1:10">
      <c r="A2255" s="84"/>
      <c r="B2255" s="89" t="s">
        <v>253</v>
      </c>
      <c r="C2255" s="90" t="s">
        <v>254</v>
      </c>
      <c r="D2255" s="91"/>
      <c r="E2255" s="91"/>
      <c r="F2255" s="91"/>
      <c r="G2255" s="91"/>
      <c r="H2255" s="92">
        <v>10</v>
      </c>
      <c r="I2255" s="92">
        <v>21.04</v>
      </c>
      <c r="J2255" s="99">
        <f>+ROUND(H2255*I2255,2)</f>
        <v>210.4</v>
      </c>
    </row>
    <row r="2256" spans="1:10">
      <c r="A2256" s="84"/>
      <c r="B2256" s="93" t="s">
        <v>231</v>
      </c>
      <c r="C2256" s="94"/>
      <c r="D2256" s="95"/>
      <c r="E2256" s="95"/>
      <c r="F2256" s="95"/>
      <c r="G2256" s="95"/>
      <c r="H2256" s="96"/>
      <c r="I2256" s="96"/>
      <c r="J2256" s="271"/>
    </row>
    <row r="2257" spans="1:10">
      <c r="A2257" s="84"/>
      <c r="B2257" s="93" t="s">
        <v>231</v>
      </c>
      <c r="C2257" s="94"/>
      <c r="D2257" s="95"/>
      <c r="E2257" s="95"/>
      <c r="F2257" s="95"/>
      <c r="G2257" s="95"/>
      <c r="H2257" s="96"/>
      <c r="I2257" s="96"/>
      <c r="J2257" s="271"/>
    </row>
    <row r="2258" spans="1:10">
      <c r="A2258" s="84"/>
      <c r="B2258" s="93" t="s">
        <v>231</v>
      </c>
      <c r="C2258" s="94"/>
      <c r="D2258" s="95"/>
      <c r="E2258" s="95"/>
      <c r="F2258" s="95"/>
      <c r="G2258" s="95"/>
      <c r="H2258" s="96"/>
      <c r="I2258" s="96"/>
      <c r="J2258" s="271"/>
    </row>
    <row r="2259" spans="1:10">
      <c r="A2259" s="84"/>
      <c r="B2259" s="93" t="s">
        <v>231</v>
      </c>
      <c r="C2259" s="94"/>
      <c r="D2259" s="95"/>
      <c r="E2259" s="95"/>
      <c r="F2259" s="95"/>
      <c r="G2259" s="95"/>
      <c r="H2259" s="96"/>
      <c r="I2259" s="96"/>
      <c r="J2259" s="271"/>
    </row>
    <row r="2260" spans="1:10">
      <c r="A2260" s="84"/>
      <c r="B2260" s="93" t="s">
        <v>231</v>
      </c>
      <c r="C2260" s="94"/>
      <c r="D2260" s="95"/>
      <c r="E2260" s="95"/>
      <c r="F2260" s="95"/>
      <c r="G2260" s="95"/>
      <c r="H2260" s="96"/>
      <c r="I2260" s="96"/>
      <c r="J2260" s="271"/>
    </row>
    <row r="2261" spans="1:10">
      <c r="A2261" s="84"/>
      <c r="B2261" s="93" t="s">
        <v>231</v>
      </c>
      <c r="C2261" s="94"/>
      <c r="D2261" s="95"/>
      <c r="E2261" s="95"/>
      <c r="F2261" s="95"/>
      <c r="G2261" s="95"/>
      <c r="H2261" s="96"/>
      <c r="I2261" s="96"/>
      <c r="J2261" s="271"/>
    </row>
    <row r="2262" spans="1:10">
      <c r="A2262" s="84"/>
      <c r="B2262" s="89"/>
      <c r="C2262" s="97"/>
      <c r="D2262" s="91"/>
      <c r="E2262" s="91"/>
      <c r="F2262" s="91"/>
      <c r="G2262" s="91" t="s">
        <v>255</v>
      </c>
      <c r="H2262" s="91"/>
      <c r="I2262" s="91"/>
      <c r="J2262" s="99">
        <f>+SUBTOTAL(9,J2255:J2261)</f>
        <v>210.4</v>
      </c>
    </row>
    <row r="2263" spans="1:10">
      <c r="A2263" s="84"/>
      <c r="B2263" s="89"/>
      <c r="C2263" s="97"/>
      <c r="D2263" s="91"/>
      <c r="E2263" s="91"/>
      <c r="F2263" s="91" t="s">
        <v>256</v>
      </c>
      <c r="G2263" s="91"/>
      <c r="H2263" s="91"/>
      <c r="I2263" s="91">
        <v>0</v>
      </c>
      <c r="J2263" s="99">
        <f>+ROUND(I2263*J2262,2)</f>
        <v>0</v>
      </c>
    </row>
    <row r="2264" spans="1:10">
      <c r="A2264" s="84"/>
      <c r="B2264" s="89"/>
      <c r="C2264" s="97"/>
      <c r="D2264" s="91"/>
      <c r="E2264" s="91"/>
      <c r="F2264" s="91" t="s">
        <v>257</v>
      </c>
      <c r="G2264" s="91"/>
      <c r="H2264" s="91"/>
      <c r="I2264" s="91"/>
      <c r="J2264" s="99">
        <f>+SUBTOTAL(9,J2255:J2263)</f>
        <v>210.4</v>
      </c>
    </row>
    <row r="2265" spans="1:10">
      <c r="A2265" s="84"/>
      <c r="B2265" s="98"/>
      <c r="C2265" s="97"/>
      <c r="D2265" s="91"/>
      <c r="E2265" s="91"/>
      <c r="F2265" s="91"/>
      <c r="G2265" s="91" t="s">
        <v>258</v>
      </c>
      <c r="H2265" s="91"/>
      <c r="I2265" s="91"/>
      <c r="J2265" s="275">
        <f>+SUBTOTAL(9,J2246:J2264)</f>
        <v>210.4</v>
      </c>
    </row>
    <row r="2266" spans="1:10">
      <c r="A2266" s="84"/>
      <c r="B2266" s="98"/>
      <c r="C2266" s="97" t="s">
        <v>259</v>
      </c>
      <c r="D2266" s="91">
        <v>50</v>
      </c>
      <c r="E2266" s="91"/>
      <c r="F2266" s="91"/>
      <c r="G2266" s="91" t="s">
        <v>260</v>
      </c>
      <c r="H2266" s="91"/>
      <c r="I2266" s="91"/>
      <c r="J2266" s="275">
        <f>+ROUND(J2265/D2266,2)</f>
        <v>4.21</v>
      </c>
    </row>
    <row r="2267" spans="1:10">
      <c r="A2267" s="84"/>
      <c r="B2267" s="89" t="s">
        <v>228</v>
      </c>
      <c r="C2267" s="90" t="s">
        <v>261</v>
      </c>
      <c r="D2267" s="91"/>
      <c r="E2267" s="91"/>
      <c r="F2267" s="91"/>
      <c r="G2267" s="92" t="s">
        <v>230</v>
      </c>
      <c r="H2267" s="92" t="s">
        <v>262</v>
      </c>
      <c r="I2267" s="92" t="s">
        <v>263</v>
      </c>
      <c r="J2267" s="99" t="s">
        <v>264</v>
      </c>
    </row>
    <row r="2268" spans="1:10">
      <c r="A2268" s="84"/>
      <c r="B2268" s="89" t="s">
        <v>231</v>
      </c>
      <c r="C2268" s="90"/>
      <c r="D2268" s="91"/>
      <c r="E2268" s="91"/>
      <c r="F2268" s="91"/>
      <c r="G2268" s="92"/>
      <c r="H2268" s="92"/>
      <c r="I2268" s="92"/>
      <c r="J2268" s="99"/>
    </row>
    <row r="2269" spans="1:10">
      <c r="A2269" s="84"/>
      <c r="B2269" s="93" t="s">
        <v>231</v>
      </c>
      <c r="C2269" s="94"/>
      <c r="D2269" s="95"/>
      <c r="E2269" s="95"/>
      <c r="F2269" s="95"/>
      <c r="G2269" s="96"/>
      <c r="H2269" s="96"/>
      <c r="I2269" s="96"/>
      <c r="J2269" s="271"/>
    </row>
    <row r="2270" spans="1:10">
      <c r="A2270" s="84"/>
      <c r="B2270" s="93" t="s">
        <v>231</v>
      </c>
      <c r="C2270" s="94"/>
      <c r="D2270" s="95"/>
      <c r="E2270" s="95"/>
      <c r="F2270" s="95"/>
      <c r="G2270" s="96"/>
      <c r="H2270" s="96"/>
      <c r="I2270" s="96"/>
      <c r="J2270" s="271"/>
    </row>
    <row r="2271" spans="1:10">
      <c r="A2271" s="84"/>
      <c r="B2271" s="93" t="s">
        <v>231</v>
      </c>
      <c r="C2271" s="94"/>
      <c r="D2271" s="95"/>
      <c r="E2271" s="95"/>
      <c r="F2271" s="95"/>
      <c r="G2271" s="96"/>
      <c r="H2271" s="96"/>
      <c r="I2271" s="96"/>
      <c r="J2271" s="271"/>
    </row>
    <row r="2272" spans="1:10">
      <c r="A2272" s="84"/>
      <c r="B2272" s="93" t="s">
        <v>231</v>
      </c>
      <c r="C2272" s="94"/>
      <c r="D2272" s="95"/>
      <c r="E2272" s="95"/>
      <c r="F2272" s="95"/>
      <c r="G2272" s="96"/>
      <c r="H2272" s="96"/>
      <c r="I2272" s="96"/>
      <c r="J2272" s="271"/>
    </row>
    <row r="2273" spans="1:10">
      <c r="A2273" s="84"/>
      <c r="B2273" s="93" t="s">
        <v>231</v>
      </c>
      <c r="C2273" s="94"/>
      <c r="D2273" s="95"/>
      <c r="E2273" s="95"/>
      <c r="F2273" s="95"/>
      <c r="G2273" s="96"/>
      <c r="H2273" s="96"/>
      <c r="I2273" s="96"/>
      <c r="J2273" s="271"/>
    </row>
    <row r="2274" spans="1:10">
      <c r="A2274" s="84"/>
      <c r="B2274" s="93" t="s">
        <v>231</v>
      </c>
      <c r="C2274" s="94"/>
      <c r="D2274" s="95"/>
      <c r="E2274" s="95"/>
      <c r="F2274" s="95"/>
      <c r="G2274" s="96"/>
      <c r="H2274" s="96"/>
      <c r="I2274" s="96"/>
      <c r="J2274" s="271"/>
    </row>
    <row r="2275" spans="1:10">
      <c r="A2275" s="84"/>
      <c r="B2275" s="89"/>
      <c r="C2275" s="97"/>
      <c r="D2275" s="91"/>
      <c r="E2275" s="91"/>
      <c r="F2275" s="91"/>
      <c r="G2275" s="91" t="s">
        <v>275</v>
      </c>
      <c r="H2275" s="91"/>
      <c r="I2275" s="91"/>
      <c r="J2275" s="99">
        <f>+SUBTOTAL(9,J2268:J2274)</f>
        <v>0</v>
      </c>
    </row>
    <row r="2276" spans="1:10">
      <c r="A2276" s="84"/>
      <c r="B2276" s="89" t="s">
        <v>228</v>
      </c>
      <c r="C2276" s="90" t="s">
        <v>276</v>
      </c>
      <c r="D2276" s="91"/>
      <c r="E2276" s="91"/>
      <c r="F2276" s="91"/>
      <c r="G2276" s="92" t="s">
        <v>230</v>
      </c>
      <c r="H2276" s="92" t="s">
        <v>262</v>
      </c>
      <c r="I2276" s="92" t="s">
        <v>263</v>
      </c>
      <c r="J2276" s="99" t="s">
        <v>264</v>
      </c>
    </row>
    <row r="2277" spans="1:10">
      <c r="A2277" s="84"/>
      <c r="B2277" s="89" t="s">
        <v>231</v>
      </c>
      <c r="C2277" s="90"/>
      <c r="D2277" s="91"/>
      <c r="E2277" s="91"/>
      <c r="F2277" s="91"/>
      <c r="G2277" s="92"/>
      <c r="H2277" s="92"/>
      <c r="I2277" s="92"/>
      <c r="J2277" s="99"/>
    </row>
    <row r="2278" spans="1:10">
      <c r="A2278" s="84"/>
      <c r="B2278" s="93" t="s">
        <v>231</v>
      </c>
      <c r="C2278" s="94"/>
      <c r="D2278" s="95"/>
      <c r="E2278" s="95"/>
      <c r="F2278" s="95"/>
      <c r="G2278" s="96"/>
      <c r="H2278" s="96"/>
      <c r="I2278" s="96"/>
      <c r="J2278" s="271"/>
    </row>
    <row r="2279" spans="1:10">
      <c r="A2279" s="84"/>
      <c r="B2279" s="93" t="s">
        <v>231</v>
      </c>
      <c r="C2279" s="94"/>
      <c r="D2279" s="95"/>
      <c r="E2279" s="95"/>
      <c r="F2279" s="95"/>
      <c r="G2279" s="96"/>
      <c r="H2279" s="96"/>
      <c r="I2279" s="96"/>
      <c r="J2279" s="271"/>
    </row>
    <row r="2280" spans="1:10">
      <c r="A2280" s="84"/>
      <c r="B2280" s="93" t="s">
        <v>231</v>
      </c>
      <c r="C2280" s="94"/>
      <c r="D2280" s="95"/>
      <c r="E2280" s="95"/>
      <c r="F2280" s="95"/>
      <c r="G2280" s="96"/>
      <c r="H2280" s="96"/>
      <c r="I2280" s="96"/>
      <c r="J2280" s="271"/>
    </row>
    <row r="2281" spans="1:10">
      <c r="A2281" s="84"/>
      <c r="B2281" s="93" t="s">
        <v>231</v>
      </c>
      <c r="C2281" s="94"/>
      <c r="D2281" s="95"/>
      <c r="E2281" s="95"/>
      <c r="F2281" s="95"/>
      <c r="G2281" s="96"/>
      <c r="H2281" s="96"/>
      <c r="I2281" s="96"/>
      <c r="J2281" s="271"/>
    </row>
    <row r="2282" spans="1:10">
      <c r="A2282" s="84"/>
      <c r="B2282" s="89"/>
      <c r="C2282" s="97"/>
      <c r="D2282" s="91"/>
      <c r="E2282" s="91"/>
      <c r="F2282" s="91"/>
      <c r="G2282" s="91" t="s">
        <v>279</v>
      </c>
      <c r="H2282" s="91"/>
      <c r="I2282" s="91"/>
      <c r="J2282" s="99">
        <f>+SUBTOTAL(9,J2277:J2281)</f>
        <v>0</v>
      </c>
    </row>
    <row r="2283" spans="1:10">
      <c r="A2283" s="84"/>
      <c r="B2283" s="89" t="s">
        <v>228</v>
      </c>
      <c r="C2283" s="90" t="s">
        <v>280</v>
      </c>
      <c r="D2283" s="92" t="s">
        <v>281</v>
      </c>
      <c r="E2283" s="92" t="s">
        <v>282</v>
      </c>
      <c r="F2283" s="92" t="s">
        <v>283</v>
      </c>
      <c r="G2283" s="92" t="s">
        <v>284</v>
      </c>
      <c r="H2283" s="92" t="s">
        <v>285</v>
      </c>
      <c r="I2283" s="92" t="s">
        <v>263</v>
      </c>
      <c r="J2283" s="99" t="s">
        <v>286</v>
      </c>
    </row>
    <row r="2284" spans="1:10">
      <c r="A2284" s="84"/>
      <c r="B2284" s="89" t="s">
        <v>231</v>
      </c>
      <c r="C2284" s="90"/>
      <c r="D2284" s="92"/>
      <c r="E2284" s="92"/>
      <c r="F2284" s="92"/>
      <c r="G2284" s="92"/>
      <c r="H2284" s="92"/>
      <c r="I2284" s="92"/>
      <c r="J2284" s="99"/>
    </row>
    <row r="2285" spans="1:10">
      <c r="A2285" s="84"/>
      <c r="B2285" s="93" t="s">
        <v>231</v>
      </c>
      <c r="C2285" s="94"/>
      <c r="D2285" s="96"/>
      <c r="E2285" s="96"/>
      <c r="F2285" s="96"/>
      <c r="G2285" s="96"/>
      <c r="H2285" s="96"/>
      <c r="I2285" s="96"/>
      <c r="J2285" s="271"/>
    </row>
    <row r="2286" spans="1:10">
      <c r="A2286" s="84"/>
      <c r="B2286" s="93" t="s">
        <v>231</v>
      </c>
      <c r="C2286" s="94"/>
      <c r="D2286" s="96"/>
      <c r="E2286" s="96"/>
      <c r="F2286" s="96"/>
      <c r="G2286" s="96"/>
      <c r="H2286" s="96"/>
      <c r="I2286" s="96"/>
      <c r="J2286" s="271"/>
    </row>
    <row r="2287" spans="1:10">
      <c r="A2287" s="84"/>
      <c r="B2287" s="93" t="s">
        <v>231</v>
      </c>
      <c r="C2287" s="94"/>
      <c r="D2287" s="96"/>
      <c r="E2287" s="96"/>
      <c r="F2287" s="96"/>
      <c r="G2287" s="96"/>
      <c r="H2287" s="96"/>
      <c r="I2287" s="96"/>
      <c r="J2287" s="271"/>
    </row>
    <row r="2288" spans="1:10">
      <c r="A2288" s="84"/>
      <c r="B2288" s="93" t="s">
        <v>231</v>
      </c>
      <c r="C2288" s="94"/>
      <c r="D2288" s="96"/>
      <c r="E2288" s="96"/>
      <c r="F2288" s="96"/>
      <c r="G2288" s="96"/>
      <c r="H2288" s="96"/>
      <c r="I2288" s="96"/>
      <c r="J2288" s="271"/>
    </row>
    <row r="2289" spans="1:10">
      <c r="A2289" s="84"/>
      <c r="B2289" s="93" t="s">
        <v>231</v>
      </c>
      <c r="C2289" s="94"/>
      <c r="D2289" s="96"/>
      <c r="E2289" s="96"/>
      <c r="F2289" s="96"/>
      <c r="G2289" s="96"/>
      <c r="H2289" s="96"/>
      <c r="I2289" s="96"/>
      <c r="J2289" s="271"/>
    </row>
    <row r="2290" spans="1:10">
      <c r="A2290" s="84"/>
      <c r="B2290" s="93" t="s">
        <v>231</v>
      </c>
      <c r="C2290" s="94"/>
      <c r="D2290" s="96"/>
      <c r="E2290" s="96"/>
      <c r="F2290" s="96"/>
      <c r="G2290" s="96"/>
      <c r="H2290" s="96"/>
      <c r="I2290" s="96"/>
      <c r="J2290" s="271"/>
    </row>
    <row r="2291" spans="1:10">
      <c r="A2291" s="84"/>
      <c r="B2291" s="89"/>
      <c r="C2291" s="97"/>
      <c r="D2291" s="91"/>
      <c r="E2291" s="91"/>
      <c r="F2291" s="91"/>
      <c r="G2291" s="91" t="s">
        <v>290</v>
      </c>
      <c r="H2291" s="91"/>
      <c r="I2291" s="91"/>
      <c r="J2291" s="99">
        <f>+SUBTOTAL(9,J2284:J2290)</f>
        <v>0</v>
      </c>
    </row>
    <row r="2292" spans="1:10">
      <c r="A2292" s="84"/>
      <c r="B2292" s="89" t="s">
        <v>291</v>
      </c>
      <c r="C2292" s="97"/>
      <c r="D2292" s="91"/>
      <c r="E2292" s="91"/>
      <c r="F2292" s="91"/>
      <c r="G2292" s="91"/>
      <c r="H2292" s="91"/>
      <c r="I2292" s="91"/>
      <c r="J2292" s="99">
        <f>+SUBTOTAL(9,J2266:J2290)</f>
        <v>4.21</v>
      </c>
    </row>
    <row r="2293" spans="1:10">
      <c r="A2293" s="84"/>
      <c r="B2293" s="89" t="s">
        <v>292</v>
      </c>
      <c r="C2293" s="97"/>
      <c r="D2293" s="91">
        <v>0</v>
      </c>
      <c r="E2293" s="91"/>
      <c r="F2293" s="91"/>
      <c r="G2293" s="91"/>
      <c r="H2293" s="91"/>
      <c r="I2293" s="91"/>
      <c r="J2293" s="99">
        <f>+ROUND(J2292*D2293/100,2)</f>
        <v>0</v>
      </c>
    </row>
    <row r="2294" spans="1:10" ht="14.4" thickBot="1">
      <c r="A2294" s="84"/>
      <c r="B2294" s="89" t="s">
        <v>293</v>
      </c>
      <c r="C2294" s="97"/>
      <c r="D2294" s="91"/>
      <c r="E2294" s="91"/>
      <c r="F2294" s="91"/>
      <c r="G2294" s="91"/>
      <c r="H2294" s="91"/>
      <c r="I2294" s="91"/>
      <c r="J2294" s="99">
        <f>+J2292+ J2293</f>
        <v>4.21</v>
      </c>
    </row>
    <row r="2295" spans="1:10">
      <c r="A2295" s="84"/>
      <c r="B2295" s="85" t="s">
        <v>294</v>
      </c>
      <c r="C2295" s="86"/>
      <c r="D2295" s="88"/>
      <c r="E2295" s="88"/>
      <c r="F2295" s="88" t="s">
        <v>295</v>
      </c>
      <c r="G2295" s="88"/>
      <c r="H2295" s="88"/>
      <c r="I2295" s="88" t="s">
        <v>296</v>
      </c>
      <c r="J2295" s="270"/>
    </row>
    <row r="2296" spans="1:10">
      <c r="A2296" s="84"/>
      <c r="B2296" s="93" t="s">
        <v>297</v>
      </c>
      <c r="C2296" s="84"/>
      <c r="D2296" s="95"/>
      <c r="E2296" s="95"/>
      <c r="F2296" s="95" t="s">
        <v>298</v>
      </c>
      <c r="G2296" s="95"/>
      <c r="H2296" s="95"/>
      <c r="I2296" s="95"/>
      <c r="J2296" s="276"/>
    </row>
    <row r="2297" spans="1:10">
      <c r="A2297" s="84"/>
      <c r="B2297" s="93" t="s">
        <v>299</v>
      </c>
      <c r="C2297" s="84"/>
      <c r="D2297" s="95"/>
      <c r="E2297" s="95"/>
      <c r="F2297" s="95" t="s">
        <v>300</v>
      </c>
      <c r="G2297" s="95"/>
      <c r="H2297" s="95"/>
      <c r="I2297" s="95"/>
      <c r="J2297" s="276"/>
    </row>
    <row r="2298" spans="1:10" ht="14.4" thickBot="1">
      <c r="A2298" s="84"/>
      <c r="B2298" s="100" t="s">
        <v>301</v>
      </c>
      <c r="C2298" s="84"/>
      <c r="D2298" s="95"/>
      <c r="E2298" s="95"/>
      <c r="F2298" s="95"/>
      <c r="G2298" s="95"/>
      <c r="H2298" s="95"/>
      <c r="I2298" s="95"/>
      <c r="J2298" s="277"/>
    </row>
    <row r="2299" spans="1:10">
      <c r="A2299" s="84"/>
      <c r="B2299" s="86"/>
      <c r="C2299" s="86"/>
      <c r="D2299" s="88"/>
      <c r="E2299" s="88"/>
      <c r="F2299" s="88"/>
      <c r="G2299" s="88"/>
      <c r="H2299" s="88"/>
      <c r="I2299" s="88"/>
      <c r="J2299" s="88"/>
    </row>
    <row r="2300" spans="1:10" ht="14.4" thickBot="1">
      <c r="A2300" s="84"/>
      <c r="B2300" s="84"/>
      <c r="C2300" s="84"/>
      <c r="D2300" s="95"/>
      <c r="E2300" s="95"/>
      <c r="F2300" s="95"/>
      <c r="G2300" s="95"/>
      <c r="H2300" s="95"/>
      <c r="I2300" s="95"/>
      <c r="J2300" s="95"/>
    </row>
    <row r="2301" spans="1:10">
      <c r="A2301" s="84"/>
      <c r="B2301" s="85"/>
      <c r="C2301" s="86"/>
      <c r="D2301" s="87" t="s">
        <v>227</v>
      </c>
      <c r="E2301" s="87"/>
      <c r="F2301" s="87"/>
      <c r="G2301" s="88"/>
      <c r="H2301" s="88"/>
      <c r="I2301" s="88"/>
      <c r="J2301" s="270"/>
    </row>
    <row r="2302" spans="1:10">
      <c r="A2302" s="84"/>
      <c r="B2302" s="89" t="s">
        <v>228</v>
      </c>
      <c r="C2302" s="90" t="s">
        <v>92</v>
      </c>
      <c r="D2302" s="91"/>
      <c r="E2302" s="91"/>
      <c r="F2302" s="91"/>
      <c r="G2302" s="91"/>
      <c r="H2302" s="92" t="s">
        <v>229</v>
      </c>
      <c r="I2302" s="91"/>
      <c r="J2302" s="99" t="s">
        <v>230</v>
      </c>
    </row>
    <row r="2303" spans="1:10">
      <c r="A2303" s="84"/>
      <c r="B2303" s="93" t="s">
        <v>231</v>
      </c>
      <c r="C2303" s="94" t="s">
        <v>693</v>
      </c>
      <c r="D2303" s="95"/>
      <c r="E2303" s="95"/>
      <c r="F2303" s="95"/>
      <c r="G2303" s="95"/>
      <c r="H2303" s="96" t="s">
        <v>233</v>
      </c>
      <c r="I2303" s="95"/>
      <c r="J2303" s="271" t="s">
        <v>234</v>
      </c>
    </row>
    <row r="2304" spans="1:10">
      <c r="A2304" s="84"/>
      <c r="B2304" s="89"/>
      <c r="C2304" s="90"/>
      <c r="D2304" s="91"/>
      <c r="E2304" s="92"/>
      <c r="F2304" s="92" t="s">
        <v>235</v>
      </c>
      <c r="G2304" s="92"/>
      <c r="H2304" s="92" t="s">
        <v>236</v>
      </c>
      <c r="I2304" s="92"/>
      <c r="J2304" s="99" t="s">
        <v>237</v>
      </c>
    </row>
    <row r="2305" spans="1:10">
      <c r="A2305" s="84"/>
      <c r="B2305" s="93" t="s">
        <v>228</v>
      </c>
      <c r="C2305" s="94" t="s">
        <v>238</v>
      </c>
      <c r="D2305" s="95"/>
      <c r="E2305" s="96" t="s">
        <v>239</v>
      </c>
      <c r="F2305" s="92" t="s">
        <v>240</v>
      </c>
      <c r="G2305" s="92" t="s">
        <v>241</v>
      </c>
      <c r="H2305" s="92" t="s">
        <v>240</v>
      </c>
      <c r="I2305" s="272" t="s">
        <v>241</v>
      </c>
      <c r="J2305" s="271" t="s">
        <v>242</v>
      </c>
    </row>
    <row r="2306" spans="1:10">
      <c r="A2306" s="84"/>
      <c r="B2306" s="89" t="s">
        <v>231</v>
      </c>
      <c r="C2306" s="90"/>
      <c r="D2306" s="91"/>
      <c r="E2306" s="92"/>
      <c r="F2306" s="92"/>
      <c r="G2306" s="92"/>
      <c r="H2306" s="92"/>
      <c r="I2306" s="92"/>
      <c r="J2306" s="99"/>
    </row>
    <row r="2307" spans="1:10">
      <c r="A2307" s="84"/>
      <c r="B2307" s="93" t="s">
        <v>231</v>
      </c>
      <c r="C2307" s="94"/>
      <c r="D2307" s="95"/>
      <c r="E2307" s="96"/>
      <c r="F2307" s="96"/>
      <c r="G2307" s="96"/>
      <c r="H2307" s="96"/>
      <c r="I2307" s="96"/>
      <c r="J2307" s="271"/>
    </row>
    <row r="2308" spans="1:10">
      <c r="A2308" s="84"/>
      <c r="B2308" s="93" t="s">
        <v>231</v>
      </c>
      <c r="C2308" s="94"/>
      <c r="D2308" s="95"/>
      <c r="E2308" s="96"/>
      <c r="F2308" s="96"/>
      <c r="G2308" s="96"/>
      <c r="H2308" s="96"/>
      <c r="I2308" s="96"/>
      <c r="J2308" s="271"/>
    </row>
    <row r="2309" spans="1:10">
      <c r="A2309" s="84"/>
      <c r="B2309" s="93" t="s">
        <v>231</v>
      </c>
      <c r="C2309" s="94"/>
      <c r="D2309" s="95"/>
      <c r="E2309" s="96"/>
      <c r="F2309" s="96"/>
      <c r="G2309" s="96"/>
      <c r="H2309" s="96"/>
      <c r="I2309" s="96"/>
      <c r="J2309" s="271"/>
    </row>
    <row r="2310" spans="1:10">
      <c r="A2310" s="84"/>
      <c r="B2310" s="93" t="s">
        <v>231</v>
      </c>
      <c r="C2310" s="94"/>
      <c r="D2310" s="95"/>
      <c r="E2310" s="96"/>
      <c r="F2310" s="96"/>
      <c r="G2310" s="96"/>
      <c r="H2310" s="96"/>
      <c r="I2310" s="96"/>
      <c r="J2310" s="271"/>
    </row>
    <row r="2311" spans="1:10">
      <c r="A2311" s="84"/>
      <c r="B2311" s="93" t="s">
        <v>231</v>
      </c>
      <c r="C2311" s="94"/>
      <c r="D2311" s="95"/>
      <c r="E2311" s="96"/>
      <c r="F2311" s="96"/>
      <c r="G2311" s="96"/>
      <c r="H2311" s="96"/>
      <c r="I2311" s="96"/>
      <c r="J2311" s="271"/>
    </row>
    <row r="2312" spans="1:10">
      <c r="A2312" s="84"/>
      <c r="B2312" s="93" t="s">
        <v>231</v>
      </c>
      <c r="C2312" s="94"/>
      <c r="D2312" s="95"/>
      <c r="E2312" s="96"/>
      <c r="F2312" s="96"/>
      <c r="G2312" s="96"/>
      <c r="H2312" s="96"/>
      <c r="I2312" s="96"/>
      <c r="J2312" s="271"/>
    </row>
    <row r="2313" spans="1:10">
      <c r="A2313" s="84"/>
      <c r="B2313" s="89"/>
      <c r="C2313" s="97"/>
      <c r="D2313" s="91"/>
      <c r="E2313" s="91"/>
      <c r="F2313" s="91"/>
      <c r="G2313" s="91" t="s">
        <v>249</v>
      </c>
      <c r="H2313" s="91"/>
      <c r="I2313" s="91"/>
      <c r="J2313" s="99">
        <f>+SUBTOTAL(9,J2306:J2312)</f>
        <v>0</v>
      </c>
    </row>
    <row r="2314" spans="1:10">
      <c r="A2314" s="84"/>
      <c r="B2314" s="89" t="s">
        <v>228</v>
      </c>
      <c r="C2314" s="90" t="s">
        <v>250</v>
      </c>
      <c r="D2314" s="91"/>
      <c r="E2314" s="91"/>
      <c r="F2314" s="91"/>
      <c r="G2314" s="91"/>
      <c r="H2314" s="92" t="s">
        <v>239</v>
      </c>
      <c r="I2314" s="92" t="s">
        <v>251</v>
      </c>
      <c r="J2314" s="99" t="s">
        <v>252</v>
      </c>
    </row>
    <row r="2315" spans="1:10">
      <c r="A2315" s="84"/>
      <c r="B2315" s="89" t="s">
        <v>253</v>
      </c>
      <c r="C2315" s="90" t="s">
        <v>254</v>
      </c>
      <c r="D2315" s="91"/>
      <c r="E2315" s="91"/>
      <c r="F2315" s="91"/>
      <c r="G2315" s="91"/>
      <c r="H2315" s="92">
        <v>5</v>
      </c>
      <c r="I2315" s="92">
        <v>21.04</v>
      </c>
      <c r="J2315" s="99">
        <f>+ROUND(H2315*I2315,2)</f>
        <v>105.2</v>
      </c>
    </row>
    <row r="2316" spans="1:10">
      <c r="A2316" s="84"/>
      <c r="B2316" s="93" t="s">
        <v>231</v>
      </c>
      <c r="C2316" s="94"/>
      <c r="D2316" s="95"/>
      <c r="E2316" s="95"/>
      <c r="F2316" s="95"/>
      <c r="G2316" s="95"/>
      <c r="H2316" s="96"/>
      <c r="I2316" s="96"/>
      <c r="J2316" s="271"/>
    </row>
    <row r="2317" spans="1:10">
      <c r="A2317" s="84"/>
      <c r="B2317" s="93" t="s">
        <v>231</v>
      </c>
      <c r="C2317" s="94"/>
      <c r="D2317" s="95"/>
      <c r="E2317" s="95"/>
      <c r="F2317" s="95"/>
      <c r="G2317" s="95"/>
      <c r="H2317" s="96"/>
      <c r="I2317" s="96"/>
      <c r="J2317" s="271"/>
    </row>
    <row r="2318" spans="1:10">
      <c r="A2318" s="84"/>
      <c r="B2318" s="93" t="s">
        <v>231</v>
      </c>
      <c r="C2318" s="94"/>
      <c r="D2318" s="95"/>
      <c r="E2318" s="95"/>
      <c r="F2318" s="95"/>
      <c r="G2318" s="95"/>
      <c r="H2318" s="96"/>
      <c r="I2318" s="96"/>
      <c r="J2318" s="271"/>
    </row>
    <row r="2319" spans="1:10">
      <c r="A2319" s="84"/>
      <c r="B2319" s="93" t="s">
        <v>231</v>
      </c>
      <c r="C2319" s="94"/>
      <c r="D2319" s="95"/>
      <c r="E2319" s="95"/>
      <c r="F2319" s="95"/>
      <c r="G2319" s="95"/>
      <c r="H2319" s="96"/>
      <c r="I2319" s="96"/>
      <c r="J2319" s="271"/>
    </row>
    <row r="2320" spans="1:10">
      <c r="A2320" s="84"/>
      <c r="B2320" s="93" t="s">
        <v>231</v>
      </c>
      <c r="C2320" s="94"/>
      <c r="D2320" s="95"/>
      <c r="E2320" s="95"/>
      <c r="F2320" s="95"/>
      <c r="G2320" s="95"/>
      <c r="H2320" s="96"/>
      <c r="I2320" s="96"/>
      <c r="J2320" s="271"/>
    </row>
    <row r="2321" spans="1:10">
      <c r="A2321" s="84"/>
      <c r="B2321" s="93" t="s">
        <v>231</v>
      </c>
      <c r="C2321" s="94"/>
      <c r="D2321" s="95"/>
      <c r="E2321" s="95"/>
      <c r="F2321" s="95"/>
      <c r="G2321" s="95"/>
      <c r="H2321" s="96"/>
      <c r="I2321" s="96"/>
      <c r="J2321" s="271"/>
    </row>
    <row r="2322" spans="1:10">
      <c r="A2322" s="84"/>
      <c r="B2322" s="89"/>
      <c r="C2322" s="97"/>
      <c r="D2322" s="91"/>
      <c r="E2322" s="91"/>
      <c r="F2322" s="91"/>
      <c r="G2322" s="91" t="s">
        <v>255</v>
      </c>
      <c r="H2322" s="91"/>
      <c r="I2322" s="91"/>
      <c r="J2322" s="99">
        <f>+SUBTOTAL(9,J2315:J2321)</f>
        <v>105.2</v>
      </c>
    </row>
    <row r="2323" spans="1:10">
      <c r="A2323" s="84"/>
      <c r="B2323" s="89"/>
      <c r="C2323" s="97"/>
      <c r="D2323" s="91"/>
      <c r="E2323" s="91"/>
      <c r="F2323" s="91" t="s">
        <v>256</v>
      </c>
      <c r="G2323" s="91"/>
      <c r="H2323" s="91"/>
      <c r="I2323" s="91">
        <v>0</v>
      </c>
      <c r="J2323" s="99">
        <f>+ROUND(I2323*J2322,2)</f>
        <v>0</v>
      </c>
    </row>
    <row r="2324" spans="1:10">
      <c r="A2324" s="84"/>
      <c r="B2324" s="89"/>
      <c r="C2324" s="97"/>
      <c r="D2324" s="91"/>
      <c r="E2324" s="91"/>
      <c r="F2324" s="91" t="s">
        <v>257</v>
      </c>
      <c r="G2324" s="91"/>
      <c r="H2324" s="91"/>
      <c r="I2324" s="91"/>
      <c r="J2324" s="99">
        <f>+SUBTOTAL(9,J2315:J2323)</f>
        <v>105.2</v>
      </c>
    </row>
    <row r="2325" spans="1:10">
      <c r="A2325" s="84"/>
      <c r="B2325" s="98"/>
      <c r="C2325" s="97"/>
      <c r="D2325" s="91"/>
      <c r="E2325" s="91"/>
      <c r="F2325" s="91"/>
      <c r="G2325" s="91" t="s">
        <v>258</v>
      </c>
      <c r="H2325" s="91"/>
      <c r="I2325" s="91"/>
      <c r="J2325" s="275">
        <f>+SUBTOTAL(9,J2306:J2324)</f>
        <v>105.2</v>
      </c>
    </row>
    <row r="2326" spans="1:10">
      <c r="A2326" s="84"/>
      <c r="B2326" s="98"/>
      <c r="C2326" s="97" t="s">
        <v>259</v>
      </c>
      <c r="D2326" s="91">
        <v>5</v>
      </c>
      <c r="E2326" s="91"/>
      <c r="F2326" s="91"/>
      <c r="G2326" s="91" t="s">
        <v>260</v>
      </c>
      <c r="H2326" s="91"/>
      <c r="I2326" s="91"/>
      <c r="J2326" s="275">
        <f>+ROUND(J2325/D2326,2)</f>
        <v>21.04</v>
      </c>
    </row>
    <row r="2327" spans="1:10">
      <c r="A2327" s="84"/>
      <c r="B2327" s="89" t="s">
        <v>228</v>
      </c>
      <c r="C2327" s="90" t="s">
        <v>261</v>
      </c>
      <c r="D2327" s="91"/>
      <c r="E2327" s="91"/>
      <c r="F2327" s="91"/>
      <c r="G2327" s="92" t="s">
        <v>230</v>
      </c>
      <c r="H2327" s="92" t="s">
        <v>262</v>
      </c>
      <c r="I2327" s="92" t="s">
        <v>263</v>
      </c>
      <c r="J2327" s="99" t="s">
        <v>264</v>
      </c>
    </row>
    <row r="2328" spans="1:10">
      <c r="A2328" s="84"/>
      <c r="B2328" s="89" t="s">
        <v>231</v>
      </c>
      <c r="C2328" s="90"/>
      <c r="D2328" s="91"/>
      <c r="E2328" s="91"/>
      <c r="F2328" s="91"/>
      <c r="G2328" s="92"/>
      <c r="H2328" s="92"/>
      <c r="I2328" s="92"/>
      <c r="J2328" s="99"/>
    </row>
    <row r="2329" spans="1:10">
      <c r="A2329" s="84"/>
      <c r="B2329" s="93" t="s">
        <v>231</v>
      </c>
      <c r="C2329" s="94"/>
      <c r="D2329" s="95"/>
      <c r="E2329" s="95"/>
      <c r="F2329" s="95"/>
      <c r="G2329" s="96"/>
      <c r="H2329" s="96"/>
      <c r="I2329" s="96"/>
      <c r="J2329" s="271"/>
    </row>
    <row r="2330" spans="1:10">
      <c r="A2330" s="84"/>
      <c r="B2330" s="93" t="s">
        <v>231</v>
      </c>
      <c r="C2330" s="94"/>
      <c r="D2330" s="95"/>
      <c r="E2330" s="95"/>
      <c r="F2330" s="95"/>
      <c r="G2330" s="96"/>
      <c r="H2330" s="96"/>
      <c r="I2330" s="96"/>
      <c r="J2330" s="271"/>
    </row>
    <row r="2331" spans="1:10">
      <c r="A2331" s="84"/>
      <c r="B2331" s="93" t="s">
        <v>231</v>
      </c>
      <c r="C2331" s="94"/>
      <c r="D2331" s="95"/>
      <c r="E2331" s="95"/>
      <c r="F2331" s="95"/>
      <c r="G2331" s="96"/>
      <c r="H2331" s="96"/>
      <c r="I2331" s="96"/>
      <c r="J2331" s="271"/>
    </row>
    <row r="2332" spans="1:10">
      <c r="A2332" s="84"/>
      <c r="B2332" s="93" t="s">
        <v>231</v>
      </c>
      <c r="C2332" s="94"/>
      <c r="D2332" s="95"/>
      <c r="E2332" s="95"/>
      <c r="F2332" s="95"/>
      <c r="G2332" s="96"/>
      <c r="H2332" s="96"/>
      <c r="I2332" s="96"/>
      <c r="J2332" s="271"/>
    </row>
    <row r="2333" spans="1:10">
      <c r="A2333" s="84"/>
      <c r="B2333" s="93" t="s">
        <v>231</v>
      </c>
      <c r="C2333" s="94"/>
      <c r="D2333" s="95"/>
      <c r="E2333" s="95"/>
      <c r="F2333" s="95"/>
      <c r="G2333" s="96"/>
      <c r="H2333" s="96"/>
      <c r="I2333" s="96"/>
      <c r="J2333" s="271"/>
    </row>
    <row r="2334" spans="1:10">
      <c r="A2334" s="84"/>
      <c r="B2334" s="93" t="s">
        <v>231</v>
      </c>
      <c r="C2334" s="94"/>
      <c r="D2334" s="95"/>
      <c r="E2334" s="95"/>
      <c r="F2334" s="95"/>
      <c r="G2334" s="96"/>
      <c r="H2334" s="96"/>
      <c r="I2334" s="96"/>
      <c r="J2334" s="271"/>
    </row>
    <row r="2335" spans="1:10">
      <c r="A2335" s="84"/>
      <c r="B2335" s="89"/>
      <c r="C2335" s="97"/>
      <c r="D2335" s="91"/>
      <c r="E2335" s="91"/>
      <c r="F2335" s="91"/>
      <c r="G2335" s="91" t="s">
        <v>275</v>
      </c>
      <c r="H2335" s="91"/>
      <c r="I2335" s="91"/>
      <c r="J2335" s="99">
        <f>+SUBTOTAL(9,J2328:J2334)</f>
        <v>0</v>
      </c>
    </row>
    <row r="2336" spans="1:10">
      <c r="A2336" s="84"/>
      <c r="B2336" s="89" t="s">
        <v>228</v>
      </c>
      <c r="C2336" s="90" t="s">
        <v>276</v>
      </c>
      <c r="D2336" s="91"/>
      <c r="E2336" s="91"/>
      <c r="F2336" s="91"/>
      <c r="G2336" s="92" t="s">
        <v>230</v>
      </c>
      <c r="H2336" s="92" t="s">
        <v>262</v>
      </c>
      <c r="I2336" s="92" t="s">
        <v>263</v>
      </c>
      <c r="J2336" s="99" t="s">
        <v>264</v>
      </c>
    </row>
    <row r="2337" spans="1:10">
      <c r="A2337" s="84"/>
      <c r="B2337" s="89" t="s">
        <v>231</v>
      </c>
      <c r="C2337" s="90"/>
      <c r="D2337" s="91"/>
      <c r="E2337" s="91"/>
      <c r="F2337" s="91"/>
      <c r="G2337" s="92"/>
      <c r="H2337" s="92"/>
      <c r="I2337" s="92"/>
      <c r="J2337" s="99"/>
    </row>
    <row r="2338" spans="1:10">
      <c r="A2338" s="84"/>
      <c r="B2338" s="93" t="s">
        <v>231</v>
      </c>
      <c r="C2338" s="94"/>
      <c r="D2338" s="95"/>
      <c r="E2338" s="95"/>
      <c r="F2338" s="95"/>
      <c r="G2338" s="96"/>
      <c r="H2338" s="96"/>
      <c r="I2338" s="96"/>
      <c r="J2338" s="271"/>
    </row>
    <row r="2339" spans="1:10">
      <c r="A2339" s="84"/>
      <c r="B2339" s="93" t="s">
        <v>231</v>
      </c>
      <c r="C2339" s="94"/>
      <c r="D2339" s="95"/>
      <c r="E2339" s="95"/>
      <c r="F2339" s="95"/>
      <c r="G2339" s="96"/>
      <c r="H2339" s="96"/>
      <c r="I2339" s="96"/>
      <c r="J2339" s="271"/>
    </row>
    <row r="2340" spans="1:10">
      <c r="A2340" s="84"/>
      <c r="B2340" s="93" t="s">
        <v>231</v>
      </c>
      <c r="C2340" s="94"/>
      <c r="D2340" s="95"/>
      <c r="E2340" s="95"/>
      <c r="F2340" s="95"/>
      <c r="G2340" s="96"/>
      <c r="H2340" s="96"/>
      <c r="I2340" s="96"/>
      <c r="J2340" s="271"/>
    </row>
    <row r="2341" spans="1:10">
      <c r="A2341" s="84"/>
      <c r="B2341" s="93" t="s">
        <v>231</v>
      </c>
      <c r="C2341" s="94"/>
      <c r="D2341" s="95"/>
      <c r="E2341" s="95"/>
      <c r="F2341" s="95"/>
      <c r="G2341" s="96"/>
      <c r="H2341" s="96"/>
      <c r="I2341" s="96"/>
      <c r="J2341" s="271"/>
    </row>
    <row r="2342" spans="1:10">
      <c r="A2342" s="84"/>
      <c r="B2342" s="89"/>
      <c r="C2342" s="97"/>
      <c r="D2342" s="91"/>
      <c r="E2342" s="91"/>
      <c r="F2342" s="91"/>
      <c r="G2342" s="91" t="s">
        <v>279</v>
      </c>
      <c r="H2342" s="91"/>
      <c r="I2342" s="91"/>
      <c r="J2342" s="99">
        <f>+SUBTOTAL(9,J2337:J2341)</f>
        <v>0</v>
      </c>
    </row>
    <row r="2343" spans="1:10">
      <c r="A2343" s="84"/>
      <c r="B2343" s="89" t="s">
        <v>228</v>
      </c>
      <c r="C2343" s="90" t="s">
        <v>280</v>
      </c>
      <c r="D2343" s="92" t="s">
        <v>281</v>
      </c>
      <c r="E2343" s="92" t="s">
        <v>282</v>
      </c>
      <c r="F2343" s="92" t="s">
        <v>283</v>
      </c>
      <c r="G2343" s="92" t="s">
        <v>284</v>
      </c>
      <c r="H2343" s="92" t="s">
        <v>285</v>
      </c>
      <c r="I2343" s="92" t="s">
        <v>263</v>
      </c>
      <c r="J2343" s="99" t="s">
        <v>286</v>
      </c>
    </row>
    <row r="2344" spans="1:10">
      <c r="A2344" s="84"/>
      <c r="B2344" s="89" t="s">
        <v>231</v>
      </c>
      <c r="C2344" s="90"/>
      <c r="D2344" s="92"/>
      <c r="E2344" s="92"/>
      <c r="F2344" s="92"/>
      <c r="G2344" s="92"/>
      <c r="H2344" s="92"/>
      <c r="I2344" s="92"/>
      <c r="J2344" s="99"/>
    </row>
    <row r="2345" spans="1:10">
      <c r="A2345" s="84"/>
      <c r="B2345" s="93" t="s">
        <v>231</v>
      </c>
      <c r="C2345" s="94"/>
      <c r="D2345" s="96"/>
      <c r="E2345" s="96"/>
      <c r="F2345" s="96"/>
      <c r="G2345" s="96"/>
      <c r="H2345" s="96"/>
      <c r="I2345" s="96"/>
      <c r="J2345" s="271"/>
    </row>
    <row r="2346" spans="1:10">
      <c r="A2346" s="84"/>
      <c r="B2346" s="93" t="s">
        <v>231</v>
      </c>
      <c r="C2346" s="94"/>
      <c r="D2346" s="96"/>
      <c r="E2346" s="96"/>
      <c r="F2346" s="96"/>
      <c r="G2346" s="96"/>
      <c r="H2346" s="96"/>
      <c r="I2346" s="96"/>
      <c r="J2346" s="271"/>
    </row>
    <row r="2347" spans="1:10">
      <c r="A2347" s="84"/>
      <c r="B2347" s="93" t="s">
        <v>231</v>
      </c>
      <c r="C2347" s="94"/>
      <c r="D2347" s="96"/>
      <c r="E2347" s="96"/>
      <c r="F2347" s="96"/>
      <c r="G2347" s="96"/>
      <c r="H2347" s="96"/>
      <c r="I2347" s="96"/>
      <c r="J2347" s="271"/>
    </row>
    <row r="2348" spans="1:10">
      <c r="A2348" s="84"/>
      <c r="B2348" s="93" t="s">
        <v>231</v>
      </c>
      <c r="C2348" s="94"/>
      <c r="D2348" s="96"/>
      <c r="E2348" s="96"/>
      <c r="F2348" s="96"/>
      <c r="G2348" s="96"/>
      <c r="H2348" s="96"/>
      <c r="I2348" s="96"/>
      <c r="J2348" s="271"/>
    </row>
    <row r="2349" spans="1:10">
      <c r="A2349" s="84"/>
      <c r="B2349" s="93" t="s">
        <v>231</v>
      </c>
      <c r="C2349" s="94"/>
      <c r="D2349" s="96"/>
      <c r="E2349" s="96"/>
      <c r="F2349" s="96"/>
      <c r="G2349" s="96"/>
      <c r="H2349" s="96"/>
      <c r="I2349" s="96"/>
      <c r="J2349" s="271"/>
    </row>
    <row r="2350" spans="1:10">
      <c r="A2350" s="84"/>
      <c r="B2350" s="93" t="s">
        <v>231</v>
      </c>
      <c r="C2350" s="94"/>
      <c r="D2350" s="96"/>
      <c r="E2350" s="96"/>
      <c r="F2350" s="96"/>
      <c r="G2350" s="96"/>
      <c r="H2350" s="96"/>
      <c r="I2350" s="96"/>
      <c r="J2350" s="271"/>
    </row>
    <row r="2351" spans="1:10">
      <c r="A2351" s="84"/>
      <c r="B2351" s="89"/>
      <c r="C2351" s="97"/>
      <c r="D2351" s="91"/>
      <c r="E2351" s="91"/>
      <c r="F2351" s="91"/>
      <c r="G2351" s="91" t="s">
        <v>290</v>
      </c>
      <c r="H2351" s="91"/>
      <c r="I2351" s="91"/>
      <c r="J2351" s="99">
        <f>+SUBTOTAL(9,J2344:J2350)</f>
        <v>0</v>
      </c>
    </row>
    <row r="2352" spans="1:10">
      <c r="A2352" s="84"/>
      <c r="B2352" s="89" t="s">
        <v>291</v>
      </c>
      <c r="C2352" s="97"/>
      <c r="D2352" s="91"/>
      <c r="E2352" s="91"/>
      <c r="F2352" s="91"/>
      <c r="G2352" s="91"/>
      <c r="H2352" s="91"/>
      <c r="I2352" s="91"/>
      <c r="J2352" s="99">
        <f>+SUBTOTAL(9,J2326:J2350)</f>
        <v>21.04</v>
      </c>
    </row>
    <row r="2353" spans="1:10">
      <c r="A2353" s="84"/>
      <c r="B2353" s="89" t="s">
        <v>292</v>
      </c>
      <c r="C2353" s="97"/>
      <c r="D2353" s="91">
        <v>0</v>
      </c>
      <c r="E2353" s="91"/>
      <c r="F2353" s="91"/>
      <c r="G2353" s="91"/>
      <c r="H2353" s="91"/>
      <c r="I2353" s="91"/>
      <c r="J2353" s="99">
        <f>+ROUND(J2352*D2353/100,2)</f>
        <v>0</v>
      </c>
    </row>
    <row r="2354" spans="1:10" ht="14.4" thickBot="1">
      <c r="A2354" s="84"/>
      <c r="B2354" s="89" t="s">
        <v>293</v>
      </c>
      <c r="C2354" s="97"/>
      <c r="D2354" s="91"/>
      <c r="E2354" s="91"/>
      <c r="F2354" s="91"/>
      <c r="G2354" s="91"/>
      <c r="H2354" s="91"/>
      <c r="I2354" s="91"/>
      <c r="J2354" s="99">
        <f>+J2352+ J2353</f>
        <v>21.04</v>
      </c>
    </row>
    <row r="2355" spans="1:10">
      <c r="A2355" s="84"/>
      <c r="B2355" s="85" t="s">
        <v>294</v>
      </c>
      <c r="C2355" s="86"/>
      <c r="D2355" s="88"/>
      <c r="E2355" s="88"/>
      <c r="F2355" s="88" t="s">
        <v>295</v>
      </c>
      <c r="G2355" s="88"/>
      <c r="H2355" s="88"/>
      <c r="I2355" s="88" t="s">
        <v>296</v>
      </c>
      <c r="J2355" s="270"/>
    </row>
    <row r="2356" spans="1:10">
      <c r="A2356" s="84"/>
      <c r="B2356" s="93" t="s">
        <v>297</v>
      </c>
      <c r="C2356" s="84"/>
      <c r="D2356" s="95"/>
      <c r="E2356" s="95"/>
      <c r="F2356" s="95" t="s">
        <v>298</v>
      </c>
      <c r="G2356" s="95"/>
      <c r="H2356" s="95"/>
      <c r="I2356" s="95"/>
      <c r="J2356" s="276"/>
    </row>
    <row r="2357" spans="1:10">
      <c r="A2357" s="84"/>
      <c r="B2357" s="93" t="s">
        <v>299</v>
      </c>
      <c r="C2357" s="84"/>
      <c r="D2357" s="95"/>
      <c r="E2357" s="95"/>
      <c r="F2357" s="95" t="s">
        <v>300</v>
      </c>
      <c r="G2357" s="95"/>
      <c r="H2357" s="95"/>
      <c r="I2357" s="95"/>
      <c r="J2357" s="276"/>
    </row>
    <row r="2358" spans="1:10" ht="14.4" thickBot="1">
      <c r="A2358" s="84"/>
      <c r="B2358" s="100" t="s">
        <v>301</v>
      </c>
      <c r="C2358" s="84"/>
      <c r="D2358" s="95"/>
      <c r="E2358" s="95"/>
      <c r="F2358" s="95"/>
      <c r="G2358" s="95"/>
      <c r="H2358" s="95"/>
      <c r="I2358" s="95"/>
      <c r="J2358" s="277"/>
    </row>
    <row r="2359" spans="1:10">
      <c r="A2359" s="84"/>
      <c r="B2359" s="86"/>
      <c r="C2359" s="86"/>
      <c r="D2359" s="88"/>
      <c r="E2359" s="88"/>
      <c r="F2359" s="88"/>
      <c r="G2359" s="88"/>
      <c r="H2359" s="88"/>
      <c r="I2359" s="88"/>
      <c r="J2359" s="88"/>
    </row>
    <row r="2360" spans="1:10" ht="14.4" thickBot="1">
      <c r="A2360" s="84"/>
      <c r="B2360" s="84"/>
      <c r="C2360" s="84"/>
      <c r="D2360" s="95"/>
      <c r="E2360" s="95"/>
      <c r="F2360" s="95"/>
      <c r="G2360" s="95"/>
      <c r="H2360" s="95"/>
      <c r="I2360" s="95"/>
      <c r="J2360" s="95"/>
    </row>
    <row r="2361" spans="1:10">
      <c r="A2361" s="84"/>
      <c r="B2361" s="85"/>
      <c r="C2361" s="86"/>
      <c r="D2361" s="87" t="s">
        <v>227</v>
      </c>
      <c r="E2361" s="87"/>
      <c r="F2361" s="87"/>
      <c r="G2361" s="88"/>
      <c r="H2361" s="88"/>
      <c r="I2361" s="88"/>
      <c r="J2361" s="270"/>
    </row>
    <row r="2362" spans="1:10">
      <c r="A2362" s="84"/>
      <c r="B2362" s="89" t="s">
        <v>228</v>
      </c>
      <c r="C2362" s="90" t="s">
        <v>92</v>
      </c>
      <c r="D2362" s="91"/>
      <c r="E2362" s="91"/>
      <c r="F2362" s="91"/>
      <c r="G2362" s="91"/>
      <c r="H2362" s="92" t="s">
        <v>229</v>
      </c>
      <c r="I2362" s="91"/>
      <c r="J2362" s="99" t="s">
        <v>230</v>
      </c>
    </row>
    <row r="2363" spans="1:10">
      <c r="A2363" s="84"/>
      <c r="B2363" s="93" t="s">
        <v>231</v>
      </c>
      <c r="C2363" s="94" t="s">
        <v>694</v>
      </c>
      <c r="D2363" s="95"/>
      <c r="E2363" s="95"/>
      <c r="F2363" s="95"/>
      <c r="G2363" s="95"/>
      <c r="H2363" s="96" t="s">
        <v>233</v>
      </c>
      <c r="I2363" s="95"/>
      <c r="J2363" s="271" t="s">
        <v>234</v>
      </c>
    </row>
    <row r="2364" spans="1:10">
      <c r="A2364" s="84"/>
      <c r="B2364" s="89"/>
      <c r="C2364" s="90"/>
      <c r="D2364" s="91"/>
      <c r="E2364" s="92"/>
      <c r="F2364" s="92" t="s">
        <v>235</v>
      </c>
      <c r="G2364" s="92"/>
      <c r="H2364" s="92" t="s">
        <v>236</v>
      </c>
      <c r="I2364" s="92"/>
      <c r="J2364" s="99" t="s">
        <v>237</v>
      </c>
    </row>
    <row r="2365" spans="1:10">
      <c r="A2365" s="84"/>
      <c r="B2365" s="93" t="s">
        <v>228</v>
      </c>
      <c r="C2365" s="94" t="s">
        <v>238</v>
      </c>
      <c r="D2365" s="95"/>
      <c r="E2365" s="96" t="s">
        <v>239</v>
      </c>
      <c r="F2365" s="92" t="s">
        <v>240</v>
      </c>
      <c r="G2365" s="92" t="s">
        <v>241</v>
      </c>
      <c r="H2365" s="92" t="s">
        <v>240</v>
      </c>
      <c r="I2365" s="272" t="s">
        <v>241</v>
      </c>
      <c r="J2365" s="271" t="s">
        <v>242</v>
      </c>
    </row>
    <row r="2366" spans="1:10">
      <c r="A2366" s="84"/>
      <c r="B2366" s="273" t="s">
        <v>695</v>
      </c>
      <c r="C2366" s="90" t="s">
        <v>696</v>
      </c>
      <c r="D2366" s="91"/>
      <c r="E2366" s="92">
        <v>1</v>
      </c>
      <c r="F2366" s="92">
        <v>1</v>
      </c>
      <c r="G2366" s="92">
        <v>0</v>
      </c>
      <c r="H2366" s="92">
        <v>9.08</v>
      </c>
      <c r="I2366" s="92">
        <v>1.03</v>
      </c>
      <c r="J2366" s="99">
        <f>+ROUND(E2366* ((F2366*H2366) + (G2366*I2366)),2)</f>
        <v>9.08</v>
      </c>
    </row>
    <row r="2367" spans="1:10">
      <c r="A2367" s="84"/>
      <c r="B2367" s="93" t="s">
        <v>231</v>
      </c>
      <c r="C2367" s="94"/>
      <c r="D2367" s="95"/>
      <c r="E2367" s="96"/>
      <c r="F2367" s="96"/>
      <c r="G2367" s="96"/>
      <c r="H2367" s="96"/>
      <c r="I2367" s="96"/>
      <c r="J2367" s="271"/>
    </row>
    <row r="2368" spans="1:10">
      <c r="A2368" s="84"/>
      <c r="B2368" s="93" t="s">
        <v>231</v>
      </c>
      <c r="C2368" s="94"/>
      <c r="D2368" s="95"/>
      <c r="E2368" s="96"/>
      <c r="F2368" s="96"/>
      <c r="G2368" s="96"/>
      <c r="H2368" s="96"/>
      <c r="I2368" s="96"/>
      <c r="J2368" s="271"/>
    </row>
    <row r="2369" spans="1:10">
      <c r="A2369" s="84"/>
      <c r="B2369" s="93" t="s">
        <v>231</v>
      </c>
      <c r="C2369" s="94"/>
      <c r="D2369" s="95"/>
      <c r="E2369" s="96"/>
      <c r="F2369" s="96"/>
      <c r="G2369" s="96"/>
      <c r="H2369" s="96"/>
      <c r="I2369" s="96"/>
      <c r="J2369" s="271"/>
    </row>
    <row r="2370" spans="1:10">
      <c r="A2370" s="84"/>
      <c r="B2370" s="93" t="s">
        <v>231</v>
      </c>
      <c r="C2370" s="94"/>
      <c r="D2370" s="95"/>
      <c r="E2370" s="96"/>
      <c r="F2370" s="96"/>
      <c r="G2370" s="96"/>
      <c r="H2370" s="96"/>
      <c r="I2370" s="96"/>
      <c r="J2370" s="271"/>
    </row>
    <row r="2371" spans="1:10">
      <c r="A2371" s="84"/>
      <c r="B2371" s="93" t="s">
        <v>231</v>
      </c>
      <c r="C2371" s="94"/>
      <c r="D2371" s="95"/>
      <c r="E2371" s="96"/>
      <c r="F2371" s="96"/>
      <c r="G2371" s="96"/>
      <c r="H2371" s="96"/>
      <c r="I2371" s="96"/>
      <c r="J2371" s="271"/>
    </row>
    <row r="2372" spans="1:10">
      <c r="A2372" s="84"/>
      <c r="B2372" s="93" t="s">
        <v>231</v>
      </c>
      <c r="C2372" s="94"/>
      <c r="D2372" s="95"/>
      <c r="E2372" s="96"/>
      <c r="F2372" s="96"/>
      <c r="G2372" s="96"/>
      <c r="H2372" s="96"/>
      <c r="I2372" s="96"/>
      <c r="J2372" s="271"/>
    </row>
    <row r="2373" spans="1:10">
      <c r="A2373" s="84"/>
      <c r="B2373" s="89"/>
      <c r="C2373" s="97"/>
      <c r="D2373" s="91"/>
      <c r="E2373" s="91"/>
      <c r="F2373" s="91"/>
      <c r="G2373" s="91" t="s">
        <v>249</v>
      </c>
      <c r="H2373" s="91"/>
      <c r="I2373" s="91"/>
      <c r="J2373" s="99">
        <f>+SUBTOTAL(9,J2366:J2372)</f>
        <v>9.08</v>
      </c>
    </row>
    <row r="2374" spans="1:10">
      <c r="A2374" s="84"/>
      <c r="B2374" s="89" t="s">
        <v>228</v>
      </c>
      <c r="C2374" s="90" t="s">
        <v>250</v>
      </c>
      <c r="D2374" s="91"/>
      <c r="E2374" s="91"/>
      <c r="F2374" s="91"/>
      <c r="G2374" s="91"/>
      <c r="H2374" s="92" t="s">
        <v>239</v>
      </c>
      <c r="I2374" s="92" t="s">
        <v>251</v>
      </c>
      <c r="J2374" s="99" t="s">
        <v>252</v>
      </c>
    </row>
    <row r="2375" spans="1:10">
      <c r="A2375" s="84"/>
      <c r="B2375" s="89" t="s">
        <v>253</v>
      </c>
      <c r="C2375" s="90" t="s">
        <v>254</v>
      </c>
      <c r="D2375" s="91"/>
      <c r="E2375" s="91"/>
      <c r="F2375" s="91"/>
      <c r="G2375" s="91"/>
      <c r="H2375" s="92">
        <v>4</v>
      </c>
      <c r="I2375" s="92">
        <v>21.04</v>
      </c>
      <c r="J2375" s="99">
        <f>+ROUND(H2375*I2375,2)</f>
        <v>84.16</v>
      </c>
    </row>
    <row r="2376" spans="1:10">
      <c r="A2376" s="84"/>
      <c r="B2376" s="93" t="s">
        <v>231</v>
      </c>
      <c r="C2376" s="94"/>
      <c r="D2376" s="95"/>
      <c r="E2376" s="95"/>
      <c r="F2376" s="95"/>
      <c r="G2376" s="95"/>
      <c r="H2376" s="96"/>
      <c r="I2376" s="96"/>
      <c r="J2376" s="271"/>
    </row>
    <row r="2377" spans="1:10">
      <c r="A2377" s="84"/>
      <c r="B2377" s="93" t="s">
        <v>231</v>
      </c>
      <c r="C2377" s="94"/>
      <c r="D2377" s="95"/>
      <c r="E2377" s="95"/>
      <c r="F2377" s="95"/>
      <c r="G2377" s="95"/>
      <c r="H2377" s="96"/>
      <c r="I2377" s="96"/>
      <c r="J2377" s="271"/>
    </row>
    <row r="2378" spans="1:10">
      <c r="A2378" s="84"/>
      <c r="B2378" s="93" t="s">
        <v>231</v>
      </c>
      <c r="C2378" s="94"/>
      <c r="D2378" s="95"/>
      <c r="E2378" s="95"/>
      <c r="F2378" s="95"/>
      <c r="G2378" s="95"/>
      <c r="H2378" s="96"/>
      <c r="I2378" s="96"/>
      <c r="J2378" s="271"/>
    </row>
    <row r="2379" spans="1:10">
      <c r="A2379" s="84"/>
      <c r="B2379" s="93" t="s">
        <v>231</v>
      </c>
      <c r="C2379" s="94"/>
      <c r="D2379" s="95"/>
      <c r="E2379" s="95"/>
      <c r="F2379" s="95"/>
      <c r="G2379" s="95"/>
      <c r="H2379" s="96"/>
      <c r="I2379" s="96"/>
      <c r="J2379" s="271"/>
    </row>
    <row r="2380" spans="1:10">
      <c r="A2380" s="84"/>
      <c r="B2380" s="93" t="s">
        <v>231</v>
      </c>
      <c r="C2380" s="94"/>
      <c r="D2380" s="95"/>
      <c r="E2380" s="95"/>
      <c r="F2380" s="95"/>
      <c r="G2380" s="95"/>
      <c r="H2380" s="96"/>
      <c r="I2380" s="96"/>
      <c r="J2380" s="271"/>
    </row>
    <row r="2381" spans="1:10">
      <c r="A2381" s="84"/>
      <c r="B2381" s="93" t="s">
        <v>231</v>
      </c>
      <c r="C2381" s="94"/>
      <c r="D2381" s="95"/>
      <c r="E2381" s="95"/>
      <c r="F2381" s="95"/>
      <c r="G2381" s="95"/>
      <c r="H2381" s="96"/>
      <c r="I2381" s="96"/>
      <c r="J2381" s="271"/>
    </row>
    <row r="2382" spans="1:10">
      <c r="A2382" s="84"/>
      <c r="B2382" s="89"/>
      <c r="C2382" s="97"/>
      <c r="D2382" s="91"/>
      <c r="E2382" s="91"/>
      <c r="F2382" s="91"/>
      <c r="G2382" s="91" t="s">
        <v>255</v>
      </c>
      <c r="H2382" s="91"/>
      <c r="I2382" s="91"/>
      <c r="J2382" s="99">
        <f>+SUBTOTAL(9,J2375:J2381)</f>
        <v>84.16</v>
      </c>
    </row>
    <row r="2383" spans="1:10">
      <c r="A2383" s="84"/>
      <c r="B2383" s="89"/>
      <c r="C2383" s="97"/>
      <c r="D2383" s="91"/>
      <c r="E2383" s="91"/>
      <c r="F2383" s="91" t="s">
        <v>256</v>
      </c>
      <c r="G2383" s="91"/>
      <c r="H2383" s="91"/>
      <c r="I2383" s="91">
        <v>0</v>
      </c>
      <c r="J2383" s="99">
        <f>+ROUND(I2383*J2382,2)</f>
        <v>0</v>
      </c>
    </row>
    <row r="2384" spans="1:10">
      <c r="A2384" s="84"/>
      <c r="B2384" s="89"/>
      <c r="C2384" s="97"/>
      <c r="D2384" s="91"/>
      <c r="E2384" s="91"/>
      <c r="F2384" s="91" t="s">
        <v>257</v>
      </c>
      <c r="G2384" s="91"/>
      <c r="H2384" s="91"/>
      <c r="I2384" s="91"/>
      <c r="J2384" s="99">
        <f>+SUBTOTAL(9,J2375:J2383)</f>
        <v>84.16</v>
      </c>
    </row>
    <row r="2385" spans="1:10">
      <c r="A2385" s="84"/>
      <c r="B2385" s="98"/>
      <c r="C2385" s="97"/>
      <c r="D2385" s="91"/>
      <c r="E2385" s="91"/>
      <c r="F2385" s="91"/>
      <c r="G2385" s="91" t="s">
        <v>258</v>
      </c>
      <c r="H2385" s="91"/>
      <c r="I2385" s="91"/>
      <c r="J2385" s="275">
        <f>+SUBTOTAL(9,J2366:J2384)</f>
        <v>93.24</v>
      </c>
    </row>
    <row r="2386" spans="1:10">
      <c r="A2386" s="84"/>
      <c r="B2386" s="98"/>
      <c r="C2386" s="97" t="s">
        <v>259</v>
      </c>
      <c r="D2386" s="91">
        <v>2.8125</v>
      </c>
      <c r="E2386" s="91"/>
      <c r="F2386" s="91"/>
      <c r="G2386" s="91" t="s">
        <v>260</v>
      </c>
      <c r="H2386" s="91"/>
      <c r="I2386" s="91"/>
      <c r="J2386" s="275">
        <f>+ROUND(J2385/D2386,2)</f>
        <v>33.15</v>
      </c>
    </row>
    <row r="2387" spans="1:10">
      <c r="A2387" s="84"/>
      <c r="B2387" s="89" t="s">
        <v>228</v>
      </c>
      <c r="C2387" s="90" t="s">
        <v>261</v>
      </c>
      <c r="D2387" s="91"/>
      <c r="E2387" s="91"/>
      <c r="F2387" s="91"/>
      <c r="G2387" s="92" t="s">
        <v>230</v>
      </c>
      <c r="H2387" s="92" t="s">
        <v>262</v>
      </c>
      <c r="I2387" s="92" t="s">
        <v>263</v>
      </c>
      <c r="J2387" s="99" t="s">
        <v>264</v>
      </c>
    </row>
    <row r="2388" spans="1:10">
      <c r="A2388" s="84"/>
      <c r="B2388" s="89">
        <v>560964353</v>
      </c>
      <c r="C2388" s="90" t="s">
        <v>697</v>
      </c>
      <c r="D2388" s="91"/>
      <c r="E2388" s="91"/>
      <c r="F2388" s="91"/>
      <c r="G2388" s="92" t="s">
        <v>270</v>
      </c>
      <c r="H2388" s="92">
        <v>1.53</v>
      </c>
      <c r="I2388" s="92">
        <v>2.0630099999999998</v>
      </c>
      <c r="J2388" s="99">
        <f>+ROUND(H2388*I2388,2)</f>
        <v>3.16</v>
      </c>
    </row>
    <row r="2389" spans="1:10">
      <c r="A2389" s="84"/>
      <c r="B2389" s="93">
        <v>9199997</v>
      </c>
      <c r="C2389" s="94" t="s">
        <v>273</v>
      </c>
      <c r="D2389" s="95"/>
      <c r="E2389" s="95"/>
      <c r="F2389" s="95"/>
      <c r="G2389" s="96" t="s">
        <v>274</v>
      </c>
      <c r="H2389" s="96">
        <v>33.15</v>
      </c>
      <c r="I2389" s="96">
        <v>2.7799999999999998E-2</v>
      </c>
      <c r="J2389" s="271">
        <f>+ROUND(H2389*I2389,2)</f>
        <v>0.92</v>
      </c>
    </row>
    <row r="2390" spans="1:10">
      <c r="A2390" s="84"/>
      <c r="B2390" s="93" t="s">
        <v>231</v>
      </c>
      <c r="C2390" s="94"/>
      <c r="D2390" s="95"/>
      <c r="E2390" s="95"/>
      <c r="F2390" s="95"/>
      <c r="G2390" s="96"/>
      <c r="H2390" s="96"/>
      <c r="I2390" s="96"/>
      <c r="J2390" s="271"/>
    </row>
    <row r="2391" spans="1:10">
      <c r="A2391" s="84"/>
      <c r="B2391" s="93" t="s">
        <v>231</v>
      </c>
      <c r="C2391" s="94"/>
      <c r="D2391" s="95"/>
      <c r="E2391" s="95"/>
      <c r="F2391" s="95"/>
      <c r="G2391" s="96"/>
      <c r="H2391" s="96"/>
      <c r="I2391" s="96"/>
      <c r="J2391" s="271"/>
    </row>
    <row r="2392" spans="1:10">
      <c r="A2392" s="84"/>
      <c r="B2392" s="93" t="s">
        <v>231</v>
      </c>
      <c r="C2392" s="94"/>
      <c r="D2392" s="95"/>
      <c r="E2392" s="95"/>
      <c r="F2392" s="95"/>
      <c r="G2392" s="96"/>
      <c r="H2392" s="96"/>
      <c r="I2392" s="96"/>
      <c r="J2392" s="271"/>
    </row>
    <row r="2393" spans="1:10">
      <c r="A2393" s="84"/>
      <c r="B2393" s="93" t="s">
        <v>231</v>
      </c>
      <c r="C2393" s="94"/>
      <c r="D2393" s="95"/>
      <c r="E2393" s="95"/>
      <c r="F2393" s="95"/>
      <c r="G2393" s="96"/>
      <c r="H2393" s="96"/>
      <c r="I2393" s="96"/>
      <c r="J2393" s="271"/>
    </row>
    <row r="2394" spans="1:10">
      <c r="A2394" s="84"/>
      <c r="B2394" s="93" t="s">
        <v>231</v>
      </c>
      <c r="C2394" s="94"/>
      <c r="D2394" s="95"/>
      <c r="E2394" s="95"/>
      <c r="F2394" s="95"/>
      <c r="G2394" s="96"/>
      <c r="H2394" s="96"/>
      <c r="I2394" s="96"/>
      <c r="J2394" s="271"/>
    </row>
    <row r="2395" spans="1:10">
      <c r="A2395" s="84"/>
      <c r="B2395" s="89"/>
      <c r="C2395" s="97"/>
      <c r="D2395" s="91"/>
      <c r="E2395" s="91"/>
      <c r="F2395" s="91"/>
      <c r="G2395" s="91" t="s">
        <v>275</v>
      </c>
      <c r="H2395" s="91"/>
      <c r="I2395" s="91"/>
      <c r="J2395" s="99">
        <f>+SUBTOTAL(9,J2388:J2394)</f>
        <v>4.08</v>
      </c>
    </row>
    <row r="2396" spans="1:10">
      <c r="A2396" s="84"/>
      <c r="B2396" s="89" t="s">
        <v>228</v>
      </c>
      <c r="C2396" s="90" t="s">
        <v>276</v>
      </c>
      <c r="D2396" s="91"/>
      <c r="E2396" s="91"/>
      <c r="F2396" s="91"/>
      <c r="G2396" s="92" t="s">
        <v>230</v>
      </c>
      <c r="H2396" s="92" t="s">
        <v>262</v>
      </c>
      <c r="I2396" s="92" t="s">
        <v>263</v>
      </c>
      <c r="J2396" s="99" t="s">
        <v>264</v>
      </c>
    </row>
    <row r="2397" spans="1:10">
      <c r="A2397" s="84"/>
      <c r="B2397" s="89" t="s">
        <v>698</v>
      </c>
      <c r="C2397" s="90" t="s">
        <v>699</v>
      </c>
      <c r="D2397" s="91"/>
      <c r="E2397" s="91"/>
      <c r="F2397" s="91"/>
      <c r="G2397" s="92" t="s">
        <v>234</v>
      </c>
      <c r="H2397" s="92">
        <v>1.48</v>
      </c>
      <c r="I2397" s="92">
        <v>1.1002700000000001</v>
      </c>
      <c r="J2397" s="99">
        <f>+ROUND(H2397*I2397,2)</f>
        <v>1.63</v>
      </c>
    </row>
    <row r="2398" spans="1:10">
      <c r="A2398" s="84"/>
      <c r="B2398" s="93" t="s">
        <v>231</v>
      </c>
      <c r="C2398" s="94"/>
      <c r="D2398" s="95"/>
      <c r="E2398" s="95"/>
      <c r="F2398" s="95"/>
      <c r="G2398" s="96"/>
      <c r="H2398" s="96"/>
      <c r="I2398" s="96"/>
      <c r="J2398" s="271"/>
    </row>
    <row r="2399" spans="1:10">
      <c r="A2399" s="84"/>
      <c r="B2399" s="93" t="s">
        <v>231</v>
      </c>
      <c r="C2399" s="94"/>
      <c r="D2399" s="95"/>
      <c r="E2399" s="95"/>
      <c r="F2399" s="95"/>
      <c r="G2399" s="96"/>
      <c r="H2399" s="96"/>
      <c r="I2399" s="96"/>
      <c r="J2399" s="271"/>
    </row>
    <row r="2400" spans="1:10">
      <c r="A2400" s="84"/>
      <c r="B2400" s="93" t="s">
        <v>231</v>
      </c>
      <c r="C2400" s="94"/>
      <c r="D2400" s="95"/>
      <c r="E2400" s="95"/>
      <c r="F2400" s="95"/>
      <c r="G2400" s="96"/>
      <c r="H2400" s="96"/>
      <c r="I2400" s="96"/>
      <c r="J2400" s="271"/>
    </row>
    <row r="2401" spans="1:10">
      <c r="A2401" s="84"/>
      <c r="B2401" s="93" t="s">
        <v>231</v>
      </c>
      <c r="C2401" s="94"/>
      <c r="D2401" s="95"/>
      <c r="E2401" s="95"/>
      <c r="F2401" s="95"/>
      <c r="G2401" s="96"/>
      <c r="H2401" s="96"/>
      <c r="I2401" s="96"/>
      <c r="J2401" s="271"/>
    </row>
    <row r="2402" spans="1:10">
      <c r="A2402" s="84"/>
      <c r="B2402" s="89"/>
      <c r="C2402" s="97"/>
      <c r="D2402" s="91"/>
      <c r="E2402" s="91"/>
      <c r="F2402" s="91"/>
      <c r="G2402" s="91" t="s">
        <v>279</v>
      </c>
      <c r="H2402" s="91"/>
      <c r="I2402" s="91"/>
      <c r="J2402" s="99">
        <f>+SUBTOTAL(9,J2397:J2401)</f>
        <v>1.63</v>
      </c>
    </row>
    <row r="2403" spans="1:10">
      <c r="A2403" s="84"/>
      <c r="B2403" s="89" t="s">
        <v>228</v>
      </c>
      <c r="C2403" s="90" t="s">
        <v>280</v>
      </c>
      <c r="D2403" s="92" t="s">
        <v>281</v>
      </c>
      <c r="E2403" s="92" t="s">
        <v>282</v>
      </c>
      <c r="F2403" s="92" t="s">
        <v>283</v>
      </c>
      <c r="G2403" s="92" t="s">
        <v>284</v>
      </c>
      <c r="H2403" s="92" t="s">
        <v>285</v>
      </c>
      <c r="I2403" s="92" t="s">
        <v>263</v>
      </c>
      <c r="J2403" s="99" t="s">
        <v>286</v>
      </c>
    </row>
    <row r="2404" spans="1:10">
      <c r="A2404" s="84"/>
      <c r="B2404" s="89">
        <v>416096</v>
      </c>
      <c r="C2404" s="90" t="s">
        <v>700</v>
      </c>
      <c r="D2404" s="92" t="s">
        <v>289</v>
      </c>
      <c r="E2404" s="92">
        <v>0</v>
      </c>
      <c r="F2404" s="92">
        <v>10</v>
      </c>
      <c r="G2404" s="92">
        <v>10</v>
      </c>
      <c r="H2404" s="92">
        <v>0.79</v>
      </c>
      <c r="I2404" s="92">
        <v>2.0630099999999998</v>
      </c>
      <c r="J2404" s="99">
        <f>+ROUND(G2404*H2404*I2404,2)</f>
        <v>16.3</v>
      </c>
    </row>
    <row r="2405" spans="1:10">
      <c r="A2405" s="84"/>
      <c r="B2405" s="93" t="s">
        <v>231</v>
      </c>
      <c r="C2405" s="94"/>
      <c r="D2405" s="96"/>
      <c r="E2405" s="96"/>
      <c r="F2405" s="96"/>
      <c r="G2405" s="96"/>
      <c r="H2405" s="96"/>
      <c r="I2405" s="96"/>
      <c r="J2405" s="271"/>
    </row>
    <row r="2406" spans="1:10">
      <c r="A2406" s="84"/>
      <c r="B2406" s="93" t="s">
        <v>231</v>
      </c>
      <c r="C2406" s="94"/>
      <c r="D2406" s="96"/>
      <c r="E2406" s="96"/>
      <c r="F2406" s="96"/>
      <c r="G2406" s="96"/>
      <c r="H2406" s="96"/>
      <c r="I2406" s="96"/>
      <c r="J2406" s="271"/>
    </row>
    <row r="2407" spans="1:10">
      <c r="A2407" s="84"/>
      <c r="B2407" s="93" t="s">
        <v>231</v>
      </c>
      <c r="C2407" s="94"/>
      <c r="D2407" s="96"/>
      <c r="E2407" s="96"/>
      <c r="F2407" s="96"/>
      <c r="G2407" s="96"/>
      <c r="H2407" s="96"/>
      <c r="I2407" s="96"/>
      <c r="J2407" s="271"/>
    </row>
    <row r="2408" spans="1:10">
      <c r="A2408" s="84"/>
      <c r="B2408" s="93" t="s">
        <v>231</v>
      </c>
      <c r="C2408" s="94"/>
      <c r="D2408" s="96"/>
      <c r="E2408" s="96"/>
      <c r="F2408" s="96"/>
      <c r="G2408" s="96"/>
      <c r="H2408" s="96"/>
      <c r="I2408" s="96"/>
      <c r="J2408" s="271"/>
    </row>
    <row r="2409" spans="1:10">
      <c r="A2409" s="84"/>
      <c r="B2409" s="93" t="s">
        <v>231</v>
      </c>
      <c r="C2409" s="94"/>
      <c r="D2409" s="96"/>
      <c r="E2409" s="96"/>
      <c r="F2409" s="96"/>
      <c r="G2409" s="96"/>
      <c r="H2409" s="96"/>
      <c r="I2409" s="96"/>
      <c r="J2409" s="271"/>
    </row>
    <row r="2410" spans="1:10">
      <c r="A2410" s="84"/>
      <c r="B2410" s="93" t="s">
        <v>231</v>
      </c>
      <c r="C2410" s="94"/>
      <c r="D2410" s="96"/>
      <c r="E2410" s="96"/>
      <c r="F2410" s="96"/>
      <c r="G2410" s="96"/>
      <c r="H2410" s="96"/>
      <c r="I2410" s="96"/>
      <c r="J2410" s="271"/>
    </row>
    <row r="2411" spans="1:10">
      <c r="A2411" s="84"/>
      <c r="B2411" s="89"/>
      <c r="C2411" s="97"/>
      <c r="D2411" s="91"/>
      <c r="E2411" s="91"/>
      <c r="F2411" s="91"/>
      <c r="G2411" s="91" t="s">
        <v>290</v>
      </c>
      <c r="H2411" s="91"/>
      <c r="I2411" s="91"/>
      <c r="J2411" s="99">
        <f>+SUBTOTAL(9,J2404:J2410)</f>
        <v>16.3</v>
      </c>
    </row>
    <row r="2412" spans="1:10">
      <c r="A2412" s="84"/>
      <c r="B2412" s="89" t="s">
        <v>291</v>
      </c>
      <c r="C2412" s="97"/>
      <c r="D2412" s="91"/>
      <c r="E2412" s="91"/>
      <c r="F2412" s="91"/>
      <c r="G2412" s="91"/>
      <c r="H2412" s="91"/>
      <c r="I2412" s="91"/>
      <c r="J2412" s="99">
        <f>+SUBTOTAL(9,J2386:J2410)</f>
        <v>55.160000000000011</v>
      </c>
    </row>
    <row r="2413" spans="1:10">
      <c r="A2413" s="84"/>
      <c r="B2413" s="89" t="s">
        <v>292</v>
      </c>
      <c r="C2413" s="97"/>
      <c r="D2413" s="91">
        <v>0</v>
      </c>
      <c r="E2413" s="91"/>
      <c r="F2413" s="91"/>
      <c r="G2413" s="91"/>
      <c r="H2413" s="91"/>
      <c r="I2413" s="91"/>
      <c r="J2413" s="99">
        <f>+ROUND(J2412*D2413/100,2)</f>
        <v>0</v>
      </c>
    </row>
    <row r="2414" spans="1:10" ht="14.4" thickBot="1">
      <c r="A2414" s="84"/>
      <c r="B2414" s="89" t="s">
        <v>293</v>
      </c>
      <c r="C2414" s="97"/>
      <c r="D2414" s="91"/>
      <c r="E2414" s="91"/>
      <c r="F2414" s="91"/>
      <c r="G2414" s="91"/>
      <c r="H2414" s="91"/>
      <c r="I2414" s="91"/>
      <c r="J2414" s="99">
        <f>+J2412+ J2413</f>
        <v>55.160000000000011</v>
      </c>
    </row>
    <row r="2415" spans="1:10">
      <c r="A2415" s="84"/>
      <c r="B2415" s="85" t="s">
        <v>294</v>
      </c>
      <c r="C2415" s="86"/>
      <c r="D2415" s="88"/>
      <c r="E2415" s="88"/>
      <c r="F2415" s="88" t="s">
        <v>295</v>
      </c>
      <c r="G2415" s="88"/>
      <c r="H2415" s="88"/>
      <c r="I2415" s="88" t="s">
        <v>296</v>
      </c>
      <c r="J2415" s="270"/>
    </row>
    <row r="2416" spans="1:10">
      <c r="A2416" s="84"/>
      <c r="B2416" s="93" t="s">
        <v>297</v>
      </c>
      <c r="C2416" s="84"/>
      <c r="D2416" s="95"/>
      <c r="E2416" s="95"/>
      <c r="F2416" s="95" t="s">
        <v>298</v>
      </c>
      <c r="G2416" s="95"/>
      <c r="H2416" s="95"/>
      <c r="I2416" s="95"/>
      <c r="J2416" s="276"/>
    </row>
    <row r="2417" spans="1:10">
      <c r="A2417" s="84"/>
      <c r="B2417" s="93" t="s">
        <v>299</v>
      </c>
      <c r="C2417" s="84"/>
      <c r="D2417" s="95"/>
      <c r="E2417" s="95"/>
      <c r="F2417" s="95" t="s">
        <v>300</v>
      </c>
      <c r="G2417" s="95"/>
      <c r="H2417" s="95"/>
      <c r="I2417" s="95"/>
      <c r="J2417" s="276"/>
    </row>
    <row r="2418" spans="1:10" ht="14.4" thickBot="1">
      <c r="A2418" s="84"/>
      <c r="B2418" s="100" t="s">
        <v>301</v>
      </c>
      <c r="C2418" s="84"/>
      <c r="D2418" s="95"/>
      <c r="E2418" s="95"/>
      <c r="F2418" s="95"/>
      <c r="G2418" s="95"/>
      <c r="H2418" s="95"/>
      <c r="I2418" s="95"/>
      <c r="J2418" s="277"/>
    </row>
    <row r="2419" spans="1:10">
      <c r="A2419" s="84"/>
      <c r="B2419" s="86"/>
      <c r="C2419" s="86"/>
      <c r="D2419" s="88"/>
      <c r="E2419" s="88"/>
      <c r="F2419" s="88"/>
      <c r="G2419" s="88"/>
      <c r="H2419" s="88"/>
      <c r="I2419" s="88"/>
      <c r="J2419" s="88"/>
    </row>
    <row r="2420" spans="1:10" ht="14.4" thickBot="1">
      <c r="A2420" s="84"/>
      <c r="B2420" s="84"/>
      <c r="C2420" s="84"/>
      <c r="D2420" s="95"/>
      <c r="E2420" s="95"/>
      <c r="F2420" s="95"/>
      <c r="G2420" s="95"/>
      <c r="H2420" s="95"/>
      <c r="I2420" s="95"/>
      <c r="J2420" s="95"/>
    </row>
    <row r="2421" spans="1:10">
      <c r="A2421" s="84"/>
      <c r="B2421" s="85"/>
      <c r="C2421" s="86"/>
      <c r="D2421" s="87" t="s">
        <v>227</v>
      </c>
      <c r="E2421" s="87"/>
      <c r="F2421" s="87"/>
      <c r="G2421" s="88"/>
      <c r="H2421" s="88"/>
      <c r="I2421" s="88"/>
      <c r="J2421" s="270"/>
    </row>
    <row r="2422" spans="1:10">
      <c r="A2422" s="84"/>
      <c r="B2422" s="89" t="s">
        <v>228</v>
      </c>
      <c r="C2422" s="90" t="s">
        <v>92</v>
      </c>
      <c r="D2422" s="91"/>
      <c r="E2422" s="91"/>
      <c r="F2422" s="91"/>
      <c r="G2422" s="91"/>
      <c r="H2422" s="92" t="s">
        <v>229</v>
      </c>
      <c r="I2422" s="91"/>
      <c r="J2422" s="99" t="s">
        <v>230</v>
      </c>
    </row>
    <row r="2423" spans="1:10">
      <c r="A2423" s="84"/>
      <c r="B2423" s="93" t="s">
        <v>698</v>
      </c>
      <c r="C2423" s="94" t="s">
        <v>701</v>
      </c>
      <c r="D2423" s="95"/>
      <c r="E2423" s="95"/>
      <c r="F2423" s="95"/>
      <c r="G2423" s="95"/>
      <c r="H2423" s="96" t="s">
        <v>233</v>
      </c>
      <c r="I2423" s="95"/>
      <c r="J2423" s="271" t="s">
        <v>234</v>
      </c>
    </row>
    <row r="2424" spans="1:10">
      <c r="A2424" s="84"/>
      <c r="B2424" s="89"/>
      <c r="C2424" s="90"/>
      <c r="D2424" s="91"/>
      <c r="E2424" s="92"/>
      <c r="F2424" s="92" t="s">
        <v>235</v>
      </c>
      <c r="G2424" s="92"/>
      <c r="H2424" s="92" t="s">
        <v>236</v>
      </c>
      <c r="I2424" s="92"/>
      <c r="J2424" s="99" t="s">
        <v>237</v>
      </c>
    </row>
    <row r="2425" spans="1:10">
      <c r="A2425" s="84"/>
      <c r="B2425" s="93" t="s">
        <v>228</v>
      </c>
      <c r="C2425" s="94" t="s">
        <v>238</v>
      </c>
      <c r="D2425" s="95"/>
      <c r="E2425" s="96" t="s">
        <v>239</v>
      </c>
      <c r="F2425" s="92" t="s">
        <v>240</v>
      </c>
      <c r="G2425" s="92" t="s">
        <v>241</v>
      </c>
      <c r="H2425" s="92" t="s">
        <v>240</v>
      </c>
      <c r="I2425" s="272" t="s">
        <v>241</v>
      </c>
      <c r="J2425" s="271" t="s">
        <v>242</v>
      </c>
    </row>
    <row r="2426" spans="1:10">
      <c r="A2426" s="84"/>
      <c r="B2426" s="273" t="s">
        <v>702</v>
      </c>
      <c r="C2426" s="90" t="s">
        <v>703</v>
      </c>
      <c r="D2426" s="91"/>
      <c r="E2426" s="92">
        <v>1</v>
      </c>
      <c r="F2426" s="92">
        <v>1</v>
      </c>
      <c r="G2426" s="92">
        <v>0</v>
      </c>
      <c r="H2426" s="92">
        <v>309.66000000000003</v>
      </c>
      <c r="I2426" s="92">
        <v>138.05000000000001</v>
      </c>
      <c r="J2426" s="99">
        <f>+ROUND(E2426* ((F2426*H2426) + (G2426*I2426)),2)</f>
        <v>309.66000000000003</v>
      </c>
    </row>
    <row r="2427" spans="1:10">
      <c r="A2427" s="84"/>
      <c r="B2427" s="93" t="s">
        <v>231</v>
      </c>
      <c r="C2427" s="94"/>
      <c r="D2427" s="95"/>
      <c r="E2427" s="96"/>
      <c r="F2427" s="96"/>
      <c r="G2427" s="96"/>
      <c r="H2427" s="96"/>
      <c r="I2427" s="96"/>
      <c r="J2427" s="271"/>
    </row>
    <row r="2428" spans="1:10">
      <c r="A2428" s="84"/>
      <c r="B2428" s="93" t="s">
        <v>231</v>
      </c>
      <c r="C2428" s="94"/>
      <c r="D2428" s="95"/>
      <c r="E2428" s="96"/>
      <c r="F2428" s="96"/>
      <c r="G2428" s="96"/>
      <c r="H2428" s="96"/>
      <c r="I2428" s="96"/>
      <c r="J2428" s="271"/>
    </row>
    <row r="2429" spans="1:10">
      <c r="A2429" s="84"/>
      <c r="B2429" s="93" t="s">
        <v>231</v>
      </c>
      <c r="C2429" s="94"/>
      <c r="D2429" s="95"/>
      <c r="E2429" s="96"/>
      <c r="F2429" s="96"/>
      <c r="G2429" s="96"/>
      <c r="H2429" s="96"/>
      <c r="I2429" s="96"/>
      <c r="J2429" s="271"/>
    </row>
    <row r="2430" spans="1:10">
      <c r="A2430" s="84"/>
      <c r="B2430" s="93" t="s">
        <v>231</v>
      </c>
      <c r="C2430" s="94"/>
      <c r="D2430" s="95"/>
      <c r="E2430" s="96"/>
      <c r="F2430" s="96"/>
      <c r="G2430" s="96"/>
      <c r="H2430" s="96"/>
      <c r="I2430" s="96"/>
      <c r="J2430" s="271"/>
    </row>
    <row r="2431" spans="1:10">
      <c r="A2431" s="84"/>
      <c r="B2431" s="93" t="s">
        <v>231</v>
      </c>
      <c r="C2431" s="94"/>
      <c r="D2431" s="95"/>
      <c r="E2431" s="96"/>
      <c r="F2431" s="96"/>
      <c r="G2431" s="96"/>
      <c r="H2431" s="96"/>
      <c r="I2431" s="96"/>
      <c r="J2431" s="271"/>
    </row>
    <row r="2432" spans="1:10">
      <c r="A2432" s="84"/>
      <c r="B2432" s="93" t="s">
        <v>231</v>
      </c>
      <c r="C2432" s="94"/>
      <c r="D2432" s="95"/>
      <c r="E2432" s="96"/>
      <c r="F2432" s="96"/>
      <c r="G2432" s="96"/>
      <c r="H2432" s="96"/>
      <c r="I2432" s="96"/>
      <c r="J2432" s="271"/>
    </row>
    <row r="2433" spans="1:10">
      <c r="A2433" s="84"/>
      <c r="B2433" s="89"/>
      <c r="C2433" s="97"/>
      <c r="D2433" s="91"/>
      <c r="E2433" s="91"/>
      <c r="F2433" s="91"/>
      <c r="G2433" s="91" t="s">
        <v>249</v>
      </c>
      <c r="H2433" s="91"/>
      <c r="I2433" s="91"/>
      <c r="J2433" s="99">
        <f>+SUBTOTAL(9,J2426:J2432)</f>
        <v>309.66000000000003</v>
      </c>
    </row>
    <row r="2434" spans="1:10">
      <c r="A2434" s="84"/>
      <c r="B2434" s="89" t="s">
        <v>228</v>
      </c>
      <c r="C2434" s="90" t="s">
        <v>250</v>
      </c>
      <c r="D2434" s="91"/>
      <c r="E2434" s="91"/>
      <c r="F2434" s="91"/>
      <c r="G2434" s="91"/>
      <c r="H2434" s="92" t="s">
        <v>239</v>
      </c>
      <c r="I2434" s="92" t="s">
        <v>251</v>
      </c>
      <c r="J2434" s="99" t="s">
        <v>252</v>
      </c>
    </row>
    <row r="2435" spans="1:10">
      <c r="A2435" s="84"/>
      <c r="B2435" s="89" t="s">
        <v>253</v>
      </c>
      <c r="C2435" s="90" t="s">
        <v>254</v>
      </c>
      <c r="D2435" s="91"/>
      <c r="E2435" s="91"/>
      <c r="F2435" s="91"/>
      <c r="G2435" s="91"/>
      <c r="H2435" s="92">
        <v>1</v>
      </c>
      <c r="I2435" s="92">
        <v>21.04</v>
      </c>
      <c r="J2435" s="99">
        <f>+ROUND(H2435*I2435,2)</f>
        <v>21.04</v>
      </c>
    </row>
    <row r="2436" spans="1:10">
      <c r="A2436" s="84"/>
      <c r="B2436" s="93" t="s">
        <v>231</v>
      </c>
      <c r="C2436" s="94"/>
      <c r="D2436" s="95"/>
      <c r="E2436" s="95"/>
      <c r="F2436" s="95"/>
      <c r="G2436" s="95"/>
      <c r="H2436" s="96"/>
      <c r="I2436" s="96"/>
      <c r="J2436" s="271"/>
    </row>
    <row r="2437" spans="1:10">
      <c r="A2437" s="84"/>
      <c r="B2437" s="93" t="s">
        <v>231</v>
      </c>
      <c r="C2437" s="94"/>
      <c r="D2437" s="95"/>
      <c r="E2437" s="95"/>
      <c r="F2437" s="95"/>
      <c r="G2437" s="95"/>
      <c r="H2437" s="96"/>
      <c r="I2437" s="96"/>
      <c r="J2437" s="271"/>
    </row>
    <row r="2438" spans="1:10">
      <c r="A2438" s="84"/>
      <c r="B2438" s="93" t="s">
        <v>231</v>
      </c>
      <c r="C2438" s="94"/>
      <c r="D2438" s="95"/>
      <c r="E2438" s="95"/>
      <c r="F2438" s="95"/>
      <c r="G2438" s="95"/>
      <c r="H2438" s="96"/>
      <c r="I2438" s="96"/>
      <c r="J2438" s="271"/>
    </row>
    <row r="2439" spans="1:10">
      <c r="A2439" s="84"/>
      <c r="B2439" s="93" t="s">
        <v>231</v>
      </c>
      <c r="C2439" s="94"/>
      <c r="D2439" s="95"/>
      <c r="E2439" s="95"/>
      <c r="F2439" s="95"/>
      <c r="G2439" s="95"/>
      <c r="H2439" s="96"/>
      <c r="I2439" s="96"/>
      <c r="J2439" s="271"/>
    </row>
    <row r="2440" spans="1:10">
      <c r="A2440" s="84"/>
      <c r="B2440" s="93" t="s">
        <v>231</v>
      </c>
      <c r="C2440" s="94"/>
      <c r="D2440" s="95"/>
      <c r="E2440" s="95"/>
      <c r="F2440" s="95"/>
      <c r="G2440" s="95"/>
      <c r="H2440" s="96"/>
      <c r="I2440" s="96"/>
      <c r="J2440" s="271"/>
    </row>
    <row r="2441" spans="1:10">
      <c r="A2441" s="84"/>
      <c r="B2441" s="93" t="s">
        <v>231</v>
      </c>
      <c r="C2441" s="94"/>
      <c r="D2441" s="95"/>
      <c r="E2441" s="95"/>
      <c r="F2441" s="95"/>
      <c r="G2441" s="95"/>
      <c r="H2441" s="96"/>
      <c r="I2441" s="96"/>
      <c r="J2441" s="271"/>
    </row>
    <row r="2442" spans="1:10">
      <c r="A2442" s="84"/>
      <c r="B2442" s="89"/>
      <c r="C2442" s="97"/>
      <c r="D2442" s="91"/>
      <c r="E2442" s="91"/>
      <c r="F2442" s="91"/>
      <c r="G2442" s="91" t="s">
        <v>255</v>
      </c>
      <c r="H2442" s="91"/>
      <c r="I2442" s="91"/>
      <c r="J2442" s="99">
        <f>+SUBTOTAL(9,J2435:J2441)</f>
        <v>21.04</v>
      </c>
    </row>
    <row r="2443" spans="1:10">
      <c r="A2443" s="84"/>
      <c r="B2443" s="89"/>
      <c r="C2443" s="97"/>
      <c r="D2443" s="91"/>
      <c r="E2443" s="91"/>
      <c r="F2443" s="91" t="s">
        <v>256</v>
      </c>
      <c r="G2443" s="91"/>
      <c r="H2443" s="91"/>
      <c r="I2443" s="91">
        <v>0</v>
      </c>
      <c r="J2443" s="99">
        <f>+ROUND(I2443*J2442,2)</f>
        <v>0</v>
      </c>
    </row>
    <row r="2444" spans="1:10">
      <c r="A2444" s="84"/>
      <c r="B2444" s="89"/>
      <c r="C2444" s="97"/>
      <c r="D2444" s="91"/>
      <c r="E2444" s="91"/>
      <c r="F2444" s="91" t="s">
        <v>257</v>
      </c>
      <c r="G2444" s="91"/>
      <c r="H2444" s="91"/>
      <c r="I2444" s="91"/>
      <c r="J2444" s="99">
        <f>+SUBTOTAL(9,J2435:J2443)</f>
        <v>21.04</v>
      </c>
    </row>
    <row r="2445" spans="1:10">
      <c r="A2445" s="84"/>
      <c r="B2445" s="98"/>
      <c r="C2445" s="97"/>
      <c r="D2445" s="91"/>
      <c r="E2445" s="91"/>
      <c r="F2445" s="91"/>
      <c r="G2445" s="91" t="s">
        <v>258</v>
      </c>
      <c r="H2445" s="91"/>
      <c r="I2445" s="91"/>
      <c r="J2445" s="275">
        <f>+SUBTOTAL(9,J2426:J2444)</f>
        <v>330.70000000000005</v>
      </c>
    </row>
    <row r="2446" spans="1:10">
      <c r="A2446" s="84"/>
      <c r="B2446" s="98"/>
      <c r="C2446" s="97" t="s">
        <v>259</v>
      </c>
      <c r="D2446" s="91">
        <v>230.19</v>
      </c>
      <c r="E2446" s="91"/>
      <c r="F2446" s="91"/>
      <c r="G2446" s="91" t="s">
        <v>260</v>
      </c>
      <c r="H2446" s="91"/>
      <c r="I2446" s="91"/>
      <c r="J2446" s="275">
        <f>+ROUND(J2445/D2446,2)</f>
        <v>1.44</v>
      </c>
    </row>
    <row r="2447" spans="1:10">
      <c r="A2447" s="84"/>
      <c r="B2447" s="89" t="s">
        <v>228</v>
      </c>
      <c r="C2447" s="90" t="s">
        <v>261</v>
      </c>
      <c r="D2447" s="91"/>
      <c r="E2447" s="91"/>
      <c r="F2447" s="91"/>
      <c r="G2447" s="92" t="s">
        <v>230</v>
      </c>
      <c r="H2447" s="92" t="s">
        <v>262</v>
      </c>
      <c r="I2447" s="92" t="s">
        <v>263</v>
      </c>
      <c r="J2447" s="99" t="s">
        <v>264</v>
      </c>
    </row>
    <row r="2448" spans="1:10">
      <c r="A2448" s="84"/>
      <c r="B2448" s="89">
        <v>9199997</v>
      </c>
      <c r="C2448" s="90" t="s">
        <v>273</v>
      </c>
      <c r="D2448" s="91"/>
      <c r="E2448" s="91"/>
      <c r="F2448" s="91"/>
      <c r="G2448" s="92" t="s">
        <v>274</v>
      </c>
      <c r="H2448" s="92">
        <v>1.44</v>
      </c>
      <c r="I2448" s="92">
        <v>2.7799999999999998E-2</v>
      </c>
      <c r="J2448" s="99">
        <f>+ROUND(H2448*I2448,2)</f>
        <v>0.04</v>
      </c>
    </row>
    <row r="2449" spans="1:10">
      <c r="A2449" s="84"/>
      <c r="B2449" s="93" t="s">
        <v>231</v>
      </c>
      <c r="C2449" s="94"/>
      <c r="D2449" s="95"/>
      <c r="E2449" s="95"/>
      <c r="F2449" s="95"/>
      <c r="G2449" s="96"/>
      <c r="H2449" s="96"/>
      <c r="I2449" s="96"/>
      <c r="J2449" s="271"/>
    </row>
    <row r="2450" spans="1:10">
      <c r="A2450" s="84"/>
      <c r="B2450" s="93" t="s">
        <v>231</v>
      </c>
      <c r="C2450" s="94"/>
      <c r="D2450" s="95"/>
      <c r="E2450" s="95"/>
      <c r="F2450" s="95"/>
      <c r="G2450" s="96"/>
      <c r="H2450" s="96"/>
      <c r="I2450" s="96"/>
      <c r="J2450" s="271"/>
    </row>
    <row r="2451" spans="1:10">
      <c r="A2451" s="84"/>
      <c r="B2451" s="93" t="s">
        <v>231</v>
      </c>
      <c r="C2451" s="94"/>
      <c r="D2451" s="95"/>
      <c r="E2451" s="95"/>
      <c r="F2451" s="95"/>
      <c r="G2451" s="96"/>
      <c r="H2451" s="96"/>
      <c r="I2451" s="96"/>
      <c r="J2451" s="271"/>
    </row>
    <row r="2452" spans="1:10">
      <c r="A2452" s="84"/>
      <c r="B2452" s="93" t="s">
        <v>231</v>
      </c>
      <c r="C2452" s="94"/>
      <c r="D2452" s="95"/>
      <c r="E2452" s="95"/>
      <c r="F2452" s="95"/>
      <c r="G2452" s="96"/>
      <c r="H2452" s="96"/>
      <c r="I2452" s="96"/>
      <c r="J2452" s="271"/>
    </row>
    <row r="2453" spans="1:10">
      <c r="A2453" s="84"/>
      <c r="B2453" s="93" t="s">
        <v>231</v>
      </c>
      <c r="C2453" s="94"/>
      <c r="D2453" s="95"/>
      <c r="E2453" s="95"/>
      <c r="F2453" s="95"/>
      <c r="G2453" s="96"/>
      <c r="H2453" s="96"/>
      <c r="I2453" s="96"/>
      <c r="J2453" s="271"/>
    </row>
    <row r="2454" spans="1:10">
      <c r="A2454" s="84"/>
      <c r="B2454" s="93" t="s">
        <v>231</v>
      </c>
      <c r="C2454" s="94"/>
      <c r="D2454" s="95"/>
      <c r="E2454" s="95"/>
      <c r="F2454" s="95"/>
      <c r="G2454" s="96"/>
      <c r="H2454" s="96"/>
      <c r="I2454" s="96"/>
      <c r="J2454" s="271"/>
    </row>
    <row r="2455" spans="1:10">
      <c r="A2455" s="84"/>
      <c r="B2455" s="89"/>
      <c r="C2455" s="97"/>
      <c r="D2455" s="91"/>
      <c r="E2455" s="91"/>
      <c r="F2455" s="91"/>
      <c r="G2455" s="91" t="s">
        <v>275</v>
      </c>
      <c r="H2455" s="91"/>
      <c r="I2455" s="91"/>
      <c r="J2455" s="99">
        <f>+SUBTOTAL(9,J2448:J2454)</f>
        <v>0.04</v>
      </c>
    </row>
    <row r="2456" spans="1:10">
      <c r="A2456" s="84"/>
      <c r="B2456" s="89" t="s">
        <v>228</v>
      </c>
      <c r="C2456" s="90" t="s">
        <v>276</v>
      </c>
      <c r="D2456" s="91"/>
      <c r="E2456" s="91"/>
      <c r="F2456" s="91"/>
      <c r="G2456" s="92" t="s">
        <v>230</v>
      </c>
      <c r="H2456" s="92" t="s">
        <v>262</v>
      </c>
      <c r="I2456" s="92" t="s">
        <v>263</v>
      </c>
      <c r="J2456" s="99" t="s">
        <v>264</v>
      </c>
    </row>
    <row r="2457" spans="1:10">
      <c r="A2457" s="84"/>
      <c r="B2457" s="89" t="s">
        <v>231</v>
      </c>
      <c r="C2457" s="90"/>
      <c r="D2457" s="91"/>
      <c r="E2457" s="91"/>
      <c r="F2457" s="91"/>
      <c r="G2457" s="92"/>
      <c r="H2457" s="92"/>
      <c r="I2457" s="92"/>
      <c r="J2457" s="99"/>
    </row>
    <row r="2458" spans="1:10">
      <c r="A2458" s="84"/>
      <c r="B2458" s="93" t="s">
        <v>231</v>
      </c>
      <c r="C2458" s="94"/>
      <c r="D2458" s="95"/>
      <c r="E2458" s="95"/>
      <c r="F2458" s="95"/>
      <c r="G2458" s="96"/>
      <c r="H2458" s="96"/>
      <c r="I2458" s="96"/>
      <c r="J2458" s="271"/>
    </row>
    <row r="2459" spans="1:10">
      <c r="A2459" s="84"/>
      <c r="B2459" s="93" t="s">
        <v>231</v>
      </c>
      <c r="C2459" s="94"/>
      <c r="D2459" s="95"/>
      <c r="E2459" s="95"/>
      <c r="F2459" s="95"/>
      <c r="G2459" s="96"/>
      <c r="H2459" s="96"/>
      <c r="I2459" s="96"/>
      <c r="J2459" s="271"/>
    </row>
    <row r="2460" spans="1:10">
      <c r="A2460" s="84"/>
      <c r="B2460" s="93" t="s">
        <v>231</v>
      </c>
      <c r="C2460" s="94"/>
      <c r="D2460" s="95"/>
      <c r="E2460" s="95"/>
      <c r="F2460" s="95"/>
      <c r="G2460" s="96"/>
      <c r="H2460" s="96"/>
      <c r="I2460" s="96"/>
      <c r="J2460" s="271"/>
    </row>
    <row r="2461" spans="1:10">
      <c r="A2461" s="84"/>
      <c r="B2461" s="93" t="s">
        <v>231</v>
      </c>
      <c r="C2461" s="94"/>
      <c r="D2461" s="95"/>
      <c r="E2461" s="95"/>
      <c r="F2461" s="95"/>
      <c r="G2461" s="96"/>
      <c r="H2461" s="96"/>
      <c r="I2461" s="96"/>
      <c r="J2461" s="271"/>
    </row>
    <row r="2462" spans="1:10">
      <c r="A2462" s="84"/>
      <c r="B2462" s="89"/>
      <c r="C2462" s="97"/>
      <c r="D2462" s="91"/>
      <c r="E2462" s="91"/>
      <c r="F2462" s="91"/>
      <c r="G2462" s="91" t="s">
        <v>279</v>
      </c>
      <c r="H2462" s="91"/>
      <c r="I2462" s="91"/>
      <c r="J2462" s="99">
        <f>+SUBTOTAL(9,J2457:J2461)</f>
        <v>0</v>
      </c>
    </row>
    <row r="2463" spans="1:10">
      <c r="A2463" s="84"/>
      <c r="B2463" s="89" t="s">
        <v>228</v>
      </c>
      <c r="C2463" s="90" t="s">
        <v>280</v>
      </c>
      <c r="D2463" s="92" t="s">
        <v>281</v>
      </c>
      <c r="E2463" s="92" t="s">
        <v>282</v>
      </c>
      <c r="F2463" s="92" t="s">
        <v>283</v>
      </c>
      <c r="G2463" s="92" t="s">
        <v>284</v>
      </c>
      <c r="H2463" s="92" t="s">
        <v>285</v>
      </c>
      <c r="I2463" s="92" t="s">
        <v>263</v>
      </c>
      <c r="J2463" s="99" t="s">
        <v>286</v>
      </c>
    </row>
    <row r="2464" spans="1:10">
      <c r="A2464" s="84"/>
      <c r="B2464" s="89" t="s">
        <v>231</v>
      </c>
      <c r="C2464" s="90"/>
      <c r="D2464" s="92"/>
      <c r="E2464" s="92"/>
      <c r="F2464" s="92"/>
      <c r="G2464" s="92"/>
      <c r="H2464" s="92"/>
      <c r="I2464" s="92"/>
      <c r="J2464" s="99"/>
    </row>
    <row r="2465" spans="1:10">
      <c r="A2465" s="84"/>
      <c r="B2465" s="93" t="s">
        <v>231</v>
      </c>
      <c r="C2465" s="94"/>
      <c r="D2465" s="96"/>
      <c r="E2465" s="96"/>
      <c r="F2465" s="96"/>
      <c r="G2465" s="96"/>
      <c r="H2465" s="96"/>
      <c r="I2465" s="96"/>
      <c r="J2465" s="271"/>
    </row>
    <row r="2466" spans="1:10">
      <c r="A2466" s="84"/>
      <c r="B2466" s="93" t="s">
        <v>231</v>
      </c>
      <c r="C2466" s="94"/>
      <c r="D2466" s="96"/>
      <c r="E2466" s="96"/>
      <c r="F2466" s="96"/>
      <c r="G2466" s="96"/>
      <c r="H2466" s="96"/>
      <c r="I2466" s="96"/>
      <c r="J2466" s="271"/>
    </row>
    <row r="2467" spans="1:10">
      <c r="A2467" s="84"/>
      <c r="B2467" s="93" t="s">
        <v>231</v>
      </c>
      <c r="C2467" s="94"/>
      <c r="D2467" s="96"/>
      <c r="E2467" s="96"/>
      <c r="F2467" s="96"/>
      <c r="G2467" s="96"/>
      <c r="H2467" s="96"/>
      <c r="I2467" s="96"/>
      <c r="J2467" s="271"/>
    </row>
    <row r="2468" spans="1:10">
      <c r="A2468" s="84"/>
      <c r="B2468" s="93" t="s">
        <v>231</v>
      </c>
      <c r="C2468" s="94"/>
      <c r="D2468" s="96"/>
      <c r="E2468" s="96"/>
      <c r="F2468" s="96"/>
      <c r="G2468" s="96"/>
      <c r="H2468" s="96"/>
      <c r="I2468" s="96"/>
      <c r="J2468" s="271"/>
    </row>
    <row r="2469" spans="1:10">
      <c r="A2469" s="84"/>
      <c r="B2469" s="93" t="s">
        <v>231</v>
      </c>
      <c r="C2469" s="94"/>
      <c r="D2469" s="96"/>
      <c r="E2469" s="96"/>
      <c r="F2469" s="96"/>
      <c r="G2469" s="96"/>
      <c r="H2469" s="96"/>
      <c r="I2469" s="96"/>
      <c r="J2469" s="271"/>
    </row>
    <row r="2470" spans="1:10">
      <c r="A2470" s="84"/>
      <c r="B2470" s="93" t="s">
        <v>231</v>
      </c>
      <c r="C2470" s="94"/>
      <c r="D2470" s="96"/>
      <c r="E2470" s="96"/>
      <c r="F2470" s="96"/>
      <c r="G2470" s="96"/>
      <c r="H2470" s="96"/>
      <c r="I2470" s="96"/>
      <c r="J2470" s="271"/>
    </row>
    <row r="2471" spans="1:10">
      <c r="A2471" s="84"/>
      <c r="B2471" s="89"/>
      <c r="C2471" s="97"/>
      <c r="D2471" s="91"/>
      <c r="E2471" s="91"/>
      <c r="F2471" s="91"/>
      <c r="G2471" s="91" t="s">
        <v>290</v>
      </c>
      <c r="H2471" s="91"/>
      <c r="I2471" s="91"/>
      <c r="J2471" s="99">
        <f>+SUBTOTAL(9,J2464:J2470)</f>
        <v>0</v>
      </c>
    </row>
    <row r="2472" spans="1:10">
      <c r="A2472" s="84"/>
      <c r="B2472" s="89" t="s">
        <v>291</v>
      </c>
      <c r="C2472" s="97"/>
      <c r="D2472" s="91"/>
      <c r="E2472" s="91"/>
      <c r="F2472" s="91"/>
      <c r="G2472" s="91"/>
      <c r="H2472" s="91"/>
      <c r="I2472" s="91"/>
      <c r="J2472" s="99">
        <f>+SUBTOTAL(9,J2446:J2470)</f>
        <v>1.48</v>
      </c>
    </row>
    <row r="2473" spans="1:10">
      <c r="A2473" s="84"/>
      <c r="B2473" s="89" t="s">
        <v>292</v>
      </c>
      <c r="C2473" s="97"/>
      <c r="D2473" s="91">
        <v>0</v>
      </c>
      <c r="E2473" s="91"/>
      <c r="F2473" s="91"/>
      <c r="G2473" s="91"/>
      <c r="H2473" s="91"/>
      <c r="I2473" s="91"/>
      <c r="J2473" s="99">
        <f>+ROUND(J2472*D2473/100,2)</f>
        <v>0</v>
      </c>
    </row>
    <row r="2474" spans="1:10" ht="14.4" thickBot="1">
      <c r="A2474" s="84"/>
      <c r="B2474" s="89" t="s">
        <v>293</v>
      </c>
      <c r="C2474" s="97"/>
      <c r="D2474" s="91"/>
      <c r="E2474" s="91"/>
      <c r="F2474" s="91"/>
      <c r="G2474" s="91"/>
      <c r="H2474" s="91"/>
      <c r="I2474" s="91"/>
      <c r="J2474" s="99">
        <f>+J2472+ J2473</f>
        <v>1.48</v>
      </c>
    </row>
    <row r="2475" spans="1:10">
      <c r="A2475" s="84"/>
      <c r="B2475" s="85" t="s">
        <v>294</v>
      </c>
      <c r="C2475" s="86"/>
      <c r="D2475" s="88"/>
      <c r="E2475" s="88"/>
      <c r="F2475" s="88" t="s">
        <v>295</v>
      </c>
      <c r="G2475" s="88"/>
      <c r="H2475" s="88"/>
      <c r="I2475" s="88" t="s">
        <v>296</v>
      </c>
      <c r="J2475" s="270"/>
    </row>
    <row r="2476" spans="1:10">
      <c r="A2476" s="84"/>
      <c r="B2476" s="93" t="s">
        <v>297</v>
      </c>
      <c r="C2476" s="84"/>
      <c r="D2476" s="95"/>
      <c r="E2476" s="95"/>
      <c r="F2476" s="95" t="s">
        <v>298</v>
      </c>
      <c r="G2476" s="95"/>
      <c r="H2476" s="95"/>
      <c r="I2476" s="95"/>
      <c r="J2476" s="276"/>
    </row>
    <row r="2477" spans="1:10">
      <c r="A2477" s="84"/>
      <c r="B2477" s="93" t="s">
        <v>299</v>
      </c>
      <c r="C2477" s="84"/>
      <c r="D2477" s="95"/>
      <c r="E2477" s="95"/>
      <c r="F2477" s="95" t="s">
        <v>300</v>
      </c>
      <c r="G2477" s="95"/>
      <c r="H2477" s="95"/>
      <c r="I2477" s="95"/>
      <c r="J2477" s="276"/>
    </row>
    <row r="2478" spans="1:10" ht="14.4" thickBot="1">
      <c r="A2478" s="84"/>
      <c r="B2478" s="100" t="s">
        <v>301</v>
      </c>
      <c r="C2478" s="84"/>
      <c r="D2478" s="95"/>
      <c r="E2478" s="95"/>
      <c r="F2478" s="95"/>
      <c r="G2478" s="95"/>
      <c r="H2478" s="95"/>
      <c r="I2478" s="95"/>
      <c r="J2478" s="277"/>
    </row>
    <row r="2479" spans="1:10">
      <c r="A2479" s="84"/>
      <c r="B2479" s="86"/>
      <c r="C2479" s="86"/>
      <c r="D2479" s="88"/>
      <c r="E2479" s="88"/>
      <c r="F2479" s="88"/>
      <c r="G2479" s="88"/>
      <c r="H2479" s="88"/>
      <c r="I2479" s="88"/>
      <c r="J2479" s="88"/>
    </row>
    <row r="2480" spans="1:10" ht="14.4" thickBot="1">
      <c r="A2480" s="84"/>
      <c r="B2480" s="84"/>
      <c r="C2480" s="84"/>
      <c r="D2480" s="95"/>
      <c r="E2480" s="95"/>
      <c r="F2480" s="95"/>
      <c r="G2480" s="95"/>
      <c r="H2480" s="95"/>
      <c r="I2480" s="95"/>
      <c r="J2480" s="95"/>
    </row>
    <row r="2481" spans="1:10">
      <c r="A2481" s="84"/>
      <c r="B2481" s="85"/>
      <c r="C2481" s="86"/>
      <c r="D2481" s="87" t="s">
        <v>227</v>
      </c>
      <c r="E2481" s="87"/>
      <c r="F2481" s="87"/>
      <c r="G2481" s="88"/>
      <c r="H2481" s="88"/>
      <c r="I2481" s="88"/>
      <c r="J2481" s="270"/>
    </row>
    <row r="2482" spans="1:10">
      <c r="A2482" s="84"/>
      <c r="B2482" s="89" t="s">
        <v>228</v>
      </c>
      <c r="C2482" s="90" t="s">
        <v>92</v>
      </c>
      <c r="D2482" s="91"/>
      <c r="E2482" s="91"/>
      <c r="F2482" s="91"/>
      <c r="G2482" s="91"/>
      <c r="H2482" s="92" t="s">
        <v>229</v>
      </c>
      <c r="I2482" s="91"/>
      <c r="J2482" s="99" t="s">
        <v>230</v>
      </c>
    </row>
    <row r="2483" spans="1:10">
      <c r="A2483" s="84"/>
      <c r="B2483" s="93" t="s">
        <v>231</v>
      </c>
      <c r="C2483" s="94" t="s">
        <v>704</v>
      </c>
      <c r="D2483" s="95"/>
      <c r="E2483" s="95"/>
      <c r="F2483" s="95"/>
      <c r="G2483" s="95"/>
      <c r="H2483" s="96" t="s">
        <v>233</v>
      </c>
      <c r="I2483" s="95"/>
      <c r="J2483" s="271" t="s">
        <v>234</v>
      </c>
    </row>
    <row r="2484" spans="1:10">
      <c r="A2484" s="84"/>
      <c r="B2484" s="89"/>
      <c r="C2484" s="90"/>
      <c r="D2484" s="91"/>
      <c r="E2484" s="92"/>
      <c r="F2484" s="92" t="s">
        <v>235</v>
      </c>
      <c r="G2484" s="92"/>
      <c r="H2484" s="92" t="s">
        <v>236</v>
      </c>
      <c r="I2484" s="92"/>
      <c r="J2484" s="99" t="s">
        <v>237</v>
      </c>
    </row>
    <row r="2485" spans="1:10">
      <c r="A2485" s="84"/>
      <c r="B2485" s="93" t="s">
        <v>228</v>
      </c>
      <c r="C2485" s="94" t="s">
        <v>238</v>
      </c>
      <c r="D2485" s="95"/>
      <c r="E2485" s="96" t="s">
        <v>239</v>
      </c>
      <c r="F2485" s="92" t="s">
        <v>240</v>
      </c>
      <c r="G2485" s="92" t="s">
        <v>241</v>
      </c>
      <c r="H2485" s="92" t="s">
        <v>240</v>
      </c>
      <c r="I2485" s="272" t="s">
        <v>241</v>
      </c>
      <c r="J2485" s="271" t="s">
        <v>242</v>
      </c>
    </row>
    <row r="2486" spans="1:10">
      <c r="A2486" s="84"/>
      <c r="B2486" s="273" t="s">
        <v>705</v>
      </c>
      <c r="C2486" s="90" t="s">
        <v>706</v>
      </c>
      <c r="D2486" s="91"/>
      <c r="E2486" s="92">
        <v>1</v>
      </c>
      <c r="F2486" s="92">
        <v>1</v>
      </c>
      <c r="G2486" s="92">
        <v>0</v>
      </c>
      <c r="H2486" s="92">
        <v>240.62</v>
      </c>
      <c r="I2486" s="92">
        <v>97.43</v>
      </c>
      <c r="J2486" s="99">
        <f>+ROUND(E2486* ((F2486*H2486) + (G2486*I2486)),2)</f>
        <v>240.62</v>
      </c>
    </row>
    <row r="2487" spans="1:10">
      <c r="A2487" s="84"/>
      <c r="B2487" s="274" t="s">
        <v>400</v>
      </c>
      <c r="C2487" s="94" t="s">
        <v>401</v>
      </c>
      <c r="D2487" s="95"/>
      <c r="E2487" s="96">
        <v>1</v>
      </c>
      <c r="F2487" s="96">
        <v>0.53</v>
      </c>
      <c r="G2487" s="96">
        <v>0.47</v>
      </c>
      <c r="H2487" s="96">
        <v>257.73</v>
      </c>
      <c r="I2487" s="96">
        <v>71.84</v>
      </c>
      <c r="J2487" s="271">
        <f>+ROUND(E2487* ((F2487*H2487) + (G2487*I2487)),2)</f>
        <v>170.36</v>
      </c>
    </row>
    <row r="2488" spans="1:10">
      <c r="A2488" s="84"/>
      <c r="B2488" s="274" t="s">
        <v>707</v>
      </c>
      <c r="C2488" s="94" t="s">
        <v>708</v>
      </c>
      <c r="D2488" s="95"/>
      <c r="E2488" s="96">
        <v>1</v>
      </c>
      <c r="F2488" s="96">
        <v>0.86</v>
      </c>
      <c r="G2488" s="96">
        <v>0.14000000000000001</v>
      </c>
      <c r="H2488" s="96">
        <v>206.72</v>
      </c>
      <c r="I2488" s="96">
        <v>87.63</v>
      </c>
      <c r="J2488" s="271">
        <f>+ROUND(E2488* ((F2488*H2488) + (G2488*I2488)),2)</f>
        <v>190.05</v>
      </c>
    </row>
    <row r="2489" spans="1:10">
      <c r="A2489" s="84"/>
      <c r="B2489" s="93" t="s">
        <v>231</v>
      </c>
      <c r="C2489" s="94"/>
      <c r="D2489" s="95"/>
      <c r="E2489" s="96"/>
      <c r="F2489" s="96"/>
      <c r="G2489" s="96"/>
      <c r="H2489" s="96"/>
      <c r="I2489" s="96"/>
      <c r="J2489" s="271"/>
    </row>
    <row r="2490" spans="1:10">
      <c r="A2490" s="84"/>
      <c r="B2490" s="93" t="s">
        <v>231</v>
      </c>
      <c r="C2490" s="94"/>
      <c r="D2490" s="95"/>
      <c r="E2490" s="96"/>
      <c r="F2490" s="96"/>
      <c r="G2490" s="96"/>
      <c r="H2490" s="96"/>
      <c r="I2490" s="96"/>
      <c r="J2490" s="271"/>
    </row>
    <row r="2491" spans="1:10">
      <c r="A2491" s="84"/>
      <c r="B2491" s="93" t="s">
        <v>231</v>
      </c>
      <c r="C2491" s="94"/>
      <c r="D2491" s="95"/>
      <c r="E2491" s="96"/>
      <c r="F2491" s="96"/>
      <c r="G2491" s="96"/>
      <c r="H2491" s="96"/>
      <c r="I2491" s="96"/>
      <c r="J2491" s="271"/>
    </row>
    <row r="2492" spans="1:10">
      <c r="A2492" s="84"/>
      <c r="B2492" s="93" t="s">
        <v>231</v>
      </c>
      <c r="C2492" s="94"/>
      <c r="D2492" s="95"/>
      <c r="E2492" s="96"/>
      <c r="F2492" s="96"/>
      <c r="G2492" s="96"/>
      <c r="H2492" s="96"/>
      <c r="I2492" s="96"/>
      <c r="J2492" s="271"/>
    </row>
    <row r="2493" spans="1:10">
      <c r="A2493" s="84"/>
      <c r="B2493" s="89"/>
      <c r="C2493" s="97"/>
      <c r="D2493" s="91"/>
      <c r="E2493" s="91"/>
      <c r="F2493" s="91"/>
      <c r="G2493" s="91" t="s">
        <v>249</v>
      </c>
      <c r="H2493" s="91"/>
      <c r="I2493" s="91"/>
      <c r="J2493" s="99">
        <f>+SUBTOTAL(9,J2486:J2492)</f>
        <v>601.03</v>
      </c>
    </row>
    <row r="2494" spans="1:10">
      <c r="A2494" s="84"/>
      <c r="B2494" s="89" t="s">
        <v>228</v>
      </c>
      <c r="C2494" s="90" t="s">
        <v>250</v>
      </c>
      <c r="D2494" s="91"/>
      <c r="E2494" s="91"/>
      <c r="F2494" s="91"/>
      <c r="G2494" s="91"/>
      <c r="H2494" s="92" t="s">
        <v>239</v>
      </c>
      <c r="I2494" s="92" t="s">
        <v>251</v>
      </c>
      <c r="J2494" s="99" t="s">
        <v>252</v>
      </c>
    </row>
    <row r="2495" spans="1:10">
      <c r="A2495" s="84"/>
      <c r="B2495" s="89" t="s">
        <v>253</v>
      </c>
      <c r="C2495" s="90" t="s">
        <v>254</v>
      </c>
      <c r="D2495" s="91"/>
      <c r="E2495" s="91"/>
      <c r="F2495" s="91"/>
      <c r="G2495" s="91"/>
      <c r="H2495" s="92">
        <v>3</v>
      </c>
      <c r="I2495" s="92">
        <v>21.04</v>
      </c>
      <c r="J2495" s="99">
        <f>+ROUND(H2495*I2495,2)</f>
        <v>63.12</v>
      </c>
    </row>
    <row r="2496" spans="1:10">
      <c r="A2496" s="84"/>
      <c r="B2496" s="93" t="s">
        <v>231</v>
      </c>
      <c r="C2496" s="94"/>
      <c r="D2496" s="95"/>
      <c r="E2496" s="95"/>
      <c r="F2496" s="95"/>
      <c r="G2496" s="95"/>
      <c r="H2496" s="96"/>
      <c r="I2496" s="96"/>
      <c r="J2496" s="271"/>
    </row>
    <row r="2497" spans="1:10">
      <c r="A2497" s="84"/>
      <c r="B2497" s="93" t="s">
        <v>231</v>
      </c>
      <c r="C2497" s="94"/>
      <c r="D2497" s="95"/>
      <c r="E2497" s="95"/>
      <c r="F2497" s="95"/>
      <c r="G2497" s="95"/>
      <c r="H2497" s="96"/>
      <c r="I2497" s="96"/>
      <c r="J2497" s="271"/>
    </row>
    <row r="2498" spans="1:10">
      <c r="A2498" s="84"/>
      <c r="B2498" s="93" t="s">
        <v>231</v>
      </c>
      <c r="C2498" s="94"/>
      <c r="D2498" s="95"/>
      <c r="E2498" s="95"/>
      <c r="F2498" s="95"/>
      <c r="G2498" s="95"/>
      <c r="H2498" s="96"/>
      <c r="I2498" s="96"/>
      <c r="J2498" s="271"/>
    </row>
    <row r="2499" spans="1:10">
      <c r="A2499" s="84"/>
      <c r="B2499" s="93" t="s">
        <v>231</v>
      </c>
      <c r="C2499" s="94"/>
      <c r="D2499" s="95"/>
      <c r="E2499" s="95"/>
      <c r="F2499" s="95"/>
      <c r="G2499" s="95"/>
      <c r="H2499" s="96"/>
      <c r="I2499" s="96"/>
      <c r="J2499" s="271"/>
    </row>
    <row r="2500" spans="1:10">
      <c r="A2500" s="84"/>
      <c r="B2500" s="93" t="s">
        <v>231</v>
      </c>
      <c r="C2500" s="94"/>
      <c r="D2500" s="95"/>
      <c r="E2500" s="95"/>
      <c r="F2500" s="95"/>
      <c r="G2500" s="95"/>
      <c r="H2500" s="96"/>
      <c r="I2500" s="96"/>
      <c r="J2500" s="271"/>
    </row>
    <row r="2501" spans="1:10">
      <c r="A2501" s="84"/>
      <c r="B2501" s="93" t="s">
        <v>231</v>
      </c>
      <c r="C2501" s="94"/>
      <c r="D2501" s="95"/>
      <c r="E2501" s="95"/>
      <c r="F2501" s="95"/>
      <c r="G2501" s="95"/>
      <c r="H2501" s="96"/>
      <c r="I2501" s="96"/>
      <c r="J2501" s="271"/>
    </row>
    <row r="2502" spans="1:10">
      <c r="A2502" s="84"/>
      <c r="B2502" s="89"/>
      <c r="C2502" s="97"/>
      <c r="D2502" s="91"/>
      <c r="E2502" s="91"/>
      <c r="F2502" s="91"/>
      <c r="G2502" s="91" t="s">
        <v>255</v>
      </c>
      <c r="H2502" s="91"/>
      <c r="I2502" s="91"/>
      <c r="J2502" s="99">
        <f>+SUBTOTAL(9,J2495:J2501)</f>
        <v>63.12</v>
      </c>
    </row>
    <row r="2503" spans="1:10">
      <c r="A2503" s="84"/>
      <c r="B2503" s="89"/>
      <c r="C2503" s="97"/>
      <c r="D2503" s="91"/>
      <c r="E2503" s="91"/>
      <c r="F2503" s="91" t="s">
        <v>256</v>
      </c>
      <c r="G2503" s="91"/>
      <c r="H2503" s="91"/>
      <c r="I2503" s="91">
        <v>0</v>
      </c>
      <c r="J2503" s="99">
        <f>+ROUND(I2503*J2502,2)</f>
        <v>0</v>
      </c>
    </row>
    <row r="2504" spans="1:10">
      <c r="A2504" s="84"/>
      <c r="B2504" s="89"/>
      <c r="C2504" s="97"/>
      <c r="D2504" s="91"/>
      <c r="E2504" s="91"/>
      <c r="F2504" s="91" t="s">
        <v>257</v>
      </c>
      <c r="G2504" s="91"/>
      <c r="H2504" s="91"/>
      <c r="I2504" s="91"/>
      <c r="J2504" s="99">
        <f>+SUBTOTAL(9,J2495:J2503)</f>
        <v>63.12</v>
      </c>
    </row>
    <row r="2505" spans="1:10">
      <c r="A2505" s="84"/>
      <c r="B2505" s="98"/>
      <c r="C2505" s="97"/>
      <c r="D2505" s="91"/>
      <c r="E2505" s="91"/>
      <c r="F2505" s="91"/>
      <c r="G2505" s="91" t="s">
        <v>258</v>
      </c>
      <c r="H2505" s="91"/>
      <c r="I2505" s="91"/>
      <c r="J2505" s="275">
        <f>+SUBTOTAL(9,J2486:J2504)</f>
        <v>664.15</v>
      </c>
    </row>
    <row r="2506" spans="1:10">
      <c r="A2506" s="84"/>
      <c r="B2506" s="98"/>
      <c r="C2506" s="97" t="s">
        <v>259</v>
      </c>
      <c r="D2506" s="91">
        <v>96.9</v>
      </c>
      <c r="E2506" s="91"/>
      <c r="F2506" s="91"/>
      <c r="G2506" s="91" t="s">
        <v>260</v>
      </c>
      <c r="H2506" s="91"/>
      <c r="I2506" s="91"/>
      <c r="J2506" s="275">
        <f>+ROUND(J2505/D2506,2)</f>
        <v>6.85</v>
      </c>
    </row>
    <row r="2507" spans="1:10">
      <c r="A2507" s="84"/>
      <c r="B2507" s="89" t="s">
        <v>228</v>
      </c>
      <c r="C2507" s="90" t="s">
        <v>261</v>
      </c>
      <c r="D2507" s="91"/>
      <c r="E2507" s="91"/>
      <c r="F2507" s="91"/>
      <c r="G2507" s="92" t="s">
        <v>230</v>
      </c>
      <c r="H2507" s="92" t="s">
        <v>262</v>
      </c>
      <c r="I2507" s="92" t="s">
        <v>263</v>
      </c>
      <c r="J2507" s="99" t="s">
        <v>264</v>
      </c>
    </row>
    <row r="2508" spans="1:10">
      <c r="A2508" s="84"/>
      <c r="B2508" s="89">
        <v>560964353</v>
      </c>
      <c r="C2508" s="90" t="s">
        <v>697</v>
      </c>
      <c r="D2508" s="91"/>
      <c r="E2508" s="91"/>
      <c r="F2508" s="91"/>
      <c r="G2508" s="92" t="s">
        <v>270</v>
      </c>
      <c r="H2508" s="92">
        <v>1.53</v>
      </c>
      <c r="I2508" s="92">
        <v>2.0630099999999998</v>
      </c>
      <c r="J2508" s="99">
        <f>+ROUND(H2508*I2508,2)</f>
        <v>3.16</v>
      </c>
    </row>
    <row r="2509" spans="1:10">
      <c r="A2509" s="84"/>
      <c r="B2509" s="93">
        <v>9199997</v>
      </c>
      <c r="C2509" s="94" t="s">
        <v>273</v>
      </c>
      <c r="D2509" s="95"/>
      <c r="E2509" s="95"/>
      <c r="F2509" s="95"/>
      <c r="G2509" s="96" t="s">
        <v>274</v>
      </c>
      <c r="H2509" s="96">
        <v>6.85</v>
      </c>
      <c r="I2509" s="96">
        <v>2.7799999999999998E-2</v>
      </c>
      <c r="J2509" s="271">
        <f>+ROUND(H2509*I2509,2)</f>
        <v>0.19</v>
      </c>
    </row>
    <row r="2510" spans="1:10">
      <c r="A2510" s="84"/>
      <c r="B2510" s="93" t="s">
        <v>231</v>
      </c>
      <c r="C2510" s="94"/>
      <c r="D2510" s="95"/>
      <c r="E2510" s="95"/>
      <c r="F2510" s="95"/>
      <c r="G2510" s="96"/>
      <c r="H2510" s="96"/>
      <c r="I2510" s="96"/>
      <c r="J2510" s="271"/>
    </row>
    <row r="2511" spans="1:10">
      <c r="A2511" s="84"/>
      <c r="B2511" s="93" t="s">
        <v>231</v>
      </c>
      <c r="C2511" s="94"/>
      <c r="D2511" s="95"/>
      <c r="E2511" s="95"/>
      <c r="F2511" s="95"/>
      <c r="G2511" s="96"/>
      <c r="H2511" s="96"/>
      <c r="I2511" s="96"/>
      <c r="J2511" s="271"/>
    </row>
    <row r="2512" spans="1:10">
      <c r="A2512" s="84"/>
      <c r="B2512" s="93" t="s">
        <v>231</v>
      </c>
      <c r="C2512" s="94"/>
      <c r="D2512" s="95"/>
      <c r="E2512" s="95"/>
      <c r="F2512" s="95"/>
      <c r="G2512" s="96"/>
      <c r="H2512" s="96"/>
      <c r="I2512" s="96"/>
      <c r="J2512" s="271"/>
    </row>
    <row r="2513" spans="1:10">
      <c r="A2513" s="84"/>
      <c r="B2513" s="93" t="s">
        <v>231</v>
      </c>
      <c r="C2513" s="94"/>
      <c r="D2513" s="95"/>
      <c r="E2513" s="95"/>
      <c r="F2513" s="95"/>
      <c r="G2513" s="96"/>
      <c r="H2513" s="96"/>
      <c r="I2513" s="96"/>
      <c r="J2513" s="271"/>
    </row>
    <row r="2514" spans="1:10">
      <c r="A2514" s="84"/>
      <c r="B2514" s="93" t="s">
        <v>231</v>
      </c>
      <c r="C2514" s="94"/>
      <c r="D2514" s="95"/>
      <c r="E2514" s="95"/>
      <c r="F2514" s="95"/>
      <c r="G2514" s="96"/>
      <c r="H2514" s="96"/>
      <c r="I2514" s="96"/>
      <c r="J2514" s="271"/>
    </row>
    <row r="2515" spans="1:10">
      <c r="A2515" s="84"/>
      <c r="B2515" s="89"/>
      <c r="C2515" s="97"/>
      <c r="D2515" s="91"/>
      <c r="E2515" s="91"/>
      <c r="F2515" s="91"/>
      <c r="G2515" s="91" t="s">
        <v>275</v>
      </c>
      <c r="H2515" s="91"/>
      <c r="I2515" s="91"/>
      <c r="J2515" s="99">
        <f>+SUBTOTAL(9,J2508:J2514)</f>
        <v>3.35</v>
      </c>
    </row>
    <row r="2516" spans="1:10">
      <c r="A2516" s="84"/>
      <c r="B2516" s="89" t="s">
        <v>228</v>
      </c>
      <c r="C2516" s="90" t="s">
        <v>276</v>
      </c>
      <c r="D2516" s="91"/>
      <c r="E2516" s="91"/>
      <c r="F2516" s="91"/>
      <c r="G2516" s="92" t="s">
        <v>230</v>
      </c>
      <c r="H2516" s="92" t="s">
        <v>262</v>
      </c>
      <c r="I2516" s="92" t="s">
        <v>263</v>
      </c>
      <c r="J2516" s="99" t="s">
        <v>264</v>
      </c>
    </row>
    <row r="2517" spans="1:10">
      <c r="A2517" s="84"/>
      <c r="B2517" s="89" t="s">
        <v>698</v>
      </c>
      <c r="C2517" s="90" t="s">
        <v>699</v>
      </c>
      <c r="D2517" s="91"/>
      <c r="E2517" s="91"/>
      <c r="F2517" s="91"/>
      <c r="G2517" s="92" t="s">
        <v>234</v>
      </c>
      <c r="H2517" s="92">
        <v>1.48</v>
      </c>
      <c r="I2517" s="92">
        <v>1.1002700000000001</v>
      </c>
      <c r="J2517" s="99">
        <f>+ROUND(H2517*I2517,2)</f>
        <v>1.63</v>
      </c>
    </row>
    <row r="2518" spans="1:10">
      <c r="A2518" s="84"/>
      <c r="B2518" s="93" t="s">
        <v>231</v>
      </c>
      <c r="C2518" s="94"/>
      <c r="D2518" s="95"/>
      <c r="E2518" s="95"/>
      <c r="F2518" s="95"/>
      <c r="G2518" s="96"/>
      <c r="H2518" s="96"/>
      <c r="I2518" s="96"/>
      <c r="J2518" s="271"/>
    </row>
    <row r="2519" spans="1:10">
      <c r="A2519" s="84"/>
      <c r="B2519" s="93" t="s">
        <v>231</v>
      </c>
      <c r="C2519" s="94"/>
      <c r="D2519" s="95"/>
      <c r="E2519" s="95"/>
      <c r="F2519" s="95"/>
      <c r="G2519" s="96"/>
      <c r="H2519" s="96"/>
      <c r="I2519" s="96"/>
      <c r="J2519" s="271"/>
    </row>
    <row r="2520" spans="1:10">
      <c r="A2520" s="84"/>
      <c r="B2520" s="93" t="s">
        <v>231</v>
      </c>
      <c r="C2520" s="94"/>
      <c r="D2520" s="95"/>
      <c r="E2520" s="95"/>
      <c r="F2520" s="95"/>
      <c r="G2520" s="96"/>
      <c r="H2520" s="96"/>
      <c r="I2520" s="96"/>
      <c r="J2520" s="271"/>
    </row>
    <row r="2521" spans="1:10">
      <c r="A2521" s="84"/>
      <c r="B2521" s="93" t="s">
        <v>231</v>
      </c>
      <c r="C2521" s="94"/>
      <c r="D2521" s="95"/>
      <c r="E2521" s="95"/>
      <c r="F2521" s="95"/>
      <c r="G2521" s="96"/>
      <c r="H2521" s="96"/>
      <c r="I2521" s="96"/>
      <c r="J2521" s="271"/>
    </row>
    <row r="2522" spans="1:10">
      <c r="A2522" s="84"/>
      <c r="B2522" s="89"/>
      <c r="C2522" s="97"/>
      <c r="D2522" s="91"/>
      <c r="E2522" s="91"/>
      <c r="F2522" s="91"/>
      <c r="G2522" s="91" t="s">
        <v>279</v>
      </c>
      <c r="H2522" s="91"/>
      <c r="I2522" s="91"/>
      <c r="J2522" s="99">
        <f>+SUBTOTAL(9,J2517:J2521)</f>
        <v>1.63</v>
      </c>
    </row>
    <row r="2523" spans="1:10">
      <c r="A2523" s="84"/>
      <c r="B2523" s="89" t="s">
        <v>228</v>
      </c>
      <c r="C2523" s="90" t="s">
        <v>280</v>
      </c>
      <c r="D2523" s="92" t="s">
        <v>281</v>
      </c>
      <c r="E2523" s="92" t="s">
        <v>282</v>
      </c>
      <c r="F2523" s="92" t="s">
        <v>283</v>
      </c>
      <c r="G2523" s="92" t="s">
        <v>284</v>
      </c>
      <c r="H2523" s="92" t="s">
        <v>285</v>
      </c>
      <c r="I2523" s="92" t="s">
        <v>263</v>
      </c>
      <c r="J2523" s="99" t="s">
        <v>286</v>
      </c>
    </row>
    <row r="2524" spans="1:10">
      <c r="A2524" s="84"/>
      <c r="B2524" s="89">
        <v>416096</v>
      </c>
      <c r="C2524" s="90" t="s">
        <v>700</v>
      </c>
      <c r="D2524" s="92" t="s">
        <v>289</v>
      </c>
      <c r="E2524" s="92">
        <v>0</v>
      </c>
      <c r="F2524" s="92">
        <v>10</v>
      </c>
      <c r="G2524" s="92">
        <v>10</v>
      </c>
      <c r="H2524" s="92">
        <v>0.79</v>
      </c>
      <c r="I2524" s="92">
        <v>2.0630099999999998</v>
      </c>
      <c r="J2524" s="99">
        <f>+ROUND(G2524*H2524*I2524,2)</f>
        <v>16.3</v>
      </c>
    </row>
    <row r="2525" spans="1:10">
      <c r="A2525" s="84"/>
      <c r="B2525" s="93" t="s">
        <v>231</v>
      </c>
      <c r="C2525" s="94"/>
      <c r="D2525" s="96"/>
      <c r="E2525" s="96"/>
      <c r="F2525" s="96"/>
      <c r="G2525" s="96"/>
      <c r="H2525" s="96"/>
      <c r="I2525" s="96"/>
      <c r="J2525" s="271"/>
    </row>
    <row r="2526" spans="1:10">
      <c r="A2526" s="84"/>
      <c r="B2526" s="93" t="s">
        <v>231</v>
      </c>
      <c r="C2526" s="94"/>
      <c r="D2526" s="96"/>
      <c r="E2526" s="96"/>
      <c r="F2526" s="96"/>
      <c r="G2526" s="96"/>
      <c r="H2526" s="96"/>
      <c r="I2526" s="96"/>
      <c r="J2526" s="271"/>
    </row>
    <row r="2527" spans="1:10">
      <c r="A2527" s="84"/>
      <c r="B2527" s="93" t="s">
        <v>231</v>
      </c>
      <c r="C2527" s="94"/>
      <c r="D2527" s="96"/>
      <c r="E2527" s="96"/>
      <c r="F2527" s="96"/>
      <c r="G2527" s="96"/>
      <c r="H2527" s="96"/>
      <c r="I2527" s="96"/>
      <c r="J2527" s="271"/>
    </row>
    <row r="2528" spans="1:10">
      <c r="A2528" s="84"/>
      <c r="B2528" s="93" t="s">
        <v>231</v>
      </c>
      <c r="C2528" s="94"/>
      <c r="D2528" s="96"/>
      <c r="E2528" s="96"/>
      <c r="F2528" s="96"/>
      <c r="G2528" s="96"/>
      <c r="H2528" s="96"/>
      <c r="I2528" s="96"/>
      <c r="J2528" s="271"/>
    </row>
    <row r="2529" spans="1:10">
      <c r="A2529" s="84"/>
      <c r="B2529" s="93" t="s">
        <v>231</v>
      </c>
      <c r="C2529" s="94"/>
      <c r="D2529" s="96"/>
      <c r="E2529" s="96"/>
      <c r="F2529" s="96"/>
      <c r="G2529" s="96"/>
      <c r="H2529" s="96"/>
      <c r="I2529" s="96"/>
      <c r="J2529" s="271"/>
    </row>
    <row r="2530" spans="1:10">
      <c r="A2530" s="84"/>
      <c r="B2530" s="93" t="s">
        <v>231</v>
      </c>
      <c r="C2530" s="94"/>
      <c r="D2530" s="96"/>
      <c r="E2530" s="96"/>
      <c r="F2530" s="96"/>
      <c r="G2530" s="96"/>
      <c r="H2530" s="96"/>
      <c r="I2530" s="96"/>
      <c r="J2530" s="271"/>
    </row>
    <row r="2531" spans="1:10">
      <c r="A2531" s="84"/>
      <c r="B2531" s="89"/>
      <c r="C2531" s="97"/>
      <c r="D2531" s="91"/>
      <c r="E2531" s="91"/>
      <c r="F2531" s="91"/>
      <c r="G2531" s="91" t="s">
        <v>290</v>
      </c>
      <c r="H2531" s="91"/>
      <c r="I2531" s="91"/>
      <c r="J2531" s="99">
        <f>+SUBTOTAL(9,J2524:J2530)</f>
        <v>16.3</v>
      </c>
    </row>
    <row r="2532" spans="1:10">
      <c r="A2532" s="84"/>
      <c r="B2532" s="89" t="s">
        <v>291</v>
      </c>
      <c r="C2532" s="97"/>
      <c r="D2532" s="91"/>
      <c r="E2532" s="91"/>
      <c r="F2532" s="91"/>
      <c r="G2532" s="91"/>
      <c r="H2532" s="91"/>
      <c r="I2532" s="91"/>
      <c r="J2532" s="99">
        <f>+SUBTOTAL(9,J2506:J2530)</f>
        <v>28.13</v>
      </c>
    </row>
    <row r="2533" spans="1:10">
      <c r="A2533" s="84"/>
      <c r="B2533" s="89" t="s">
        <v>292</v>
      </c>
      <c r="C2533" s="97"/>
      <c r="D2533" s="91">
        <v>0</v>
      </c>
      <c r="E2533" s="91"/>
      <c r="F2533" s="91"/>
      <c r="G2533" s="91"/>
      <c r="H2533" s="91"/>
      <c r="I2533" s="91"/>
      <c r="J2533" s="99">
        <f>+ROUND(J2532*D2533/100,2)</f>
        <v>0</v>
      </c>
    </row>
    <row r="2534" spans="1:10" ht="14.4" thickBot="1">
      <c r="A2534" s="84"/>
      <c r="B2534" s="89" t="s">
        <v>293</v>
      </c>
      <c r="C2534" s="97"/>
      <c r="D2534" s="91"/>
      <c r="E2534" s="91"/>
      <c r="F2534" s="91"/>
      <c r="G2534" s="91"/>
      <c r="H2534" s="91"/>
      <c r="I2534" s="91"/>
      <c r="J2534" s="99">
        <f>+J2532+ J2533</f>
        <v>28.13</v>
      </c>
    </row>
    <row r="2535" spans="1:10">
      <c r="A2535" s="84"/>
      <c r="B2535" s="85" t="s">
        <v>294</v>
      </c>
      <c r="C2535" s="86"/>
      <c r="D2535" s="88"/>
      <c r="E2535" s="88"/>
      <c r="F2535" s="88" t="s">
        <v>295</v>
      </c>
      <c r="G2535" s="88"/>
      <c r="H2535" s="88"/>
      <c r="I2535" s="88" t="s">
        <v>296</v>
      </c>
      <c r="J2535" s="270"/>
    </row>
    <row r="2536" spans="1:10">
      <c r="A2536" s="84"/>
      <c r="B2536" s="93" t="s">
        <v>297</v>
      </c>
      <c r="C2536" s="84"/>
      <c r="D2536" s="95"/>
      <c r="E2536" s="95"/>
      <c r="F2536" s="95" t="s">
        <v>298</v>
      </c>
      <c r="G2536" s="95"/>
      <c r="H2536" s="95"/>
      <c r="I2536" s="95"/>
      <c r="J2536" s="276"/>
    </row>
    <row r="2537" spans="1:10">
      <c r="A2537" s="84"/>
      <c r="B2537" s="93" t="s">
        <v>299</v>
      </c>
      <c r="C2537" s="84"/>
      <c r="D2537" s="95"/>
      <c r="E2537" s="95"/>
      <c r="F2537" s="95" t="s">
        <v>300</v>
      </c>
      <c r="G2537" s="95"/>
      <c r="H2537" s="95"/>
      <c r="I2537" s="95"/>
      <c r="J2537" s="276"/>
    </row>
    <row r="2538" spans="1:10" ht="14.4" thickBot="1">
      <c r="A2538" s="84"/>
      <c r="B2538" s="100" t="s">
        <v>301</v>
      </c>
      <c r="C2538" s="84"/>
      <c r="D2538" s="95"/>
      <c r="E2538" s="95"/>
      <c r="F2538" s="95"/>
      <c r="G2538" s="95"/>
      <c r="H2538" s="95"/>
      <c r="I2538" s="95"/>
      <c r="J2538" s="277"/>
    </row>
    <row r="2539" spans="1:10">
      <c r="A2539" s="84"/>
      <c r="B2539" s="86"/>
      <c r="C2539" s="86"/>
      <c r="D2539" s="88"/>
      <c r="E2539" s="88"/>
      <c r="F2539" s="88"/>
      <c r="G2539" s="88"/>
      <c r="H2539" s="88"/>
      <c r="I2539" s="88"/>
      <c r="J2539" s="88"/>
    </row>
    <row r="2540" spans="1:10" ht="14.4" thickBot="1">
      <c r="A2540" s="84"/>
      <c r="B2540" s="84"/>
      <c r="C2540" s="84"/>
      <c r="D2540" s="95"/>
      <c r="E2540" s="95"/>
      <c r="F2540" s="95"/>
      <c r="G2540" s="95"/>
      <c r="H2540" s="95"/>
      <c r="I2540" s="95"/>
      <c r="J2540" s="95"/>
    </row>
    <row r="2541" spans="1:10">
      <c r="A2541" s="84"/>
      <c r="B2541" s="85"/>
      <c r="C2541" s="86"/>
      <c r="D2541" s="87" t="s">
        <v>227</v>
      </c>
      <c r="E2541" s="87"/>
      <c r="F2541" s="87"/>
      <c r="G2541" s="88"/>
      <c r="H2541" s="88"/>
      <c r="I2541" s="88"/>
      <c r="J2541" s="270"/>
    </row>
    <row r="2542" spans="1:10">
      <c r="A2542" s="84"/>
      <c r="B2542" s="89" t="s">
        <v>228</v>
      </c>
      <c r="C2542" s="90" t="s">
        <v>92</v>
      </c>
      <c r="D2542" s="91"/>
      <c r="E2542" s="91"/>
      <c r="F2542" s="91"/>
      <c r="G2542" s="91"/>
      <c r="H2542" s="92" t="s">
        <v>229</v>
      </c>
      <c r="I2542" s="91"/>
      <c r="J2542" s="99" t="s">
        <v>230</v>
      </c>
    </row>
    <row r="2543" spans="1:10">
      <c r="A2543" s="84"/>
      <c r="B2543" s="93" t="s">
        <v>231</v>
      </c>
      <c r="C2543" s="94" t="s">
        <v>709</v>
      </c>
      <c r="D2543" s="95"/>
      <c r="E2543" s="95"/>
      <c r="F2543" s="95"/>
      <c r="G2543" s="95"/>
      <c r="H2543" s="96" t="s">
        <v>233</v>
      </c>
      <c r="I2543" s="95"/>
      <c r="J2543" s="271" t="s">
        <v>234</v>
      </c>
    </row>
    <row r="2544" spans="1:10">
      <c r="A2544" s="84"/>
      <c r="B2544" s="89"/>
      <c r="C2544" s="90"/>
      <c r="D2544" s="91"/>
      <c r="E2544" s="92"/>
      <c r="F2544" s="92" t="s">
        <v>235</v>
      </c>
      <c r="G2544" s="92"/>
      <c r="H2544" s="92" t="s">
        <v>236</v>
      </c>
      <c r="I2544" s="92"/>
      <c r="J2544" s="99" t="s">
        <v>237</v>
      </c>
    </row>
    <row r="2545" spans="1:10">
      <c r="A2545" s="84"/>
      <c r="B2545" s="93" t="s">
        <v>228</v>
      </c>
      <c r="C2545" s="94" t="s">
        <v>238</v>
      </c>
      <c r="D2545" s="95"/>
      <c r="E2545" s="96" t="s">
        <v>239</v>
      </c>
      <c r="F2545" s="92" t="s">
        <v>240</v>
      </c>
      <c r="G2545" s="92" t="s">
        <v>241</v>
      </c>
      <c r="H2545" s="92" t="s">
        <v>240</v>
      </c>
      <c r="I2545" s="272" t="s">
        <v>241</v>
      </c>
      <c r="J2545" s="271" t="s">
        <v>242</v>
      </c>
    </row>
    <row r="2546" spans="1:10">
      <c r="A2546" s="84"/>
      <c r="B2546" s="273" t="s">
        <v>695</v>
      </c>
      <c r="C2546" s="90" t="s">
        <v>696</v>
      </c>
      <c r="D2546" s="91"/>
      <c r="E2546" s="92">
        <v>1</v>
      </c>
      <c r="F2546" s="92">
        <v>1</v>
      </c>
      <c r="G2546" s="92">
        <v>0</v>
      </c>
      <c r="H2546" s="92">
        <v>9.08</v>
      </c>
      <c r="I2546" s="92">
        <v>1.03</v>
      </c>
      <c r="J2546" s="99">
        <f>+ROUND(E2546* ((F2546*H2546) + (G2546*I2546)),2)</f>
        <v>9.08</v>
      </c>
    </row>
    <row r="2547" spans="1:10">
      <c r="A2547" s="84"/>
      <c r="B2547" s="93" t="s">
        <v>231</v>
      </c>
      <c r="C2547" s="94"/>
      <c r="D2547" s="95"/>
      <c r="E2547" s="96"/>
      <c r="F2547" s="96"/>
      <c r="G2547" s="96"/>
      <c r="H2547" s="96"/>
      <c r="I2547" s="96"/>
      <c r="J2547" s="271"/>
    </row>
    <row r="2548" spans="1:10">
      <c r="A2548" s="84"/>
      <c r="B2548" s="93" t="s">
        <v>231</v>
      </c>
      <c r="C2548" s="94"/>
      <c r="D2548" s="95"/>
      <c r="E2548" s="96"/>
      <c r="F2548" s="96"/>
      <c r="G2548" s="96"/>
      <c r="H2548" s="96"/>
      <c r="I2548" s="96"/>
      <c r="J2548" s="271"/>
    </row>
    <row r="2549" spans="1:10">
      <c r="A2549" s="84"/>
      <c r="B2549" s="93" t="s">
        <v>231</v>
      </c>
      <c r="C2549" s="94"/>
      <c r="D2549" s="95"/>
      <c r="E2549" s="96"/>
      <c r="F2549" s="96"/>
      <c r="G2549" s="96"/>
      <c r="H2549" s="96"/>
      <c r="I2549" s="96"/>
      <c r="J2549" s="271"/>
    </row>
    <row r="2550" spans="1:10">
      <c r="A2550" s="84"/>
      <c r="B2550" s="93" t="s">
        <v>231</v>
      </c>
      <c r="C2550" s="94"/>
      <c r="D2550" s="95"/>
      <c r="E2550" s="96"/>
      <c r="F2550" s="96"/>
      <c r="G2550" s="96"/>
      <c r="H2550" s="96"/>
      <c r="I2550" s="96"/>
      <c r="J2550" s="271"/>
    </row>
    <row r="2551" spans="1:10">
      <c r="A2551" s="84"/>
      <c r="B2551" s="93" t="s">
        <v>231</v>
      </c>
      <c r="C2551" s="94"/>
      <c r="D2551" s="95"/>
      <c r="E2551" s="96"/>
      <c r="F2551" s="96"/>
      <c r="G2551" s="96"/>
      <c r="H2551" s="96"/>
      <c r="I2551" s="96"/>
      <c r="J2551" s="271"/>
    </row>
    <row r="2552" spans="1:10">
      <c r="A2552" s="84"/>
      <c r="B2552" s="93" t="s">
        <v>231</v>
      </c>
      <c r="C2552" s="94"/>
      <c r="D2552" s="95"/>
      <c r="E2552" s="96"/>
      <c r="F2552" s="96"/>
      <c r="G2552" s="96"/>
      <c r="H2552" s="96"/>
      <c r="I2552" s="96"/>
      <c r="J2552" s="271"/>
    </row>
    <row r="2553" spans="1:10">
      <c r="A2553" s="84"/>
      <c r="B2553" s="89"/>
      <c r="C2553" s="97"/>
      <c r="D2553" s="91"/>
      <c r="E2553" s="91"/>
      <c r="F2553" s="91"/>
      <c r="G2553" s="91" t="s">
        <v>249</v>
      </c>
      <c r="H2553" s="91"/>
      <c r="I2553" s="91"/>
      <c r="J2553" s="99">
        <f>+SUBTOTAL(9,J2546:J2552)</f>
        <v>9.08</v>
      </c>
    </row>
    <row r="2554" spans="1:10">
      <c r="A2554" s="84"/>
      <c r="B2554" s="89" t="s">
        <v>228</v>
      </c>
      <c r="C2554" s="90" t="s">
        <v>250</v>
      </c>
      <c r="D2554" s="91"/>
      <c r="E2554" s="91"/>
      <c r="F2554" s="91"/>
      <c r="G2554" s="91"/>
      <c r="H2554" s="92" t="s">
        <v>239</v>
      </c>
      <c r="I2554" s="92" t="s">
        <v>251</v>
      </c>
      <c r="J2554" s="99" t="s">
        <v>252</v>
      </c>
    </row>
    <row r="2555" spans="1:10">
      <c r="A2555" s="84"/>
      <c r="B2555" s="89" t="s">
        <v>253</v>
      </c>
      <c r="C2555" s="90" t="s">
        <v>254</v>
      </c>
      <c r="D2555" s="91"/>
      <c r="E2555" s="91"/>
      <c r="F2555" s="91"/>
      <c r="G2555" s="91"/>
      <c r="H2555" s="92">
        <v>2</v>
      </c>
      <c r="I2555" s="92">
        <v>21.04</v>
      </c>
      <c r="J2555" s="99">
        <f>+ROUND(H2555*I2555,2)</f>
        <v>42.08</v>
      </c>
    </row>
    <row r="2556" spans="1:10">
      <c r="A2556" s="84"/>
      <c r="B2556" s="93" t="s">
        <v>231</v>
      </c>
      <c r="C2556" s="94"/>
      <c r="D2556" s="95"/>
      <c r="E2556" s="95"/>
      <c r="F2556" s="95"/>
      <c r="G2556" s="95"/>
      <c r="H2556" s="96"/>
      <c r="I2556" s="96"/>
      <c r="J2556" s="271"/>
    </row>
    <row r="2557" spans="1:10">
      <c r="A2557" s="84"/>
      <c r="B2557" s="93" t="s">
        <v>231</v>
      </c>
      <c r="C2557" s="94"/>
      <c r="D2557" s="95"/>
      <c r="E2557" s="95"/>
      <c r="F2557" s="95"/>
      <c r="G2557" s="95"/>
      <c r="H2557" s="96"/>
      <c r="I2557" s="96"/>
      <c r="J2557" s="271"/>
    </row>
    <row r="2558" spans="1:10">
      <c r="A2558" s="84"/>
      <c r="B2558" s="93" t="s">
        <v>231</v>
      </c>
      <c r="C2558" s="94"/>
      <c r="D2558" s="95"/>
      <c r="E2558" s="95"/>
      <c r="F2558" s="95"/>
      <c r="G2558" s="95"/>
      <c r="H2558" s="96"/>
      <c r="I2558" s="96"/>
      <c r="J2558" s="271"/>
    </row>
    <row r="2559" spans="1:10">
      <c r="A2559" s="84"/>
      <c r="B2559" s="93" t="s">
        <v>231</v>
      </c>
      <c r="C2559" s="94"/>
      <c r="D2559" s="95"/>
      <c r="E2559" s="95"/>
      <c r="F2559" s="95"/>
      <c r="G2559" s="95"/>
      <c r="H2559" s="96"/>
      <c r="I2559" s="96"/>
      <c r="J2559" s="271"/>
    </row>
    <row r="2560" spans="1:10">
      <c r="A2560" s="84"/>
      <c r="B2560" s="93" t="s">
        <v>231</v>
      </c>
      <c r="C2560" s="94"/>
      <c r="D2560" s="95"/>
      <c r="E2560" s="95"/>
      <c r="F2560" s="95"/>
      <c r="G2560" s="95"/>
      <c r="H2560" s="96"/>
      <c r="I2560" s="96"/>
      <c r="J2560" s="271"/>
    </row>
    <row r="2561" spans="1:10">
      <c r="A2561" s="84"/>
      <c r="B2561" s="93" t="s">
        <v>231</v>
      </c>
      <c r="C2561" s="94"/>
      <c r="D2561" s="95"/>
      <c r="E2561" s="95"/>
      <c r="F2561" s="95"/>
      <c r="G2561" s="95"/>
      <c r="H2561" s="96"/>
      <c r="I2561" s="96"/>
      <c r="J2561" s="271"/>
    </row>
    <row r="2562" spans="1:10">
      <c r="A2562" s="84"/>
      <c r="B2562" s="89"/>
      <c r="C2562" s="97"/>
      <c r="D2562" s="91"/>
      <c r="E2562" s="91"/>
      <c r="F2562" s="91"/>
      <c r="G2562" s="91" t="s">
        <v>255</v>
      </c>
      <c r="H2562" s="91"/>
      <c r="I2562" s="91"/>
      <c r="J2562" s="99">
        <f>+SUBTOTAL(9,J2555:J2561)</f>
        <v>42.08</v>
      </c>
    </row>
    <row r="2563" spans="1:10">
      <c r="A2563" s="84"/>
      <c r="B2563" s="89"/>
      <c r="C2563" s="97"/>
      <c r="D2563" s="91"/>
      <c r="E2563" s="91"/>
      <c r="F2563" s="91" t="s">
        <v>256</v>
      </c>
      <c r="G2563" s="91"/>
      <c r="H2563" s="91"/>
      <c r="I2563" s="91">
        <v>0</v>
      </c>
      <c r="J2563" s="99">
        <f>+ROUND(I2563*J2562,2)</f>
        <v>0</v>
      </c>
    </row>
    <row r="2564" spans="1:10">
      <c r="A2564" s="84"/>
      <c r="B2564" s="89"/>
      <c r="C2564" s="97"/>
      <c r="D2564" s="91"/>
      <c r="E2564" s="91"/>
      <c r="F2564" s="91" t="s">
        <v>257</v>
      </c>
      <c r="G2564" s="91"/>
      <c r="H2564" s="91"/>
      <c r="I2564" s="91"/>
      <c r="J2564" s="99">
        <f>+SUBTOTAL(9,J2555:J2563)</f>
        <v>42.08</v>
      </c>
    </row>
    <row r="2565" spans="1:10">
      <c r="A2565" s="84"/>
      <c r="B2565" s="98"/>
      <c r="C2565" s="97"/>
      <c r="D2565" s="91"/>
      <c r="E2565" s="91"/>
      <c r="F2565" s="91"/>
      <c r="G2565" s="91" t="s">
        <v>258</v>
      </c>
      <c r="H2565" s="91"/>
      <c r="I2565" s="91"/>
      <c r="J2565" s="275">
        <f>+SUBTOTAL(9,J2546:J2564)</f>
        <v>51.16</v>
      </c>
    </row>
    <row r="2566" spans="1:10">
      <c r="A2566" s="84"/>
      <c r="B2566" s="98"/>
      <c r="C2566" s="97" t="s">
        <v>259</v>
      </c>
      <c r="D2566" s="91">
        <v>2.8125</v>
      </c>
      <c r="E2566" s="91"/>
      <c r="F2566" s="91"/>
      <c r="G2566" s="91" t="s">
        <v>260</v>
      </c>
      <c r="H2566" s="91"/>
      <c r="I2566" s="91"/>
      <c r="J2566" s="275">
        <f>+ROUND(J2565/D2566,2)</f>
        <v>18.190000000000001</v>
      </c>
    </row>
    <row r="2567" spans="1:10">
      <c r="A2567" s="84"/>
      <c r="B2567" s="89" t="s">
        <v>228</v>
      </c>
      <c r="C2567" s="90" t="s">
        <v>261</v>
      </c>
      <c r="D2567" s="91"/>
      <c r="E2567" s="91"/>
      <c r="F2567" s="91"/>
      <c r="G2567" s="92" t="s">
        <v>230</v>
      </c>
      <c r="H2567" s="92" t="s">
        <v>262</v>
      </c>
      <c r="I2567" s="92" t="s">
        <v>263</v>
      </c>
      <c r="J2567" s="99" t="s">
        <v>264</v>
      </c>
    </row>
    <row r="2568" spans="1:10">
      <c r="A2568" s="84"/>
      <c r="B2568" s="89">
        <v>560964353</v>
      </c>
      <c r="C2568" s="90" t="s">
        <v>697</v>
      </c>
      <c r="D2568" s="91"/>
      <c r="E2568" s="91"/>
      <c r="F2568" s="91"/>
      <c r="G2568" s="92" t="s">
        <v>270</v>
      </c>
      <c r="H2568" s="92">
        <v>1.53</v>
      </c>
      <c r="I2568" s="92">
        <v>2.0630099999999998</v>
      </c>
      <c r="J2568" s="99">
        <f>+ROUND(H2568*I2568,2)</f>
        <v>3.16</v>
      </c>
    </row>
    <row r="2569" spans="1:10">
      <c r="A2569" s="84"/>
      <c r="B2569" s="93">
        <v>9199997</v>
      </c>
      <c r="C2569" s="94" t="s">
        <v>273</v>
      </c>
      <c r="D2569" s="95"/>
      <c r="E2569" s="95"/>
      <c r="F2569" s="95"/>
      <c r="G2569" s="96" t="s">
        <v>274</v>
      </c>
      <c r="H2569" s="96">
        <v>18.190000000000001</v>
      </c>
      <c r="I2569" s="96">
        <v>2.7799999999999998E-2</v>
      </c>
      <c r="J2569" s="271">
        <f>+ROUND(H2569*I2569,2)</f>
        <v>0.51</v>
      </c>
    </row>
    <row r="2570" spans="1:10">
      <c r="A2570" s="84"/>
      <c r="B2570" s="93" t="s">
        <v>231</v>
      </c>
      <c r="C2570" s="94"/>
      <c r="D2570" s="95"/>
      <c r="E2570" s="95"/>
      <c r="F2570" s="95"/>
      <c r="G2570" s="96"/>
      <c r="H2570" s="96"/>
      <c r="I2570" s="96"/>
      <c r="J2570" s="271"/>
    </row>
    <row r="2571" spans="1:10">
      <c r="A2571" s="84"/>
      <c r="B2571" s="93" t="s">
        <v>231</v>
      </c>
      <c r="C2571" s="94"/>
      <c r="D2571" s="95"/>
      <c r="E2571" s="95"/>
      <c r="F2571" s="95"/>
      <c r="G2571" s="96"/>
      <c r="H2571" s="96"/>
      <c r="I2571" s="96"/>
      <c r="J2571" s="271"/>
    </row>
    <row r="2572" spans="1:10">
      <c r="A2572" s="84"/>
      <c r="B2572" s="93" t="s">
        <v>231</v>
      </c>
      <c r="C2572" s="94"/>
      <c r="D2572" s="95"/>
      <c r="E2572" s="95"/>
      <c r="F2572" s="95"/>
      <c r="G2572" s="96"/>
      <c r="H2572" s="96"/>
      <c r="I2572" s="96"/>
      <c r="J2572" s="271"/>
    </row>
    <row r="2573" spans="1:10">
      <c r="A2573" s="84"/>
      <c r="B2573" s="93" t="s">
        <v>231</v>
      </c>
      <c r="C2573" s="94"/>
      <c r="D2573" s="95"/>
      <c r="E2573" s="95"/>
      <c r="F2573" s="95"/>
      <c r="G2573" s="96"/>
      <c r="H2573" s="96"/>
      <c r="I2573" s="96"/>
      <c r="J2573" s="271"/>
    </row>
    <row r="2574" spans="1:10">
      <c r="A2574" s="84"/>
      <c r="B2574" s="93" t="s">
        <v>231</v>
      </c>
      <c r="C2574" s="94"/>
      <c r="D2574" s="95"/>
      <c r="E2574" s="95"/>
      <c r="F2574" s="95"/>
      <c r="G2574" s="96"/>
      <c r="H2574" s="96"/>
      <c r="I2574" s="96"/>
      <c r="J2574" s="271"/>
    </row>
    <row r="2575" spans="1:10">
      <c r="A2575" s="84"/>
      <c r="B2575" s="89"/>
      <c r="C2575" s="97"/>
      <c r="D2575" s="91"/>
      <c r="E2575" s="91"/>
      <c r="F2575" s="91"/>
      <c r="G2575" s="91" t="s">
        <v>275</v>
      </c>
      <c r="H2575" s="91"/>
      <c r="I2575" s="91"/>
      <c r="J2575" s="99">
        <f>+SUBTOTAL(9,J2568:J2574)</f>
        <v>3.67</v>
      </c>
    </row>
    <row r="2576" spans="1:10">
      <c r="A2576" s="84"/>
      <c r="B2576" s="89" t="s">
        <v>228</v>
      </c>
      <c r="C2576" s="90" t="s">
        <v>276</v>
      </c>
      <c r="D2576" s="91"/>
      <c r="E2576" s="91"/>
      <c r="F2576" s="91"/>
      <c r="G2576" s="92" t="s">
        <v>230</v>
      </c>
      <c r="H2576" s="92" t="s">
        <v>262</v>
      </c>
      <c r="I2576" s="92" t="s">
        <v>263</v>
      </c>
      <c r="J2576" s="99" t="s">
        <v>264</v>
      </c>
    </row>
    <row r="2577" spans="1:10">
      <c r="A2577" s="84"/>
      <c r="B2577" s="89" t="s">
        <v>698</v>
      </c>
      <c r="C2577" s="90" t="s">
        <v>699</v>
      </c>
      <c r="D2577" s="91"/>
      <c r="E2577" s="91"/>
      <c r="F2577" s="91"/>
      <c r="G2577" s="92" t="s">
        <v>234</v>
      </c>
      <c r="H2577" s="92">
        <v>1.48</v>
      </c>
      <c r="I2577" s="92">
        <v>1.1002700000000001</v>
      </c>
      <c r="J2577" s="99">
        <f>+ROUND(H2577*I2577,2)</f>
        <v>1.63</v>
      </c>
    </row>
    <row r="2578" spans="1:10">
      <c r="A2578" s="84"/>
      <c r="B2578" s="93" t="s">
        <v>231</v>
      </c>
      <c r="C2578" s="94"/>
      <c r="D2578" s="95"/>
      <c r="E2578" s="95"/>
      <c r="F2578" s="95"/>
      <c r="G2578" s="96"/>
      <c r="H2578" s="96"/>
      <c r="I2578" s="96"/>
      <c r="J2578" s="271"/>
    </row>
    <row r="2579" spans="1:10">
      <c r="A2579" s="84"/>
      <c r="B2579" s="93" t="s">
        <v>231</v>
      </c>
      <c r="C2579" s="94"/>
      <c r="D2579" s="95"/>
      <c r="E2579" s="95"/>
      <c r="F2579" s="95"/>
      <c r="G2579" s="96"/>
      <c r="H2579" s="96"/>
      <c r="I2579" s="96"/>
      <c r="J2579" s="271"/>
    </row>
    <row r="2580" spans="1:10">
      <c r="A2580" s="84"/>
      <c r="B2580" s="93" t="s">
        <v>231</v>
      </c>
      <c r="C2580" s="94"/>
      <c r="D2580" s="95"/>
      <c r="E2580" s="95"/>
      <c r="F2580" s="95"/>
      <c r="G2580" s="96"/>
      <c r="H2580" s="96"/>
      <c r="I2580" s="96"/>
      <c r="J2580" s="271"/>
    </row>
    <row r="2581" spans="1:10">
      <c r="A2581" s="84"/>
      <c r="B2581" s="93" t="s">
        <v>231</v>
      </c>
      <c r="C2581" s="94"/>
      <c r="D2581" s="95"/>
      <c r="E2581" s="95"/>
      <c r="F2581" s="95"/>
      <c r="G2581" s="96"/>
      <c r="H2581" s="96"/>
      <c r="I2581" s="96"/>
      <c r="J2581" s="271"/>
    </row>
    <row r="2582" spans="1:10">
      <c r="A2582" s="84"/>
      <c r="B2582" s="89"/>
      <c r="C2582" s="97"/>
      <c r="D2582" s="91"/>
      <c r="E2582" s="91"/>
      <c r="F2582" s="91"/>
      <c r="G2582" s="91" t="s">
        <v>279</v>
      </c>
      <c r="H2582" s="91"/>
      <c r="I2582" s="91"/>
      <c r="J2582" s="99">
        <f>+SUBTOTAL(9,J2577:J2581)</f>
        <v>1.63</v>
      </c>
    </row>
    <row r="2583" spans="1:10">
      <c r="A2583" s="84"/>
      <c r="B2583" s="89" t="s">
        <v>228</v>
      </c>
      <c r="C2583" s="90" t="s">
        <v>280</v>
      </c>
      <c r="D2583" s="92" t="s">
        <v>281</v>
      </c>
      <c r="E2583" s="92" t="s">
        <v>282</v>
      </c>
      <c r="F2583" s="92" t="s">
        <v>283</v>
      </c>
      <c r="G2583" s="92" t="s">
        <v>284</v>
      </c>
      <c r="H2583" s="92" t="s">
        <v>285</v>
      </c>
      <c r="I2583" s="92" t="s">
        <v>263</v>
      </c>
      <c r="J2583" s="99" t="s">
        <v>286</v>
      </c>
    </row>
    <row r="2584" spans="1:10">
      <c r="A2584" s="84"/>
      <c r="B2584" s="89">
        <v>416096</v>
      </c>
      <c r="C2584" s="90" t="s">
        <v>700</v>
      </c>
      <c r="D2584" s="92" t="s">
        <v>289</v>
      </c>
      <c r="E2584" s="92">
        <v>0</v>
      </c>
      <c r="F2584" s="92">
        <v>10</v>
      </c>
      <c r="G2584" s="92">
        <v>10</v>
      </c>
      <c r="H2584" s="92">
        <v>0.79</v>
      </c>
      <c r="I2584" s="92">
        <v>2.0630099999999998</v>
      </c>
      <c r="J2584" s="99">
        <f>+ROUND(G2584*H2584*I2584,2)</f>
        <v>16.3</v>
      </c>
    </row>
    <row r="2585" spans="1:10">
      <c r="A2585" s="84"/>
      <c r="B2585" s="93" t="s">
        <v>231</v>
      </c>
      <c r="C2585" s="94"/>
      <c r="D2585" s="96"/>
      <c r="E2585" s="96"/>
      <c r="F2585" s="96"/>
      <c r="G2585" s="96"/>
      <c r="H2585" s="96"/>
      <c r="I2585" s="96"/>
      <c r="J2585" s="271"/>
    </row>
    <row r="2586" spans="1:10">
      <c r="A2586" s="84"/>
      <c r="B2586" s="93" t="s">
        <v>231</v>
      </c>
      <c r="C2586" s="94"/>
      <c r="D2586" s="96"/>
      <c r="E2586" s="96"/>
      <c r="F2586" s="96"/>
      <c r="G2586" s="96"/>
      <c r="H2586" s="96"/>
      <c r="I2586" s="96"/>
      <c r="J2586" s="271"/>
    </row>
    <row r="2587" spans="1:10">
      <c r="A2587" s="84"/>
      <c r="B2587" s="93" t="s">
        <v>231</v>
      </c>
      <c r="C2587" s="94"/>
      <c r="D2587" s="96"/>
      <c r="E2587" s="96"/>
      <c r="F2587" s="96"/>
      <c r="G2587" s="96"/>
      <c r="H2587" s="96"/>
      <c r="I2587" s="96"/>
      <c r="J2587" s="271"/>
    </row>
    <row r="2588" spans="1:10">
      <c r="A2588" s="84"/>
      <c r="B2588" s="93" t="s">
        <v>231</v>
      </c>
      <c r="C2588" s="94"/>
      <c r="D2588" s="96"/>
      <c r="E2588" s="96"/>
      <c r="F2588" s="96"/>
      <c r="G2588" s="96"/>
      <c r="H2588" s="96"/>
      <c r="I2588" s="96"/>
      <c r="J2588" s="271"/>
    </row>
    <row r="2589" spans="1:10">
      <c r="A2589" s="84"/>
      <c r="B2589" s="93" t="s">
        <v>231</v>
      </c>
      <c r="C2589" s="94"/>
      <c r="D2589" s="96"/>
      <c r="E2589" s="96"/>
      <c r="F2589" s="96"/>
      <c r="G2589" s="96"/>
      <c r="H2589" s="96"/>
      <c r="I2589" s="96"/>
      <c r="J2589" s="271"/>
    </row>
    <row r="2590" spans="1:10">
      <c r="A2590" s="84"/>
      <c r="B2590" s="93" t="s">
        <v>231</v>
      </c>
      <c r="C2590" s="94"/>
      <c r="D2590" s="96"/>
      <c r="E2590" s="96"/>
      <c r="F2590" s="96"/>
      <c r="G2590" s="96"/>
      <c r="H2590" s="96"/>
      <c r="I2590" s="96"/>
      <c r="J2590" s="271"/>
    </row>
    <row r="2591" spans="1:10">
      <c r="A2591" s="84"/>
      <c r="B2591" s="89"/>
      <c r="C2591" s="97"/>
      <c r="D2591" s="91"/>
      <c r="E2591" s="91"/>
      <c r="F2591" s="91"/>
      <c r="G2591" s="91" t="s">
        <v>290</v>
      </c>
      <c r="H2591" s="91"/>
      <c r="I2591" s="91"/>
      <c r="J2591" s="99">
        <f>+SUBTOTAL(9,J2584:J2590)</f>
        <v>16.3</v>
      </c>
    </row>
    <row r="2592" spans="1:10">
      <c r="A2592" s="84"/>
      <c r="B2592" s="89" t="s">
        <v>291</v>
      </c>
      <c r="C2592" s="97"/>
      <c r="D2592" s="91"/>
      <c r="E2592" s="91"/>
      <c r="F2592" s="91"/>
      <c r="G2592" s="91"/>
      <c r="H2592" s="91"/>
      <c r="I2592" s="91"/>
      <c r="J2592" s="99">
        <f>+SUBTOTAL(9,J2566:J2590)</f>
        <v>39.790000000000006</v>
      </c>
    </row>
    <row r="2593" spans="1:10">
      <c r="A2593" s="84"/>
      <c r="B2593" s="89" t="s">
        <v>292</v>
      </c>
      <c r="C2593" s="97"/>
      <c r="D2593" s="91">
        <v>0</v>
      </c>
      <c r="E2593" s="91"/>
      <c r="F2593" s="91"/>
      <c r="G2593" s="91"/>
      <c r="H2593" s="91"/>
      <c r="I2593" s="91"/>
      <c r="J2593" s="99">
        <f>+ROUND(J2592*D2593/100,2)</f>
        <v>0</v>
      </c>
    </row>
    <row r="2594" spans="1:10" ht="14.4" thickBot="1">
      <c r="A2594" s="84"/>
      <c r="B2594" s="89" t="s">
        <v>293</v>
      </c>
      <c r="C2594" s="97"/>
      <c r="D2594" s="91"/>
      <c r="E2594" s="91"/>
      <c r="F2594" s="91"/>
      <c r="G2594" s="91"/>
      <c r="H2594" s="91"/>
      <c r="I2594" s="91"/>
      <c r="J2594" s="99">
        <f>+J2592+ J2593</f>
        <v>39.790000000000006</v>
      </c>
    </row>
    <row r="2595" spans="1:10">
      <c r="A2595" s="84"/>
      <c r="B2595" s="85" t="s">
        <v>294</v>
      </c>
      <c r="C2595" s="86"/>
      <c r="D2595" s="88"/>
      <c r="E2595" s="88"/>
      <c r="F2595" s="88" t="s">
        <v>295</v>
      </c>
      <c r="G2595" s="88"/>
      <c r="H2595" s="88"/>
      <c r="I2595" s="88" t="s">
        <v>296</v>
      </c>
      <c r="J2595" s="270"/>
    </row>
    <row r="2596" spans="1:10">
      <c r="A2596" s="84"/>
      <c r="B2596" s="93" t="s">
        <v>297</v>
      </c>
      <c r="C2596" s="84"/>
      <c r="D2596" s="95"/>
      <c r="E2596" s="95"/>
      <c r="F2596" s="95" t="s">
        <v>298</v>
      </c>
      <c r="G2596" s="95"/>
      <c r="H2596" s="95"/>
      <c r="I2596" s="95"/>
      <c r="J2596" s="276"/>
    </row>
    <row r="2597" spans="1:10">
      <c r="A2597" s="84"/>
      <c r="B2597" s="93" t="s">
        <v>299</v>
      </c>
      <c r="C2597" s="84"/>
      <c r="D2597" s="95"/>
      <c r="E2597" s="95"/>
      <c r="F2597" s="95" t="s">
        <v>300</v>
      </c>
      <c r="G2597" s="95"/>
      <c r="H2597" s="95"/>
      <c r="I2597" s="95"/>
      <c r="J2597" s="276"/>
    </row>
    <row r="2598" spans="1:10" ht="14.4" thickBot="1">
      <c r="A2598" s="84"/>
      <c r="B2598" s="100" t="s">
        <v>301</v>
      </c>
      <c r="C2598" s="84"/>
      <c r="D2598" s="95"/>
      <c r="E2598" s="95"/>
      <c r="F2598" s="95"/>
      <c r="G2598" s="95"/>
      <c r="H2598" s="95"/>
      <c r="I2598" s="95"/>
      <c r="J2598" s="277"/>
    </row>
    <row r="2599" spans="1:10">
      <c r="A2599" s="84"/>
      <c r="B2599" s="86"/>
      <c r="C2599" s="86"/>
      <c r="D2599" s="88"/>
      <c r="E2599" s="88"/>
      <c r="F2599" s="88"/>
      <c r="G2599" s="88"/>
      <c r="H2599" s="88"/>
      <c r="I2599" s="88"/>
      <c r="J2599" s="88"/>
    </row>
    <row r="2600" spans="1:10" ht="14.4" thickBot="1">
      <c r="A2600" s="84"/>
      <c r="B2600" s="84"/>
      <c r="C2600" s="84"/>
      <c r="D2600" s="95"/>
      <c r="E2600" s="95"/>
      <c r="F2600" s="95"/>
      <c r="G2600" s="95"/>
      <c r="H2600" s="95"/>
      <c r="I2600" s="95"/>
      <c r="J2600" s="95"/>
    </row>
    <row r="2601" spans="1:10">
      <c r="A2601" s="84"/>
      <c r="B2601" s="85"/>
      <c r="C2601" s="86"/>
      <c r="D2601" s="87" t="s">
        <v>227</v>
      </c>
      <c r="E2601" s="87"/>
      <c r="F2601" s="87"/>
      <c r="G2601" s="88"/>
      <c r="H2601" s="88"/>
      <c r="I2601" s="88"/>
      <c r="J2601" s="270"/>
    </row>
    <row r="2602" spans="1:10">
      <c r="A2602" s="84"/>
      <c r="B2602" s="89" t="s">
        <v>228</v>
      </c>
      <c r="C2602" s="90" t="s">
        <v>92</v>
      </c>
      <c r="D2602" s="91"/>
      <c r="E2602" s="91"/>
      <c r="F2602" s="91"/>
      <c r="G2602" s="91"/>
      <c r="H2602" s="92" t="s">
        <v>229</v>
      </c>
      <c r="I2602" s="91"/>
      <c r="J2602" s="99" t="s">
        <v>230</v>
      </c>
    </row>
    <row r="2603" spans="1:10">
      <c r="A2603" s="84"/>
      <c r="B2603" s="93" t="s">
        <v>231</v>
      </c>
      <c r="C2603" s="94" t="s">
        <v>710</v>
      </c>
      <c r="D2603" s="95"/>
      <c r="E2603" s="95"/>
      <c r="F2603" s="95"/>
      <c r="G2603" s="95"/>
      <c r="H2603" s="96" t="s">
        <v>233</v>
      </c>
      <c r="I2603" s="95"/>
      <c r="J2603" s="271" t="s">
        <v>711</v>
      </c>
    </row>
    <row r="2604" spans="1:10">
      <c r="A2604" s="84"/>
      <c r="B2604" s="89"/>
      <c r="C2604" s="90"/>
      <c r="D2604" s="91"/>
      <c r="E2604" s="92"/>
      <c r="F2604" s="92" t="s">
        <v>235</v>
      </c>
      <c r="G2604" s="92"/>
      <c r="H2604" s="92" t="s">
        <v>236</v>
      </c>
      <c r="I2604" s="92"/>
      <c r="J2604" s="99" t="s">
        <v>237</v>
      </c>
    </row>
    <row r="2605" spans="1:10">
      <c r="A2605" s="84"/>
      <c r="B2605" s="93" t="s">
        <v>228</v>
      </c>
      <c r="C2605" s="94" t="s">
        <v>238</v>
      </c>
      <c r="D2605" s="95"/>
      <c r="E2605" s="96" t="s">
        <v>239</v>
      </c>
      <c r="F2605" s="92" t="s">
        <v>240</v>
      </c>
      <c r="G2605" s="92" t="s">
        <v>241</v>
      </c>
      <c r="H2605" s="92" t="s">
        <v>240</v>
      </c>
      <c r="I2605" s="272" t="s">
        <v>241</v>
      </c>
      <c r="J2605" s="271" t="s">
        <v>242</v>
      </c>
    </row>
    <row r="2606" spans="1:10">
      <c r="A2606" s="84"/>
      <c r="B2606" s="89" t="s">
        <v>231</v>
      </c>
      <c r="C2606" s="90"/>
      <c r="D2606" s="91"/>
      <c r="E2606" s="92"/>
      <c r="F2606" s="92"/>
      <c r="G2606" s="92"/>
      <c r="H2606" s="92"/>
      <c r="I2606" s="92"/>
      <c r="J2606" s="99"/>
    </row>
    <row r="2607" spans="1:10">
      <c r="A2607" s="84"/>
      <c r="B2607" s="93" t="s">
        <v>231</v>
      </c>
      <c r="C2607" s="94"/>
      <c r="D2607" s="95"/>
      <c r="E2607" s="96"/>
      <c r="F2607" s="96"/>
      <c r="G2607" s="96"/>
      <c r="H2607" s="96"/>
      <c r="I2607" s="96"/>
      <c r="J2607" s="271"/>
    </row>
    <row r="2608" spans="1:10">
      <c r="A2608" s="84"/>
      <c r="B2608" s="93" t="s">
        <v>231</v>
      </c>
      <c r="C2608" s="94"/>
      <c r="D2608" s="95"/>
      <c r="E2608" s="96"/>
      <c r="F2608" s="96"/>
      <c r="G2608" s="96"/>
      <c r="H2608" s="96"/>
      <c r="I2608" s="96"/>
      <c r="J2608" s="271"/>
    </row>
    <row r="2609" spans="1:10">
      <c r="A2609" s="84"/>
      <c r="B2609" s="93" t="s">
        <v>231</v>
      </c>
      <c r="C2609" s="94"/>
      <c r="D2609" s="95"/>
      <c r="E2609" s="96"/>
      <c r="F2609" s="96"/>
      <c r="G2609" s="96"/>
      <c r="H2609" s="96"/>
      <c r="I2609" s="96"/>
      <c r="J2609" s="271"/>
    </row>
    <row r="2610" spans="1:10">
      <c r="A2610" s="84"/>
      <c r="B2610" s="93" t="s">
        <v>231</v>
      </c>
      <c r="C2610" s="94"/>
      <c r="D2610" s="95"/>
      <c r="E2610" s="96"/>
      <c r="F2610" s="96"/>
      <c r="G2610" s="96"/>
      <c r="H2610" s="96"/>
      <c r="I2610" s="96"/>
      <c r="J2610" s="271"/>
    </row>
    <row r="2611" spans="1:10">
      <c r="A2611" s="84"/>
      <c r="B2611" s="93" t="s">
        <v>231</v>
      </c>
      <c r="C2611" s="94"/>
      <c r="D2611" s="95"/>
      <c r="E2611" s="96"/>
      <c r="F2611" s="96"/>
      <c r="G2611" s="96"/>
      <c r="H2611" s="96"/>
      <c r="I2611" s="96"/>
      <c r="J2611" s="271"/>
    </row>
    <row r="2612" spans="1:10">
      <c r="A2612" s="84"/>
      <c r="B2612" s="93" t="s">
        <v>231</v>
      </c>
      <c r="C2612" s="94"/>
      <c r="D2612" s="95"/>
      <c r="E2612" s="96"/>
      <c r="F2612" s="96"/>
      <c r="G2612" s="96"/>
      <c r="H2612" s="96"/>
      <c r="I2612" s="96"/>
      <c r="J2612" s="271"/>
    </row>
    <row r="2613" spans="1:10">
      <c r="A2613" s="84"/>
      <c r="B2613" s="89"/>
      <c r="C2613" s="97"/>
      <c r="D2613" s="91"/>
      <c r="E2613" s="91"/>
      <c r="F2613" s="91"/>
      <c r="G2613" s="91" t="s">
        <v>249</v>
      </c>
      <c r="H2613" s="91"/>
      <c r="I2613" s="91"/>
      <c r="J2613" s="99">
        <f>+SUBTOTAL(9,J2606:J2612)</f>
        <v>0</v>
      </c>
    </row>
    <row r="2614" spans="1:10">
      <c r="A2614" s="84"/>
      <c r="B2614" s="89" t="s">
        <v>228</v>
      </c>
      <c r="C2614" s="90" t="s">
        <v>250</v>
      </c>
      <c r="D2614" s="91"/>
      <c r="E2614" s="91"/>
      <c r="F2614" s="91"/>
      <c r="G2614" s="91"/>
      <c r="H2614" s="92" t="s">
        <v>239</v>
      </c>
      <c r="I2614" s="92" t="s">
        <v>251</v>
      </c>
      <c r="J2614" s="99" t="s">
        <v>252</v>
      </c>
    </row>
    <row r="2615" spans="1:10">
      <c r="A2615" s="84"/>
      <c r="B2615" s="89" t="s">
        <v>253</v>
      </c>
      <c r="C2615" s="90" t="s">
        <v>254</v>
      </c>
      <c r="D2615" s="91"/>
      <c r="E2615" s="91"/>
      <c r="F2615" s="91"/>
      <c r="G2615" s="91"/>
      <c r="H2615" s="92">
        <v>10</v>
      </c>
      <c r="I2615" s="92">
        <v>21.04</v>
      </c>
      <c r="J2615" s="99">
        <f>+ROUND(H2615*I2615,2)</f>
        <v>210.4</v>
      </c>
    </row>
    <row r="2616" spans="1:10">
      <c r="A2616" s="84"/>
      <c r="B2616" s="93" t="s">
        <v>231</v>
      </c>
      <c r="C2616" s="94"/>
      <c r="D2616" s="95"/>
      <c r="E2616" s="95"/>
      <c r="F2616" s="95"/>
      <c r="G2616" s="95"/>
      <c r="H2616" s="96"/>
      <c r="I2616" s="96"/>
      <c r="J2616" s="271"/>
    </row>
    <row r="2617" spans="1:10">
      <c r="A2617" s="84"/>
      <c r="B2617" s="93" t="s">
        <v>231</v>
      </c>
      <c r="C2617" s="94"/>
      <c r="D2617" s="95"/>
      <c r="E2617" s="95"/>
      <c r="F2617" s="95"/>
      <c r="G2617" s="95"/>
      <c r="H2617" s="96"/>
      <c r="I2617" s="96"/>
      <c r="J2617" s="271"/>
    </row>
    <row r="2618" spans="1:10">
      <c r="A2618" s="84"/>
      <c r="B2618" s="93" t="s">
        <v>231</v>
      </c>
      <c r="C2618" s="94"/>
      <c r="D2618" s="95"/>
      <c r="E2618" s="95"/>
      <c r="F2618" s="95"/>
      <c r="G2618" s="95"/>
      <c r="H2618" s="96"/>
      <c r="I2618" s="96"/>
      <c r="J2618" s="271"/>
    </row>
    <row r="2619" spans="1:10">
      <c r="A2619" s="84"/>
      <c r="B2619" s="93" t="s">
        <v>231</v>
      </c>
      <c r="C2619" s="94"/>
      <c r="D2619" s="95"/>
      <c r="E2619" s="95"/>
      <c r="F2619" s="95"/>
      <c r="G2619" s="95"/>
      <c r="H2619" s="96"/>
      <c r="I2619" s="96"/>
      <c r="J2619" s="271"/>
    </row>
    <row r="2620" spans="1:10">
      <c r="A2620" s="84"/>
      <c r="B2620" s="93" t="s">
        <v>231</v>
      </c>
      <c r="C2620" s="94"/>
      <c r="D2620" s="95"/>
      <c r="E2620" s="95"/>
      <c r="F2620" s="95"/>
      <c r="G2620" s="95"/>
      <c r="H2620" s="96"/>
      <c r="I2620" s="96"/>
      <c r="J2620" s="271"/>
    </row>
    <row r="2621" spans="1:10">
      <c r="A2621" s="84"/>
      <c r="B2621" s="93" t="s">
        <v>231</v>
      </c>
      <c r="C2621" s="94"/>
      <c r="D2621" s="95"/>
      <c r="E2621" s="95"/>
      <c r="F2621" s="95"/>
      <c r="G2621" s="95"/>
      <c r="H2621" s="96"/>
      <c r="I2621" s="96"/>
      <c r="J2621" s="271"/>
    </row>
    <row r="2622" spans="1:10">
      <c r="A2622" s="84"/>
      <c r="B2622" s="89"/>
      <c r="C2622" s="97"/>
      <c r="D2622" s="91"/>
      <c r="E2622" s="91"/>
      <c r="F2622" s="91"/>
      <c r="G2622" s="91" t="s">
        <v>255</v>
      </c>
      <c r="H2622" s="91"/>
      <c r="I2622" s="91"/>
      <c r="J2622" s="99">
        <f>+SUBTOTAL(9,J2615:J2621)</f>
        <v>210.4</v>
      </c>
    </row>
    <row r="2623" spans="1:10">
      <c r="A2623" s="84"/>
      <c r="B2623" s="89"/>
      <c r="C2623" s="97"/>
      <c r="D2623" s="91"/>
      <c r="E2623" s="91"/>
      <c r="F2623" s="91" t="s">
        <v>256</v>
      </c>
      <c r="G2623" s="91"/>
      <c r="H2623" s="91"/>
      <c r="I2623" s="91">
        <v>0</v>
      </c>
      <c r="J2623" s="99">
        <f>+ROUND(I2623*J2622,2)</f>
        <v>0</v>
      </c>
    </row>
    <row r="2624" spans="1:10">
      <c r="A2624" s="84"/>
      <c r="B2624" s="89"/>
      <c r="C2624" s="97"/>
      <c r="D2624" s="91"/>
      <c r="E2624" s="91"/>
      <c r="F2624" s="91" t="s">
        <v>257</v>
      </c>
      <c r="G2624" s="91"/>
      <c r="H2624" s="91"/>
      <c r="I2624" s="91"/>
      <c r="J2624" s="99">
        <f>+SUBTOTAL(9,J2615:J2623)</f>
        <v>210.4</v>
      </c>
    </row>
    <row r="2625" spans="1:10">
      <c r="A2625" s="84"/>
      <c r="B2625" s="98"/>
      <c r="C2625" s="97"/>
      <c r="D2625" s="91"/>
      <c r="E2625" s="91"/>
      <c r="F2625" s="91"/>
      <c r="G2625" s="91" t="s">
        <v>258</v>
      </c>
      <c r="H2625" s="91"/>
      <c r="I2625" s="91"/>
      <c r="J2625" s="275">
        <f>+SUBTOTAL(9,J2606:J2624)</f>
        <v>210.4</v>
      </c>
    </row>
    <row r="2626" spans="1:10">
      <c r="A2626" s="84"/>
      <c r="B2626" s="98"/>
      <c r="C2626" s="97" t="s">
        <v>259</v>
      </c>
      <c r="D2626" s="91">
        <v>0.12</v>
      </c>
      <c r="E2626" s="91"/>
      <c r="F2626" s="91"/>
      <c r="G2626" s="91" t="s">
        <v>260</v>
      </c>
      <c r="H2626" s="91"/>
      <c r="I2626" s="91"/>
      <c r="J2626" s="275">
        <f>+ROUND(J2625/D2626,2)</f>
        <v>1753.33</v>
      </c>
    </row>
    <row r="2627" spans="1:10">
      <c r="A2627" s="84"/>
      <c r="B2627" s="89" t="s">
        <v>228</v>
      </c>
      <c r="C2627" s="90" t="s">
        <v>261</v>
      </c>
      <c r="D2627" s="91"/>
      <c r="E2627" s="91"/>
      <c r="F2627" s="91"/>
      <c r="G2627" s="92" t="s">
        <v>230</v>
      </c>
      <c r="H2627" s="92" t="s">
        <v>262</v>
      </c>
      <c r="I2627" s="92" t="s">
        <v>263</v>
      </c>
      <c r="J2627" s="99" t="s">
        <v>264</v>
      </c>
    </row>
    <row r="2628" spans="1:10">
      <c r="A2628" s="84"/>
      <c r="B2628" s="89">
        <v>9199997</v>
      </c>
      <c r="C2628" s="90" t="s">
        <v>273</v>
      </c>
      <c r="D2628" s="91"/>
      <c r="E2628" s="91"/>
      <c r="F2628" s="91"/>
      <c r="G2628" s="92" t="s">
        <v>274</v>
      </c>
      <c r="H2628" s="92">
        <v>1752.95</v>
      </c>
      <c r="I2628" s="92">
        <v>2.7799999999999998E-2</v>
      </c>
      <c r="J2628" s="99">
        <f>+ROUND(H2628*I2628,2)</f>
        <v>48.73</v>
      </c>
    </row>
    <row r="2629" spans="1:10">
      <c r="A2629" s="84"/>
      <c r="B2629" s="93" t="s">
        <v>231</v>
      </c>
      <c r="C2629" s="94"/>
      <c r="D2629" s="95"/>
      <c r="E2629" s="95"/>
      <c r="F2629" s="95"/>
      <c r="G2629" s="96"/>
      <c r="H2629" s="96"/>
      <c r="I2629" s="96"/>
      <c r="J2629" s="271"/>
    </row>
    <row r="2630" spans="1:10">
      <c r="A2630" s="84"/>
      <c r="B2630" s="93" t="s">
        <v>231</v>
      </c>
      <c r="C2630" s="94"/>
      <c r="D2630" s="95"/>
      <c r="E2630" s="95"/>
      <c r="F2630" s="95"/>
      <c r="G2630" s="96"/>
      <c r="H2630" s="96"/>
      <c r="I2630" s="96"/>
      <c r="J2630" s="271"/>
    </row>
    <row r="2631" spans="1:10">
      <c r="A2631" s="84"/>
      <c r="B2631" s="93" t="s">
        <v>231</v>
      </c>
      <c r="C2631" s="94"/>
      <c r="D2631" s="95"/>
      <c r="E2631" s="95"/>
      <c r="F2631" s="95"/>
      <c r="G2631" s="96"/>
      <c r="H2631" s="96"/>
      <c r="I2631" s="96"/>
      <c r="J2631" s="271"/>
    </row>
    <row r="2632" spans="1:10">
      <c r="A2632" s="84"/>
      <c r="B2632" s="93" t="s">
        <v>231</v>
      </c>
      <c r="C2632" s="94"/>
      <c r="D2632" s="95"/>
      <c r="E2632" s="95"/>
      <c r="F2632" s="95"/>
      <c r="G2632" s="96"/>
      <c r="H2632" s="96"/>
      <c r="I2632" s="96"/>
      <c r="J2632" s="271"/>
    </row>
    <row r="2633" spans="1:10">
      <c r="A2633" s="84"/>
      <c r="B2633" s="93" t="s">
        <v>231</v>
      </c>
      <c r="C2633" s="94"/>
      <c r="D2633" s="95"/>
      <c r="E2633" s="95"/>
      <c r="F2633" s="95"/>
      <c r="G2633" s="96"/>
      <c r="H2633" s="96"/>
      <c r="I2633" s="96"/>
      <c r="J2633" s="271"/>
    </row>
    <row r="2634" spans="1:10">
      <c r="A2634" s="84"/>
      <c r="B2634" s="93" t="s">
        <v>231</v>
      </c>
      <c r="C2634" s="94"/>
      <c r="D2634" s="95"/>
      <c r="E2634" s="95"/>
      <c r="F2634" s="95"/>
      <c r="G2634" s="96"/>
      <c r="H2634" s="96"/>
      <c r="I2634" s="96"/>
      <c r="J2634" s="271"/>
    </row>
    <row r="2635" spans="1:10">
      <c r="A2635" s="84"/>
      <c r="B2635" s="89"/>
      <c r="C2635" s="97"/>
      <c r="D2635" s="91"/>
      <c r="E2635" s="91"/>
      <c r="F2635" s="91"/>
      <c r="G2635" s="91" t="s">
        <v>275</v>
      </c>
      <c r="H2635" s="91"/>
      <c r="I2635" s="91"/>
      <c r="J2635" s="99">
        <f>+SUBTOTAL(9,J2628:J2634)</f>
        <v>48.73</v>
      </c>
    </row>
    <row r="2636" spans="1:10">
      <c r="A2636" s="84"/>
      <c r="B2636" s="89" t="s">
        <v>228</v>
      </c>
      <c r="C2636" s="90" t="s">
        <v>276</v>
      </c>
      <c r="D2636" s="91"/>
      <c r="E2636" s="91"/>
      <c r="F2636" s="91"/>
      <c r="G2636" s="92" t="s">
        <v>230</v>
      </c>
      <c r="H2636" s="92" t="s">
        <v>262</v>
      </c>
      <c r="I2636" s="92" t="s">
        <v>263</v>
      </c>
      <c r="J2636" s="99" t="s">
        <v>264</v>
      </c>
    </row>
    <row r="2637" spans="1:10">
      <c r="A2637" s="84"/>
      <c r="B2637" s="89" t="s">
        <v>231</v>
      </c>
      <c r="C2637" s="90"/>
      <c r="D2637" s="91"/>
      <c r="E2637" s="91"/>
      <c r="F2637" s="91"/>
      <c r="G2637" s="92"/>
      <c r="H2637" s="92"/>
      <c r="I2637" s="92"/>
      <c r="J2637" s="99"/>
    </row>
    <row r="2638" spans="1:10">
      <c r="A2638" s="84"/>
      <c r="B2638" s="93" t="s">
        <v>231</v>
      </c>
      <c r="C2638" s="94"/>
      <c r="D2638" s="95"/>
      <c r="E2638" s="95"/>
      <c r="F2638" s="95"/>
      <c r="G2638" s="96"/>
      <c r="H2638" s="96"/>
      <c r="I2638" s="96"/>
      <c r="J2638" s="271"/>
    </row>
    <row r="2639" spans="1:10">
      <c r="A2639" s="84"/>
      <c r="B2639" s="93" t="s">
        <v>231</v>
      </c>
      <c r="C2639" s="94"/>
      <c r="D2639" s="95"/>
      <c r="E2639" s="95"/>
      <c r="F2639" s="95"/>
      <c r="G2639" s="96"/>
      <c r="H2639" s="96"/>
      <c r="I2639" s="96"/>
      <c r="J2639" s="271"/>
    </row>
    <row r="2640" spans="1:10">
      <c r="A2640" s="84"/>
      <c r="B2640" s="93" t="s">
        <v>231</v>
      </c>
      <c r="C2640" s="94"/>
      <c r="D2640" s="95"/>
      <c r="E2640" s="95"/>
      <c r="F2640" s="95"/>
      <c r="G2640" s="96"/>
      <c r="H2640" s="96"/>
      <c r="I2640" s="96"/>
      <c r="J2640" s="271"/>
    </row>
    <row r="2641" spans="1:10">
      <c r="A2641" s="84"/>
      <c r="B2641" s="93" t="s">
        <v>231</v>
      </c>
      <c r="C2641" s="94"/>
      <c r="D2641" s="95"/>
      <c r="E2641" s="95"/>
      <c r="F2641" s="95"/>
      <c r="G2641" s="96"/>
      <c r="H2641" s="96"/>
      <c r="I2641" s="96"/>
      <c r="J2641" s="271"/>
    </row>
    <row r="2642" spans="1:10">
      <c r="A2642" s="84"/>
      <c r="B2642" s="89"/>
      <c r="C2642" s="97"/>
      <c r="D2642" s="91"/>
      <c r="E2642" s="91"/>
      <c r="F2642" s="91"/>
      <c r="G2642" s="91" t="s">
        <v>279</v>
      </c>
      <c r="H2642" s="91"/>
      <c r="I2642" s="91"/>
      <c r="J2642" s="99">
        <f>+SUBTOTAL(9,J2637:J2641)</f>
        <v>0</v>
      </c>
    </row>
    <row r="2643" spans="1:10">
      <c r="A2643" s="84"/>
      <c r="B2643" s="89" t="s">
        <v>228</v>
      </c>
      <c r="C2643" s="90" t="s">
        <v>280</v>
      </c>
      <c r="D2643" s="92" t="s">
        <v>281</v>
      </c>
      <c r="E2643" s="92" t="s">
        <v>282</v>
      </c>
      <c r="F2643" s="92" t="s">
        <v>283</v>
      </c>
      <c r="G2643" s="92" t="s">
        <v>284</v>
      </c>
      <c r="H2643" s="92" t="s">
        <v>285</v>
      </c>
      <c r="I2643" s="92" t="s">
        <v>263</v>
      </c>
      <c r="J2643" s="99" t="s">
        <v>286</v>
      </c>
    </row>
    <row r="2644" spans="1:10">
      <c r="A2644" s="84"/>
      <c r="B2644" s="89" t="s">
        <v>231</v>
      </c>
      <c r="C2644" s="90"/>
      <c r="D2644" s="92"/>
      <c r="E2644" s="92"/>
      <c r="F2644" s="92"/>
      <c r="G2644" s="92"/>
      <c r="H2644" s="92"/>
      <c r="I2644" s="92"/>
      <c r="J2644" s="99"/>
    </row>
    <row r="2645" spans="1:10">
      <c r="A2645" s="84"/>
      <c r="B2645" s="93" t="s">
        <v>231</v>
      </c>
      <c r="C2645" s="94"/>
      <c r="D2645" s="96"/>
      <c r="E2645" s="96"/>
      <c r="F2645" s="96"/>
      <c r="G2645" s="96"/>
      <c r="H2645" s="96"/>
      <c r="I2645" s="96"/>
      <c r="J2645" s="271"/>
    </row>
    <row r="2646" spans="1:10">
      <c r="A2646" s="84"/>
      <c r="B2646" s="93" t="s">
        <v>231</v>
      </c>
      <c r="C2646" s="94"/>
      <c r="D2646" s="96"/>
      <c r="E2646" s="96"/>
      <c r="F2646" s="96"/>
      <c r="G2646" s="96"/>
      <c r="H2646" s="96"/>
      <c r="I2646" s="96"/>
      <c r="J2646" s="271"/>
    </row>
    <row r="2647" spans="1:10">
      <c r="A2647" s="84"/>
      <c r="B2647" s="93" t="s">
        <v>231</v>
      </c>
      <c r="C2647" s="94"/>
      <c r="D2647" s="96"/>
      <c r="E2647" s="96"/>
      <c r="F2647" s="96"/>
      <c r="G2647" s="96"/>
      <c r="H2647" s="96"/>
      <c r="I2647" s="96"/>
      <c r="J2647" s="271"/>
    </row>
    <row r="2648" spans="1:10">
      <c r="A2648" s="84"/>
      <c r="B2648" s="93" t="s">
        <v>231</v>
      </c>
      <c r="C2648" s="94"/>
      <c r="D2648" s="96"/>
      <c r="E2648" s="96"/>
      <c r="F2648" s="96"/>
      <c r="G2648" s="96"/>
      <c r="H2648" s="96"/>
      <c r="I2648" s="96"/>
      <c r="J2648" s="271"/>
    </row>
    <row r="2649" spans="1:10">
      <c r="A2649" s="84"/>
      <c r="B2649" s="93" t="s">
        <v>231</v>
      </c>
      <c r="C2649" s="94"/>
      <c r="D2649" s="96"/>
      <c r="E2649" s="96"/>
      <c r="F2649" s="96"/>
      <c r="G2649" s="96"/>
      <c r="H2649" s="96"/>
      <c r="I2649" s="96"/>
      <c r="J2649" s="271"/>
    </row>
    <row r="2650" spans="1:10">
      <c r="A2650" s="84"/>
      <c r="B2650" s="93" t="s">
        <v>231</v>
      </c>
      <c r="C2650" s="94"/>
      <c r="D2650" s="96"/>
      <c r="E2650" s="96"/>
      <c r="F2650" s="96"/>
      <c r="G2650" s="96"/>
      <c r="H2650" s="96"/>
      <c r="I2650" s="96"/>
      <c r="J2650" s="271"/>
    </row>
    <row r="2651" spans="1:10">
      <c r="A2651" s="84"/>
      <c r="B2651" s="89"/>
      <c r="C2651" s="97"/>
      <c r="D2651" s="91"/>
      <c r="E2651" s="91"/>
      <c r="F2651" s="91"/>
      <c r="G2651" s="91" t="s">
        <v>290</v>
      </c>
      <c r="H2651" s="91"/>
      <c r="I2651" s="91"/>
      <c r="J2651" s="99">
        <f>+SUBTOTAL(9,J2644:J2650)</f>
        <v>0</v>
      </c>
    </row>
    <row r="2652" spans="1:10">
      <c r="A2652" s="84"/>
      <c r="B2652" s="89" t="s">
        <v>291</v>
      </c>
      <c r="C2652" s="97"/>
      <c r="D2652" s="91"/>
      <c r="E2652" s="91"/>
      <c r="F2652" s="91"/>
      <c r="G2652" s="91"/>
      <c r="H2652" s="91"/>
      <c r="I2652" s="91"/>
      <c r="J2652" s="99">
        <f>+SUBTOTAL(9,J2626:J2650)</f>
        <v>1802.06</v>
      </c>
    </row>
    <row r="2653" spans="1:10">
      <c r="A2653" s="84"/>
      <c r="B2653" s="89" t="s">
        <v>292</v>
      </c>
      <c r="C2653" s="97"/>
      <c r="D2653" s="91">
        <v>0</v>
      </c>
      <c r="E2653" s="91"/>
      <c r="F2653" s="91"/>
      <c r="G2653" s="91"/>
      <c r="H2653" s="91"/>
      <c r="I2653" s="91"/>
      <c r="J2653" s="99">
        <f>+ROUND(J2652*D2653/100,2)</f>
        <v>0</v>
      </c>
    </row>
    <row r="2654" spans="1:10" ht="14.4" thickBot="1">
      <c r="A2654" s="84"/>
      <c r="B2654" s="89" t="s">
        <v>293</v>
      </c>
      <c r="C2654" s="97"/>
      <c r="D2654" s="91"/>
      <c r="E2654" s="91"/>
      <c r="F2654" s="91"/>
      <c r="G2654" s="91"/>
      <c r="H2654" s="91"/>
      <c r="I2654" s="91"/>
      <c r="J2654" s="99">
        <f>+J2652+ J2653</f>
        <v>1802.06</v>
      </c>
    </row>
    <row r="2655" spans="1:10">
      <c r="A2655" s="84"/>
      <c r="B2655" s="85" t="s">
        <v>294</v>
      </c>
      <c r="C2655" s="86"/>
      <c r="D2655" s="88"/>
      <c r="E2655" s="88"/>
      <c r="F2655" s="88" t="s">
        <v>295</v>
      </c>
      <c r="G2655" s="88"/>
      <c r="H2655" s="88"/>
      <c r="I2655" s="88" t="s">
        <v>296</v>
      </c>
      <c r="J2655" s="270"/>
    </row>
    <row r="2656" spans="1:10">
      <c r="A2656" s="84"/>
      <c r="B2656" s="93" t="s">
        <v>297</v>
      </c>
      <c r="C2656" s="84"/>
      <c r="D2656" s="95"/>
      <c r="E2656" s="95"/>
      <c r="F2656" s="95" t="s">
        <v>298</v>
      </c>
      <c r="G2656" s="95"/>
      <c r="H2656" s="95"/>
      <c r="I2656" s="95"/>
      <c r="J2656" s="276"/>
    </row>
    <row r="2657" spans="1:10">
      <c r="A2657" s="84"/>
      <c r="B2657" s="93" t="s">
        <v>299</v>
      </c>
      <c r="C2657" s="84"/>
      <c r="D2657" s="95"/>
      <c r="E2657" s="95"/>
      <c r="F2657" s="95" t="s">
        <v>300</v>
      </c>
      <c r="G2657" s="95"/>
      <c r="H2657" s="95"/>
      <c r="I2657" s="95"/>
      <c r="J2657" s="276"/>
    </row>
    <row r="2658" spans="1:10" ht="14.4" thickBot="1">
      <c r="A2658" s="84"/>
      <c r="B2658" s="100" t="s">
        <v>301</v>
      </c>
      <c r="C2658" s="84"/>
      <c r="D2658" s="95"/>
      <c r="E2658" s="95"/>
      <c r="F2658" s="95"/>
      <c r="G2658" s="95"/>
      <c r="H2658" s="95"/>
      <c r="I2658" s="95"/>
      <c r="J2658" s="277"/>
    </row>
    <row r="2659" spans="1:10">
      <c r="A2659" s="84"/>
      <c r="B2659" s="86"/>
      <c r="C2659" s="86"/>
      <c r="D2659" s="88"/>
      <c r="E2659" s="88"/>
      <c r="F2659" s="88"/>
      <c r="G2659" s="88"/>
      <c r="H2659" s="88"/>
      <c r="I2659" s="88"/>
      <c r="J2659" s="88"/>
    </row>
    <row r="2660" spans="1:10" ht="14.4" thickBot="1">
      <c r="A2660" s="84"/>
      <c r="B2660" s="84"/>
      <c r="C2660" s="84"/>
      <c r="D2660" s="95"/>
      <c r="E2660" s="95"/>
      <c r="F2660" s="95"/>
      <c r="G2660" s="95"/>
      <c r="H2660" s="95"/>
      <c r="I2660" s="95"/>
      <c r="J2660" s="95"/>
    </row>
    <row r="2661" spans="1:10">
      <c r="A2661" s="84"/>
      <c r="B2661" s="85"/>
      <c r="C2661" s="86"/>
      <c r="D2661" s="87" t="s">
        <v>227</v>
      </c>
      <c r="E2661" s="87"/>
      <c r="F2661" s="87"/>
      <c r="G2661" s="88"/>
      <c r="H2661" s="88"/>
      <c r="I2661" s="88"/>
      <c r="J2661" s="270"/>
    </row>
    <row r="2662" spans="1:10">
      <c r="A2662" s="84"/>
      <c r="B2662" s="89" t="s">
        <v>228</v>
      </c>
      <c r="C2662" s="90" t="s">
        <v>92</v>
      </c>
      <c r="D2662" s="91"/>
      <c r="E2662" s="91"/>
      <c r="F2662" s="91"/>
      <c r="G2662" s="91"/>
      <c r="H2662" s="92" t="s">
        <v>229</v>
      </c>
      <c r="I2662" s="91"/>
      <c r="J2662" s="99" t="s">
        <v>230</v>
      </c>
    </row>
    <row r="2663" spans="1:10">
      <c r="A2663" s="84"/>
      <c r="B2663" s="93" t="s">
        <v>231</v>
      </c>
      <c r="C2663" s="94" t="s">
        <v>712</v>
      </c>
      <c r="D2663" s="95"/>
      <c r="E2663" s="95"/>
      <c r="F2663" s="95"/>
      <c r="G2663" s="95"/>
      <c r="H2663" s="96" t="s">
        <v>233</v>
      </c>
      <c r="I2663" s="95"/>
      <c r="J2663" s="271" t="s">
        <v>711</v>
      </c>
    </row>
    <row r="2664" spans="1:10">
      <c r="A2664" s="84"/>
      <c r="B2664" s="89"/>
      <c r="C2664" s="90"/>
      <c r="D2664" s="91"/>
      <c r="E2664" s="92"/>
      <c r="F2664" s="92" t="s">
        <v>235</v>
      </c>
      <c r="G2664" s="92"/>
      <c r="H2664" s="92" t="s">
        <v>236</v>
      </c>
      <c r="I2664" s="92"/>
      <c r="J2664" s="99" t="s">
        <v>237</v>
      </c>
    </row>
    <row r="2665" spans="1:10">
      <c r="A2665" s="84"/>
      <c r="B2665" s="93" t="s">
        <v>228</v>
      </c>
      <c r="C2665" s="94" t="s">
        <v>238</v>
      </c>
      <c r="D2665" s="95"/>
      <c r="E2665" s="96" t="s">
        <v>239</v>
      </c>
      <c r="F2665" s="92" t="s">
        <v>240</v>
      </c>
      <c r="G2665" s="92" t="s">
        <v>241</v>
      </c>
      <c r="H2665" s="92" t="s">
        <v>240</v>
      </c>
      <c r="I2665" s="272" t="s">
        <v>241</v>
      </c>
      <c r="J2665" s="271" t="s">
        <v>242</v>
      </c>
    </row>
    <row r="2666" spans="1:10">
      <c r="A2666" s="84"/>
      <c r="B2666" s="273" t="s">
        <v>713</v>
      </c>
      <c r="C2666" s="90" t="s">
        <v>714</v>
      </c>
      <c r="D2666" s="91"/>
      <c r="E2666" s="92">
        <v>1</v>
      </c>
      <c r="F2666" s="92">
        <v>1</v>
      </c>
      <c r="G2666" s="92">
        <v>0</v>
      </c>
      <c r="H2666" s="92">
        <v>145.13999999999999</v>
      </c>
      <c r="I2666" s="92">
        <v>49.96</v>
      </c>
      <c r="J2666" s="99">
        <f>+ROUND(E2666* ((F2666*H2666) + (G2666*I2666)),2)</f>
        <v>145.13999999999999</v>
      </c>
    </row>
    <row r="2667" spans="1:10">
      <c r="A2667" s="84"/>
      <c r="B2667" s="93" t="s">
        <v>231</v>
      </c>
      <c r="C2667" s="94"/>
      <c r="D2667" s="95"/>
      <c r="E2667" s="96"/>
      <c r="F2667" s="96"/>
      <c r="G2667" s="96"/>
      <c r="H2667" s="96"/>
      <c r="I2667" s="96"/>
      <c r="J2667" s="271"/>
    </row>
    <row r="2668" spans="1:10">
      <c r="A2668" s="84"/>
      <c r="B2668" s="93" t="s">
        <v>231</v>
      </c>
      <c r="C2668" s="94"/>
      <c r="D2668" s="95"/>
      <c r="E2668" s="96"/>
      <c r="F2668" s="96"/>
      <c r="G2668" s="96"/>
      <c r="H2668" s="96"/>
      <c r="I2668" s="96"/>
      <c r="J2668" s="271"/>
    </row>
    <row r="2669" spans="1:10">
      <c r="A2669" s="84"/>
      <c r="B2669" s="93" t="s">
        <v>231</v>
      </c>
      <c r="C2669" s="94"/>
      <c r="D2669" s="95"/>
      <c r="E2669" s="96"/>
      <c r="F2669" s="96"/>
      <c r="G2669" s="96"/>
      <c r="H2669" s="96"/>
      <c r="I2669" s="96"/>
      <c r="J2669" s="271"/>
    </row>
    <row r="2670" spans="1:10">
      <c r="A2670" s="84"/>
      <c r="B2670" s="93" t="s">
        <v>231</v>
      </c>
      <c r="C2670" s="94"/>
      <c r="D2670" s="95"/>
      <c r="E2670" s="96"/>
      <c r="F2670" s="96"/>
      <c r="G2670" s="96"/>
      <c r="H2670" s="96"/>
      <c r="I2670" s="96"/>
      <c r="J2670" s="271"/>
    </row>
    <row r="2671" spans="1:10">
      <c r="A2671" s="84"/>
      <c r="B2671" s="93" t="s">
        <v>231</v>
      </c>
      <c r="C2671" s="94"/>
      <c r="D2671" s="95"/>
      <c r="E2671" s="96"/>
      <c r="F2671" s="96"/>
      <c r="G2671" s="96"/>
      <c r="H2671" s="96"/>
      <c r="I2671" s="96"/>
      <c r="J2671" s="271"/>
    </row>
    <row r="2672" spans="1:10">
      <c r="A2672" s="84"/>
      <c r="B2672" s="93" t="s">
        <v>231</v>
      </c>
      <c r="C2672" s="94"/>
      <c r="D2672" s="95"/>
      <c r="E2672" s="96"/>
      <c r="F2672" s="96"/>
      <c r="G2672" s="96"/>
      <c r="H2672" s="96"/>
      <c r="I2672" s="96"/>
      <c r="J2672" s="271"/>
    </row>
    <row r="2673" spans="1:10">
      <c r="A2673" s="84"/>
      <c r="B2673" s="89"/>
      <c r="C2673" s="97"/>
      <c r="D2673" s="91"/>
      <c r="E2673" s="91"/>
      <c r="F2673" s="91"/>
      <c r="G2673" s="91" t="s">
        <v>249</v>
      </c>
      <c r="H2673" s="91"/>
      <c r="I2673" s="91"/>
      <c r="J2673" s="99">
        <f>+SUBTOTAL(9,J2666:J2672)</f>
        <v>145.13999999999999</v>
      </c>
    </row>
    <row r="2674" spans="1:10">
      <c r="A2674" s="84"/>
      <c r="B2674" s="89" t="s">
        <v>228</v>
      </c>
      <c r="C2674" s="90" t="s">
        <v>250</v>
      </c>
      <c r="D2674" s="91"/>
      <c r="E2674" s="91"/>
      <c r="F2674" s="91"/>
      <c r="G2674" s="91"/>
      <c r="H2674" s="92" t="s">
        <v>239</v>
      </c>
      <c r="I2674" s="92" t="s">
        <v>251</v>
      </c>
      <c r="J2674" s="99" t="s">
        <v>252</v>
      </c>
    </row>
    <row r="2675" spans="1:10">
      <c r="A2675" s="84"/>
      <c r="B2675" s="89" t="s">
        <v>253</v>
      </c>
      <c r="C2675" s="90" t="s">
        <v>254</v>
      </c>
      <c r="D2675" s="91"/>
      <c r="E2675" s="91"/>
      <c r="F2675" s="91"/>
      <c r="G2675" s="91"/>
      <c r="H2675" s="92">
        <v>2</v>
      </c>
      <c r="I2675" s="92">
        <v>21.04</v>
      </c>
      <c r="J2675" s="99">
        <f>+ROUND(H2675*I2675,2)</f>
        <v>42.08</v>
      </c>
    </row>
    <row r="2676" spans="1:10">
      <c r="A2676" s="84"/>
      <c r="B2676" s="93" t="s">
        <v>231</v>
      </c>
      <c r="C2676" s="94"/>
      <c r="D2676" s="95"/>
      <c r="E2676" s="95"/>
      <c r="F2676" s="95"/>
      <c r="G2676" s="95"/>
      <c r="H2676" s="96"/>
      <c r="I2676" s="96"/>
      <c r="J2676" s="271"/>
    </row>
    <row r="2677" spans="1:10">
      <c r="A2677" s="84"/>
      <c r="B2677" s="93" t="s">
        <v>231</v>
      </c>
      <c r="C2677" s="94"/>
      <c r="D2677" s="95"/>
      <c r="E2677" s="95"/>
      <c r="F2677" s="95"/>
      <c r="G2677" s="95"/>
      <c r="H2677" s="96"/>
      <c r="I2677" s="96"/>
      <c r="J2677" s="271"/>
    </row>
    <row r="2678" spans="1:10">
      <c r="A2678" s="84"/>
      <c r="B2678" s="93" t="s">
        <v>231</v>
      </c>
      <c r="C2678" s="94"/>
      <c r="D2678" s="95"/>
      <c r="E2678" s="95"/>
      <c r="F2678" s="95"/>
      <c r="G2678" s="95"/>
      <c r="H2678" s="96"/>
      <c r="I2678" s="96"/>
      <c r="J2678" s="271"/>
    </row>
    <row r="2679" spans="1:10">
      <c r="A2679" s="84"/>
      <c r="B2679" s="93" t="s">
        <v>231</v>
      </c>
      <c r="C2679" s="94"/>
      <c r="D2679" s="95"/>
      <c r="E2679" s="95"/>
      <c r="F2679" s="95"/>
      <c r="G2679" s="95"/>
      <c r="H2679" s="96"/>
      <c r="I2679" s="96"/>
      <c r="J2679" s="271"/>
    </row>
    <row r="2680" spans="1:10">
      <c r="A2680" s="84"/>
      <c r="B2680" s="93" t="s">
        <v>231</v>
      </c>
      <c r="C2680" s="94"/>
      <c r="D2680" s="95"/>
      <c r="E2680" s="95"/>
      <c r="F2680" s="95"/>
      <c r="G2680" s="95"/>
      <c r="H2680" s="96"/>
      <c r="I2680" s="96"/>
      <c r="J2680" s="271"/>
    </row>
    <row r="2681" spans="1:10">
      <c r="A2681" s="84"/>
      <c r="B2681" s="93" t="s">
        <v>231</v>
      </c>
      <c r="C2681" s="94"/>
      <c r="D2681" s="95"/>
      <c r="E2681" s="95"/>
      <c r="F2681" s="95"/>
      <c r="G2681" s="95"/>
      <c r="H2681" s="96"/>
      <c r="I2681" s="96"/>
      <c r="J2681" s="271"/>
    </row>
    <row r="2682" spans="1:10">
      <c r="A2682" s="84"/>
      <c r="B2682" s="89"/>
      <c r="C2682" s="97"/>
      <c r="D2682" s="91"/>
      <c r="E2682" s="91"/>
      <c r="F2682" s="91"/>
      <c r="G2682" s="91" t="s">
        <v>255</v>
      </c>
      <c r="H2682" s="91"/>
      <c r="I2682" s="91"/>
      <c r="J2682" s="99">
        <f>+SUBTOTAL(9,J2675:J2681)</f>
        <v>42.08</v>
      </c>
    </row>
    <row r="2683" spans="1:10">
      <c r="A2683" s="84"/>
      <c r="B2683" s="89"/>
      <c r="C2683" s="97"/>
      <c r="D2683" s="91"/>
      <c r="E2683" s="91"/>
      <c r="F2683" s="91" t="s">
        <v>256</v>
      </c>
      <c r="G2683" s="91"/>
      <c r="H2683" s="91"/>
      <c r="I2683" s="91">
        <v>0</v>
      </c>
      <c r="J2683" s="99">
        <f>+ROUND(I2683*J2682,2)</f>
        <v>0</v>
      </c>
    </row>
    <row r="2684" spans="1:10">
      <c r="A2684" s="84"/>
      <c r="B2684" s="89"/>
      <c r="C2684" s="97"/>
      <c r="D2684" s="91"/>
      <c r="E2684" s="91"/>
      <c r="F2684" s="91" t="s">
        <v>257</v>
      </c>
      <c r="G2684" s="91"/>
      <c r="H2684" s="91"/>
      <c r="I2684" s="91"/>
      <c r="J2684" s="99">
        <f>+SUBTOTAL(9,J2675:J2683)</f>
        <v>42.08</v>
      </c>
    </row>
    <row r="2685" spans="1:10">
      <c r="A2685" s="84"/>
      <c r="B2685" s="98"/>
      <c r="C2685" s="97"/>
      <c r="D2685" s="91"/>
      <c r="E2685" s="91"/>
      <c r="F2685" s="91"/>
      <c r="G2685" s="91" t="s">
        <v>258</v>
      </c>
      <c r="H2685" s="91"/>
      <c r="I2685" s="91"/>
      <c r="J2685" s="275">
        <f>+SUBTOTAL(9,J2666:J2684)</f>
        <v>187.21999999999997</v>
      </c>
    </row>
    <row r="2686" spans="1:10">
      <c r="A2686" s="84"/>
      <c r="B2686" s="98"/>
      <c r="C2686" s="97" t="s">
        <v>259</v>
      </c>
      <c r="D2686" s="91">
        <v>0.43874999999999997</v>
      </c>
      <c r="E2686" s="91"/>
      <c r="F2686" s="91"/>
      <c r="G2686" s="91" t="s">
        <v>260</v>
      </c>
      <c r="H2686" s="91"/>
      <c r="I2686" s="91"/>
      <c r="J2686" s="275">
        <f>+ROUND(J2685/D2686,2)</f>
        <v>426.71</v>
      </c>
    </row>
    <row r="2687" spans="1:10">
      <c r="A2687" s="84"/>
      <c r="B2687" s="89" t="s">
        <v>228</v>
      </c>
      <c r="C2687" s="90" t="s">
        <v>261</v>
      </c>
      <c r="D2687" s="91"/>
      <c r="E2687" s="91"/>
      <c r="F2687" s="91"/>
      <c r="G2687" s="92" t="s">
        <v>230</v>
      </c>
      <c r="H2687" s="92" t="s">
        <v>262</v>
      </c>
      <c r="I2687" s="92" t="s">
        <v>263</v>
      </c>
      <c r="J2687" s="99" t="s">
        <v>264</v>
      </c>
    </row>
    <row r="2688" spans="1:10">
      <c r="A2688" s="84"/>
      <c r="B2688" s="89">
        <v>9199997</v>
      </c>
      <c r="C2688" s="90" t="s">
        <v>273</v>
      </c>
      <c r="D2688" s="91"/>
      <c r="E2688" s="91"/>
      <c r="F2688" s="91"/>
      <c r="G2688" s="92" t="s">
        <v>274</v>
      </c>
      <c r="H2688" s="92">
        <v>426.7</v>
      </c>
      <c r="I2688" s="92">
        <v>2.7799999999999998E-2</v>
      </c>
      <c r="J2688" s="99">
        <f>+ROUND(H2688*I2688,2)</f>
        <v>11.86</v>
      </c>
    </row>
    <row r="2689" spans="1:10">
      <c r="A2689" s="84"/>
      <c r="B2689" s="93" t="s">
        <v>231</v>
      </c>
      <c r="C2689" s="94"/>
      <c r="D2689" s="95"/>
      <c r="E2689" s="95"/>
      <c r="F2689" s="95"/>
      <c r="G2689" s="96"/>
      <c r="H2689" s="96"/>
      <c r="I2689" s="96"/>
      <c r="J2689" s="271"/>
    </row>
    <row r="2690" spans="1:10">
      <c r="A2690" s="84"/>
      <c r="B2690" s="93" t="s">
        <v>231</v>
      </c>
      <c r="C2690" s="94"/>
      <c r="D2690" s="95"/>
      <c r="E2690" s="95"/>
      <c r="F2690" s="95"/>
      <c r="G2690" s="96"/>
      <c r="H2690" s="96"/>
      <c r="I2690" s="96"/>
      <c r="J2690" s="271"/>
    </row>
    <row r="2691" spans="1:10">
      <c r="A2691" s="84"/>
      <c r="B2691" s="93" t="s">
        <v>231</v>
      </c>
      <c r="C2691" s="94"/>
      <c r="D2691" s="95"/>
      <c r="E2691" s="95"/>
      <c r="F2691" s="95"/>
      <c r="G2691" s="96"/>
      <c r="H2691" s="96"/>
      <c r="I2691" s="96"/>
      <c r="J2691" s="271"/>
    </row>
    <row r="2692" spans="1:10">
      <c r="A2692" s="84"/>
      <c r="B2692" s="93" t="s">
        <v>231</v>
      </c>
      <c r="C2692" s="94"/>
      <c r="D2692" s="95"/>
      <c r="E2692" s="95"/>
      <c r="F2692" s="95"/>
      <c r="G2692" s="96"/>
      <c r="H2692" s="96"/>
      <c r="I2692" s="96"/>
      <c r="J2692" s="271"/>
    </row>
    <row r="2693" spans="1:10">
      <c r="A2693" s="84"/>
      <c r="B2693" s="93" t="s">
        <v>231</v>
      </c>
      <c r="C2693" s="94"/>
      <c r="D2693" s="95"/>
      <c r="E2693" s="95"/>
      <c r="F2693" s="95"/>
      <c r="G2693" s="96"/>
      <c r="H2693" s="96"/>
      <c r="I2693" s="96"/>
      <c r="J2693" s="271"/>
    </row>
    <row r="2694" spans="1:10">
      <c r="A2694" s="84"/>
      <c r="B2694" s="93" t="s">
        <v>231</v>
      </c>
      <c r="C2694" s="94"/>
      <c r="D2694" s="95"/>
      <c r="E2694" s="95"/>
      <c r="F2694" s="95"/>
      <c r="G2694" s="96"/>
      <c r="H2694" s="96"/>
      <c r="I2694" s="96"/>
      <c r="J2694" s="271"/>
    </row>
    <row r="2695" spans="1:10">
      <c r="A2695" s="84"/>
      <c r="B2695" s="89"/>
      <c r="C2695" s="97"/>
      <c r="D2695" s="91"/>
      <c r="E2695" s="91"/>
      <c r="F2695" s="91"/>
      <c r="G2695" s="91" t="s">
        <v>275</v>
      </c>
      <c r="H2695" s="91"/>
      <c r="I2695" s="91"/>
      <c r="J2695" s="99">
        <f>+SUBTOTAL(9,J2688:J2694)</f>
        <v>11.86</v>
      </c>
    </row>
    <row r="2696" spans="1:10">
      <c r="A2696" s="84"/>
      <c r="B2696" s="89" t="s">
        <v>228</v>
      </c>
      <c r="C2696" s="90" t="s">
        <v>276</v>
      </c>
      <c r="D2696" s="91"/>
      <c r="E2696" s="91"/>
      <c r="F2696" s="91"/>
      <c r="G2696" s="92" t="s">
        <v>230</v>
      </c>
      <c r="H2696" s="92" t="s">
        <v>262</v>
      </c>
      <c r="I2696" s="92" t="s">
        <v>263</v>
      </c>
      <c r="J2696" s="99" t="s">
        <v>264</v>
      </c>
    </row>
    <row r="2697" spans="1:10">
      <c r="A2697" s="84"/>
      <c r="B2697" s="89" t="s">
        <v>231</v>
      </c>
      <c r="C2697" s="90"/>
      <c r="D2697" s="91"/>
      <c r="E2697" s="91"/>
      <c r="F2697" s="91"/>
      <c r="G2697" s="92"/>
      <c r="H2697" s="92"/>
      <c r="I2697" s="92"/>
      <c r="J2697" s="99"/>
    </row>
    <row r="2698" spans="1:10">
      <c r="A2698" s="84"/>
      <c r="B2698" s="93" t="s">
        <v>231</v>
      </c>
      <c r="C2698" s="94"/>
      <c r="D2698" s="95"/>
      <c r="E2698" s="95"/>
      <c r="F2698" s="95"/>
      <c r="G2698" s="96"/>
      <c r="H2698" s="96"/>
      <c r="I2698" s="96"/>
      <c r="J2698" s="271"/>
    </row>
    <row r="2699" spans="1:10">
      <c r="A2699" s="84"/>
      <c r="B2699" s="93" t="s">
        <v>231</v>
      </c>
      <c r="C2699" s="94"/>
      <c r="D2699" s="95"/>
      <c r="E2699" s="95"/>
      <c r="F2699" s="95"/>
      <c r="G2699" s="96"/>
      <c r="H2699" s="96"/>
      <c r="I2699" s="96"/>
      <c r="J2699" s="271"/>
    </row>
    <row r="2700" spans="1:10">
      <c r="A2700" s="84"/>
      <c r="B2700" s="93" t="s">
        <v>231</v>
      </c>
      <c r="C2700" s="94"/>
      <c r="D2700" s="95"/>
      <c r="E2700" s="95"/>
      <c r="F2700" s="95"/>
      <c r="G2700" s="96"/>
      <c r="H2700" s="96"/>
      <c r="I2700" s="96"/>
      <c r="J2700" s="271"/>
    </row>
    <row r="2701" spans="1:10">
      <c r="A2701" s="84"/>
      <c r="B2701" s="93" t="s">
        <v>231</v>
      </c>
      <c r="C2701" s="94"/>
      <c r="D2701" s="95"/>
      <c r="E2701" s="95"/>
      <c r="F2701" s="95"/>
      <c r="G2701" s="96"/>
      <c r="H2701" s="96"/>
      <c r="I2701" s="96"/>
      <c r="J2701" s="271"/>
    </row>
    <row r="2702" spans="1:10">
      <c r="A2702" s="84"/>
      <c r="B2702" s="89"/>
      <c r="C2702" s="97"/>
      <c r="D2702" s="91"/>
      <c r="E2702" s="91"/>
      <c r="F2702" s="91"/>
      <c r="G2702" s="91" t="s">
        <v>279</v>
      </c>
      <c r="H2702" s="91"/>
      <c r="I2702" s="91"/>
      <c r="J2702" s="99">
        <f>+SUBTOTAL(9,J2697:J2701)</f>
        <v>0</v>
      </c>
    </row>
    <row r="2703" spans="1:10">
      <c r="A2703" s="84"/>
      <c r="B2703" s="89" t="s">
        <v>228</v>
      </c>
      <c r="C2703" s="90" t="s">
        <v>280</v>
      </c>
      <c r="D2703" s="92" t="s">
        <v>281</v>
      </c>
      <c r="E2703" s="92" t="s">
        <v>282</v>
      </c>
      <c r="F2703" s="92" t="s">
        <v>283</v>
      </c>
      <c r="G2703" s="92" t="s">
        <v>284</v>
      </c>
      <c r="H2703" s="92" t="s">
        <v>285</v>
      </c>
      <c r="I2703" s="92" t="s">
        <v>263</v>
      </c>
      <c r="J2703" s="99" t="s">
        <v>286</v>
      </c>
    </row>
    <row r="2704" spans="1:10">
      <c r="A2704" s="84"/>
      <c r="B2704" s="89" t="s">
        <v>231</v>
      </c>
      <c r="C2704" s="90"/>
      <c r="D2704" s="92"/>
      <c r="E2704" s="92"/>
      <c r="F2704" s="92"/>
      <c r="G2704" s="92"/>
      <c r="H2704" s="92"/>
      <c r="I2704" s="92"/>
      <c r="J2704" s="99"/>
    </row>
    <row r="2705" spans="1:10">
      <c r="A2705" s="84"/>
      <c r="B2705" s="93" t="s">
        <v>231</v>
      </c>
      <c r="C2705" s="94"/>
      <c r="D2705" s="96"/>
      <c r="E2705" s="96"/>
      <c r="F2705" s="96"/>
      <c r="G2705" s="96"/>
      <c r="H2705" s="96"/>
      <c r="I2705" s="96"/>
      <c r="J2705" s="271"/>
    </row>
    <row r="2706" spans="1:10">
      <c r="A2706" s="84"/>
      <c r="B2706" s="93" t="s">
        <v>231</v>
      </c>
      <c r="C2706" s="94"/>
      <c r="D2706" s="96"/>
      <c r="E2706" s="96"/>
      <c r="F2706" s="96"/>
      <c r="G2706" s="96"/>
      <c r="H2706" s="96"/>
      <c r="I2706" s="96"/>
      <c r="J2706" s="271"/>
    </row>
    <row r="2707" spans="1:10">
      <c r="A2707" s="84"/>
      <c r="B2707" s="93" t="s">
        <v>231</v>
      </c>
      <c r="C2707" s="94"/>
      <c r="D2707" s="96"/>
      <c r="E2707" s="96"/>
      <c r="F2707" s="96"/>
      <c r="G2707" s="96"/>
      <c r="H2707" s="96"/>
      <c r="I2707" s="96"/>
      <c r="J2707" s="271"/>
    </row>
    <row r="2708" spans="1:10">
      <c r="A2708" s="84"/>
      <c r="B2708" s="93" t="s">
        <v>231</v>
      </c>
      <c r="C2708" s="94"/>
      <c r="D2708" s="96"/>
      <c r="E2708" s="96"/>
      <c r="F2708" s="96"/>
      <c r="G2708" s="96"/>
      <c r="H2708" s="96"/>
      <c r="I2708" s="96"/>
      <c r="J2708" s="271"/>
    </row>
    <row r="2709" spans="1:10">
      <c r="A2709" s="84"/>
      <c r="B2709" s="93" t="s">
        <v>231</v>
      </c>
      <c r="C2709" s="94"/>
      <c r="D2709" s="96"/>
      <c r="E2709" s="96"/>
      <c r="F2709" s="96"/>
      <c r="G2709" s="96"/>
      <c r="H2709" s="96"/>
      <c r="I2709" s="96"/>
      <c r="J2709" s="271"/>
    </row>
    <row r="2710" spans="1:10">
      <c r="A2710" s="84"/>
      <c r="B2710" s="93" t="s">
        <v>231</v>
      </c>
      <c r="C2710" s="94"/>
      <c r="D2710" s="96"/>
      <c r="E2710" s="96"/>
      <c r="F2710" s="96"/>
      <c r="G2710" s="96"/>
      <c r="H2710" s="96"/>
      <c r="I2710" s="96"/>
      <c r="J2710" s="271"/>
    </row>
    <row r="2711" spans="1:10">
      <c r="A2711" s="84"/>
      <c r="B2711" s="89"/>
      <c r="C2711" s="97"/>
      <c r="D2711" s="91"/>
      <c r="E2711" s="91"/>
      <c r="F2711" s="91"/>
      <c r="G2711" s="91" t="s">
        <v>290</v>
      </c>
      <c r="H2711" s="91"/>
      <c r="I2711" s="91"/>
      <c r="J2711" s="99">
        <f>+SUBTOTAL(9,J2704:J2710)</f>
        <v>0</v>
      </c>
    </row>
    <row r="2712" spans="1:10">
      <c r="A2712" s="84"/>
      <c r="B2712" s="89" t="s">
        <v>291</v>
      </c>
      <c r="C2712" s="97"/>
      <c r="D2712" s="91"/>
      <c r="E2712" s="91"/>
      <c r="F2712" s="91"/>
      <c r="G2712" s="91"/>
      <c r="H2712" s="91"/>
      <c r="I2712" s="91"/>
      <c r="J2712" s="99">
        <f>+SUBTOTAL(9,J2686:J2710)</f>
        <v>438.57</v>
      </c>
    </row>
    <row r="2713" spans="1:10">
      <c r="A2713" s="84"/>
      <c r="B2713" s="89" t="s">
        <v>292</v>
      </c>
      <c r="C2713" s="97"/>
      <c r="D2713" s="91">
        <v>0</v>
      </c>
      <c r="E2713" s="91"/>
      <c r="F2713" s="91"/>
      <c r="G2713" s="91"/>
      <c r="H2713" s="91"/>
      <c r="I2713" s="91"/>
      <c r="J2713" s="99">
        <f>+ROUND(J2712*D2713/100,2)</f>
        <v>0</v>
      </c>
    </row>
    <row r="2714" spans="1:10" ht="14.4" thickBot="1">
      <c r="A2714" s="84"/>
      <c r="B2714" s="89" t="s">
        <v>293</v>
      </c>
      <c r="C2714" s="97"/>
      <c r="D2714" s="91"/>
      <c r="E2714" s="91"/>
      <c r="F2714" s="91"/>
      <c r="G2714" s="91"/>
      <c r="H2714" s="91"/>
      <c r="I2714" s="91"/>
      <c r="J2714" s="99">
        <f>+J2712+ J2713</f>
        <v>438.57</v>
      </c>
    </row>
    <row r="2715" spans="1:10">
      <c r="A2715" s="84"/>
      <c r="B2715" s="85" t="s">
        <v>294</v>
      </c>
      <c r="C2715" s="86"/>
      <c r="D2715" s="88"/>
      <c r="E2715" s="88"/>
      <c r="F2715" s="88" t="s">
        <v>295</v>
      </c>
      <c r="G2715" s="88"/>
      <c r="H2715" s="88"/>
      <c r="I2715" s="88" t="s">
        <v>296</v>
      </c>
      <c r="J2715" s="270"/>
    </row>
    <row r="2716" spans="1:10">
      <c r="A2716" s="84"/>
      <c r="B2716" s="93" t="s">
        <v>297</v>
      </c>
      <c r="C2716" s="84"/>
      <c r="D2716" s="95"/>
      <c r="E2716" s="95"/>
      <c r="F2716" s="95" t="s">
        <v>298</v>
      </c>
      <c r="G2716" s="95"/>
      <c r="H2716" s="95"/>
      <c r="I2716" s="95"/>
      <c r="J2716" s="276"/>
    </row>
    <row r="2717" spans="1:10">
      <c r="A2717" s="84"/>
      <c r="B2717" s="93" t="s">
        <v>299</v>
      </c>
      <c r="C2717" s="84"/>
      <c r="D2717" s="95"/>
      <c r="E2717" s="95"/>
      <c r="F2717" s="95" t="s">
        <v>300</v>
      </c>
      <c r="G2717" s="95"/>
      <c r="H2717" s="95"/>
      <c r="I2717" s="95"/>
      <c r="J2717" s="276"/>
    </row>
    <row r="2718" spans="1:10" ht="14.4" thickBot="1">
      <c r="A2718" s="84"/>
      <c r="B2718" s="100" t="s">
        <v>301</v>
      </c>
      <c r="C2718" s="84"/>
      <c r="D2718" s="95"/>
      <c r="E2718" s="95"/>
      <c r="F2718" s="95"/>
      <c r="G2718" s="95"/>
      <c r="H2718" s="95"/>
      <c r="I2718" s="95"/>
      <c r="J2718" s="277"/>
    </row>
    <row r="2719" spans="1:10">
      <c r="A2719" s="84"/>
      <c r="B2719" s="86"/>
      <c r="C2719" s="86"/>
      <c r="D2719" s="88"/>
      <c r="E2719" s="88"/>
      <c r="F2719" s="88"/>
      <c r="G2719" s="88"/>
      <c r="H2719" s="88"/>
      <c r="I2719" s="88"/>
      <c r="J2719" s="88"/>
    </row>
    <row r="2720" spans="1:10" ht="14.4" thickBot="1">
      <c r="A2720" s="84"/>
      <c r="B2720" s="84"/>
      <c r="C2720" s="84"/>
      <c r="D2720" s="95"/>
      <c r="E2720" s="95"/>
      <c r="F2720" s="95"/>
      <c r="G2720" s="95"/>
      <c r="H2720" s="95"/>
      <c r="I2720" s="95"/>
      <c r="J2720" s="95"/>
    </row>
    <row r="2721" spans="1:10">
      <c r="A2721" s="84"/>
      <c r="B2721" s="85"/>
      <c r="C2721" s="86"/>
      <c r="D2721" s="87" t="s">
        <v>227</v>
      </c>
      <c r="E2721" s="87"/>
      <c r="F2721" s="87"/>
      <c r="G2721" s="88"/>
      <c r="H2721" s="88"/>
      <c r="I2721" s="88"/>
      <c r="J2721" s="270"/>
    </row>
    <row r="2722" spans="1:10">
      <c r="A2722" s="84"/>
      <c r="B2722" s="89" t="s">
        <v>228</v>
      </c>
      <c r="C2722" s="90" t="s">
        <v>92</v>
      </c>
      <c r="D2722" s="91"/>
      <c r="E2722" s="91"/>
      <c r="F2722" s="91"/>
      <c r="G2722" s="91"/>
      <c r="H2722" s="92" t="s">
        <v>229</v>
      </c>
      <c r="I2722" s="91"/>
      <c r="J2722" s="99" t="s">
        <v>230</v>
      </c>
    </row>
    <row r="2723" spans="1:10">
      <c r="A2723" s="84"/>
      <c r="B2723" s="93" t="s">
        <v>231</v>
      </c>
      <c r="C2723" s="94" t="s">
        <v>715</v>
      </c>
      <c r="D2723" s="95"/>
      <c r="E2723" s="95"/>
      <c r="F2723" s="95"/>
      <c r="G2723" s="95"/>
      <c r="H2723" s="96" t="s">
        <v>233</v>
      </c>
      <c r="I2723" s="95"/>
      <c r="J2723" s="271" t="s">
        <v>375</v>
      </c>
    </row>
    <row r="2724" spans="1:10">
      <c r="A2724" s="84"/>
      <c r="B2724" s="89"/>
      <c r="C2724" s="90"/>
      <c r="D2724" s="91"/>
      <c r="E2724" s="92"/>
      <c r="F2724" s="92" t="s">
        <v>235</v>
      </c>
      <c r="G2724" s="92"/>
      <c r="H2724" s="92" t="s">
        <v>236</v>
      </c>
      <c r="I2724" s="92"/>
      <c r="J2724" s="99" t="s">
        <v>237</v>
      </c>
    </row>
    <row r="2725" spans="1:10">
      <c r="A2725" s="84"/>
      <c r="B2725" s="93" t="s">
        <v>228</v>
      </c>
      <c r="C2725" s="94" t="s">
        <v>238</v>
      </c>
      <c r="D2725" s="95"/>
      <c r="E2725" s="96" t="s">
        <v>239</v>
      </c>
      <c r="F2725" s="92" t="s">
        <v>240</v>
      </c>
      <c r="G2725" s="92" t="s">
        <v>241</v>
      </c>
      <c r="H2725" s="92" t="s">
        <v>240</v>
      </c>
      <c r="I2725" s="272" t="s">
        <v>241</v>
      </c>
      <c r="J2725" s="271" t="s">
        <v>242</v>
      </c>
    </row>
    <row r="2726" spans="1:10">
      <c r="A2726" s="84"/>
      <c r="B2726" s="89" t="s">
        <v>231</v>
      </c>
      <c r="C2726" s="90"/>
      <c r="D2726" s="91"/>
      <c r="E2726" s="92"/>
      <c r="F2726" s="92"/>
      <c r="G2726" s="92"/>
      <c r="H2726" s="92"/>
      <c r="I2726" s="92"/>
      <c r="J2726" s="99"/>
    </row>
    <row r="2727" spans="1:10">
      <c r="A2727" s="84"/>
      <c r="B2727" s="93" t="s">
        <v>231</v>
      </c>
      <c r="C2727" s="94"/>
      <c r="D2727" s="95"/>
      <c r="E2727" s="96"/>
      <c r="F2727" s="96"/>
      <c r="G2727" s="96"/>
      <c r="H2727" s="96"/>
      <c r="I2727" s="96"/>
      <c r="J2727" s="271"/>
    </row>
    <row r="2728" spans="1:10">
      <c r="A2728" s="84"/>
      <c r="B2728" s="93" t="s">
        <v>231</v>
      </c>
      <c r="C2728" s="94"/>
      <c r="D2728" s="95"/>
      <c r="E2728" s="96"/>
      <c r="F2728" s="96"/>
      <c r="G2728" s="96"/>
      <c r="H2728" s="96"/>
      <c r="I2728" s="96"/>
      <c r="J2728" s="271"/>
    </row>
    <row r="2729" spans="1:10">
      <c r="A2729" s="84"/>
      <c r="B2729" s="93" t="s">
        <v>231</v>
      </c>
      <c r="C2729" s="94"/>
      <c r="D2729" s="95"/>
      <c r="E2729" s="96"/>
      <c r="F2729" s="96"/>
      <c r="G2729" s="96"/>
      <c r="H2729" s="96"/>
      <c r="I2729" s="96"/>
      <c r="J2729" s="271"/>
    </row>
    <row r="2730" spans="1:10">
      <c r="A2730" s="84"/>
      <c r="B2730" s="93" t="s">
        <v>231</v>
      </c>
      <c r="C2730" s="94"/>
      <c r="D2730" s="95"/>
      <c r="E2730" s="96"/>
      <c r="F2730" s="96"/>
      <c r="G2730" s="96"/>
      <c r="H2730" s="96"/>
      <c r="I2730" s="96"/>
      <c r="J2730" s="271"/>
    </row>
    <row r="2731" spans="1:10">
      <c r="A2731" s="84"/>
      <c r="B2731" s="93" t="s">
        <v>231</v>
      </c>
      <c r="C2731" s="94"/>
      <c r="D2731" s="95"/>
      <c r="E2731" s="96"/>
      <c r="F2731" s="96"/>
      <c r="G2731" s="96"/>
      <c r="H2731" s="96"/>
      <c r="I2731" s="96"/>
      <c r="J2731" s="271"/>
    </row>
    <row r="2732" spans="1:10">
      <c r="A2732" s="84"/>
      <c r="B2732" s="93" t="s">
        <v>231</v>
      </c>
      <c r="C2732" s="94"/>
      <c r="D2732" s="95"/>
      <c r="E2732" s="96"/>
      <c r="F2732" s="96"/>
      <c r="G2732" s="96"/>
      <c r="H2732" s="96"/>
      <c r="I2732" s="96"/>
      <c r="J2732" s="271"/>
    </row>
    <row r="2733" spans="1:10">
      <c r="A2733" s="84"/>
      <c r="B2733" s="89"/>
      <c r="C2733" s="97"/>
      <c r="D2733" s="91"/>
      <c r="E2733" s="91"/>
      <c r="F2733" s="91"/>
      <c r="G2733" s="91" t="s">
        <v>249</v>
      </c>
      <c r="H2733" s="91"/>
      <c r="I2733" s="91"/>
      <c r="J2733" s="99">
        <f>+SUBTOTAL(9,J2726:J2732)</f>
        <v>0</v>
      </c>
    </row>
    <row r="2734" spans="1:10">
      <c r="A2734" s="84"/>
      <c r="B2734" s="89" t="s">
        <v>228</v>
      </c>
      <c r="C2734" s="90" t="s">
        <v>250</v>
      </c>
      <c r="D2734" s="91"/>
      <c r="E2734" s="91"/>
      <c r="F2734" s="91"/>
      <c r="G2734" s="91"/>
      <c r="H2734" s="92" t="s">
        <v>239</v>
      </c>
      <c r="I2734" s="92" t="s">
        <v>251</v>
      </c>
      <c r="J2734" s="99" t="s">
        <v>252</v>
      </c>
    </row>
    <row r="2735" spans="1:10">
      <c r="A2735" s="84"/>
      <c r="B2735" s="89" t="s">
        <v>253</v>
      </c>
      <c r="C2735" s="90" t="s">
        <v>254</v>
      </c>
      <c r="D2735" s="91"/>
      <c r="E2735" s="91"/>
      <c r="F2735" s="91"/>
      <c r="G2735" s="91"/>
      <c r="H2735" s="92">
        <v>10</v>
      </c>
      <c r="I2735" s="92">
        <v>21.04</v>
      </c>
      <c r="J2735" s="99">
        <f>+ROUND(H2735*I2735,2)</f>
        <v>210.4</v>
      </c>
    </row>
    <row r="2736" spans="1:10">
      <c r="A2736" s="84"/>
      <c r="B2736" s="93" t="s">
        <v>231</v>
      </c>
      <c r="C2736" s="94"/>
      <c r="D2736" s="95"/>
      <c r="E2736" s="95"/>
      <c r="F2736" s="95"/>
      <c r="G2736" s="95"/>
      <c r="H2736" s="96"/>
      <c r="I2736" s="96"/>
      <c r="J2736" s="271"/>
    </row>
    <row r="2737" spans="1:10">
      <c r="A2737" s="84"/>
      <c r="B2737" s="93" t="s">
        <v>231</v>
      </c>
      <c r="C2737" s="94"/>
      <c r="D2737" s="95"/>
      <c r="E2737" s="95"/>
      <c r="F2737" s="95"/>
      <c r="G2737" s="95"/>
      <c r="H2737" s="96"/>
      <c r="I2737" s="96"/>
      <c r="J2737" s="271"/>
    </row>
    <row r="2738" spans="1:10">
      <c r="A2738" s="84"/>
      <c r="B2738" s="93" t="s">
        <v>231</v>
      </c>
      <c r="C2738" s="94"/>
      <c r="D2738" s="95"/>
      <c r="E2738" s="95"/>
      <c r="F2738" s="95"/>
      <c r="G2738" s="95"/>
      <c r="H2738" s="96"/>
      <c r="I2738" s="96"/>
      <c r="J2738" s="271"/>
    </row>
    <row r="2739" spans="1:10">
      <c r="A2739" s="84"/>
      <c r="B2739" s="93" t="s">
        <v>231</v>
      </c>
      <c r="C2739" s="94"/>
      <c r="D2739" s="95"/>
      <c r="E2739" s="95"/>
      <c r="F2739" s="95"/>
      <c r="G2739" s="95"/>
      <c r="H2739" s="96"/>
      <c r="I2739" s="96"/>
      <c r="J2739" s="271"/>
    </row>
    <row r="2740" spans="1:10">
      <c r="A2740" s="84"/>
      <c r="B2740" s="93" t="s">
        <v>231</v>
      </c>
      <c r="C2740" s="94"/>
      <c r="D2740" s="95"/>
      <c r="E2740" s="95"/>
      <c r="F2740" s="95"/>
      <c r="G2740" s="95"/>
      <c r="H2740" s="96"/>
      <c r="I2740" s="96"/>
      <c r="J2740" s="271"/>
    </row>
    <row r="2741" spans="1:10">
      <c r="A2741" s="84"/>
      <c r="B2741" s="93" t="s">
        <v>231</v>
      </c>
      <c r="C2741" s="94"/>
      <c r="D2741" s="95"/>
      <c r="E2741" s="95"/>
      <c r="F2741" s="95"/>
      <c r="G2741" s="95"/>
      <c r="H2741" s="96"/>
      <c r="I2741" s="96"/>
      <c r="J2741" s="271"/>
    </row>
    <row r="2742" spans="1:10">
      <c r="A2742" s="84"/>
      <c r="B2742" s="89"/>
      <c r="C2742" s="97"/>
      <c r="D2742" s="91"/>
      <c r="E2742" s="91"/>
      <c r="F2742" s="91"/>
      <c r="G2742" s="91" t="s">
        <v>255</v>
      </c>
      <c r="H2742" s="91"/>
      <c r="I2742" s="91"/>
      <c r="J2742" s="99">
        <f>+SUBTOTAL(9,J2735:J2741)</f>
        <v>210.4</v>
      </c>
    </row>
    <row r="2743" spans="1:10">
      <c r="A2743" s="84"/>
      <c r="B2743" s="89"/>
      <c r="C2743" s="97"/>
      <c r="D2743" s="91"/>
      <c r="E2743" s="91"/>
      <c r="F2743" s="91" t="s">
        <v>256</v>
      </c>
      <c r="G2743" s="91"/>
      <c r="H2743" s="91"/>
      <c r="I2743" s="91">
        <v>0</v>
      </c>
      <c r="J2743" s="99">
        <f>+ROUND(I2743*J2742,2)</f>
        <v>0</v>
      </c>
    </row>
    <row r="2744" spans="1:10">
      <c r="A2744" s="84"/>
      <c r="B2744" s="89"/>
      <c r="C2744" s="97"/>
      <c r="D2744" s="91"/>
      <c r="E2744" s="91"/>
      <c r="F2744" s="91" t="s">
        <v>257</v>
      </c>
      <c r="G2744" s="91"/>
      <c r="H2744" s="91"/>
      <c r="I2744" s="91"/>
      <c r="J2744" s="99">
        <f>+SUBTOTAL(9,J2735:J2743)</f>
        <v>210.4</v>
      </c>
    </row>
    <row r="2745" spans="1:10">
      <c r="A2745" s="84"/>
      <c r="B2745" s="98"/>
      <c r="C2745" s="97"/>
      <c r="D2745" s="91"/>
      <c r="E2745" s="91"/>
      <c r="F2745" s="91"/>
      <c r="G2745" s="91" t="s">
        <v>258</v>
      </c>
      <c r="H2745" s="91"/>
      <c r="I2745" s="91"/>
      <c r="J2745" s="275">
        <f>+SUBTOTAL(9,J2726:J2744)</f>
        <v>210.4</v>
      </c>
    </row>
    <row r="2746" spans="1:10">
      <c r="A2746" s="84"/>
      <c r="B2746" s="98"/>
      <c r="C2746" s="97" t="s">
        <v>259</v>
      </c>
      <c r="D2746" s="91">
        <v>300</v>
      </c>
      <c r="E2746" s="91"/>
      <c r="F2746" s="91"/>
      <c r="G2746" s="91" t="s">
        <v>260</v>
      </c>
      <c r="H2746" s="91"/>
      <c r="I2746" s="91"/>
      <c r="J2746" s="275">
        <f>+ROUND(J2745/D2746,2)</f>
        <v>0.7</v>
      </c>
    </row>
    <row r="2747" spans="1:10">
      <c r="A2747" s="84"/>
      <c r="B2747" s="89" t="s">
        <v>228</v>
      </c>
      <c r="C2747" s="90" t="s">
        <v>261</v>
      </c>
      <c r="D2747" s="91"/>
      <c r="E2747" s="91"/>
      <c r="F2747" s="91"/>
      <c r="G2747" s="92" t="s">
        <v>230</v>
      </c>
      <c r="H2747" s="92" t="s">
        <v>262</v>
      </c>
      <c r="I2747" s="92" t="s">
        <v>263</v>
      </c>
      <c r="J2747" s="99" t="s">
        <v>264</v>
      </c>
    </row>
    <row r="2748" spans="1:10">
      <c r="A2748" s="84"/>
      <c r="B2748" s="89">
        <v>9199997</v>
      </c>
      <c r="C2748" s="90" t="s">
        <v>273</v>
      </c>
      <c r="D2748" s="91"/>
      <c r="E2748" s="91"/>
      <c r="F2748" s="91"/>
      <c r="G2748" s="92" t="s">
        <v>274</v>
      </c>
      <c r="H2748" s="92">
        <v>0.7</v>
      </c>
      <c r="I2748" s="92">
        <v>2.7799999999999998E-2</v>
      </c>
      <c r="J2748" s="99">
        <f>+ROUND(H2748*I2748,2)</f>
        <v>0.02</v>
      </c>
    </row>
    <row r="2749" spans="1:10">
      <c r="A2749" s="84"/>
      <c r="B2749" s="93" t="s">
        <v>231</v>
      </c>
      <c r="C2749" s="94"/>
      <c r="D2749" s="95"/>
      <c r="E2749" s="95"/>
      <c r="F2749" s="95"/>
      <c r="G2749" s="96"/>
      <c r="H2749" s="96"/>
      <c r="I2749" s="96"/>
      <c r="J2749" s="271"/>
    </row>
    <row r="2750" spans="1:10">
      <c r="A2750" s="84"/>
      <c r="B2750" s="93" t="s">
        <v>231</v>
      </c>
      <c r="C2750" s="94"/>
      <c r="D2750" s="95"/>
      <c r="E2750" s="95"/>
      <c r="F2750" s="95"/>
      <c r="G2750" s="96"/>
      <c r="H2750" s="96"/>
      <c r="I2750" s="96"/>
      <c r="J2750" s="271"/>
    </row>
    <row r="2751" spans="1:10">
      <c r="A2751" s="84"/>
      <c r="B2751" s="93" t="s">
        <v>231</v>
      </c>
      <c r="C2751" s="94"/>
      <c r="D2751" s="95"/>
      <c r="E2751" s="95"/>
      <c r="F2751" s="95"/>
      <c r="G2751" s="96"/>
      <c r="H2751" s="96"/>
      <c r="I2751" s="96"/>
      <c r="J2751" s="271"/>
    </row>
    <row r="2752" spans="1:10">
      <c r="A2752" s="84"/>
      <c r="B2752" s="93" t="s">
        <v>231</v>
      </c>
      <c r="C2752" s="94"/>
      <c r="D2752" s="95"/>
      <c r="E2752" s="95"/>
      <c r="F2752" s="95"/>
      <c r="G2752" s="96"/>
      <c r="H2752" s="96"/>
      <c r="I2752" s="96"/>
      <c r="J2752" s="271"/>
    </row>
    <row r="2753" spans="1:10">
      <c r="A2753" s="84"/>
      <c r="B2753" s="93" t="s">
        <v>231</v>
      </c>
      <c r="C2753" s="94"/>
      <c r="D2753" s="95"/>
      <c r="E2753" s="95"/>
      <c r="F2753" s="95"/>
      <c r="G2753" s="96"/>
      <c r="H2753" s="96"/>
      <c r="I2753" s="96"/>
      <c r="J2753" s="271"/>
    </row>
    <row r="2754" spans="1:10">
      <c r="A2754" s="84"/>
      <c r="B2754" s="93" t="s">
        <v>231</v>
      </c>
      <c r="C2754" s="94"/>
      <c r="D2754" s="95"/>
      <c r="E2754" s="95"/>
      <c r="F2754" s="95"/>
      <c r="G2754" s="96"/>
      <c r="H2754" s="96"/>
      <c r="I2754" s="96"/>
      <c r="J2754" s="271"/>
    </row>
    <row r="2755" spans="1:10">
      <c r="A2755" s="84"/>
      <c r="B2755" s="89"/>
      <c r="C2755" s="97"/>
      <c r="D2755" s="91"/>
      <c r="E2755" s="91"/>
      <c r="F2755" s="91"/>
      <c r="G2755" s="91" t="s">
        <v>275</v>
      </c>
      <c r="H2755" s="91"/>
      <c r="I2755" s="91"/>
      <c r="J2755" s="99">
        <f>+SUBTOTAL(9,J2748:J2754)</f>
        <v>0.02</v>
      </c>
    </row>
    <row r="2756" spans="1:10">
      <c r="A2756" s="84"/>
      <c r="B2756" s="89" t="s">
        <v>228</v>
      </c>
      <c r="C2756" s="90" t="s">
        <v>276</v>
      </c>
      <c r="D2756" s="91"/>
      <c r="E2756" s="91"/>
      <c r="F2756" s="91"/>
      <c r="G2756" s="92" t="s">
        <v>230</v>
      </c>
      <c r="H2756" s="92" t="s">
        <v>262</v>
      </c>
      <c r="I2756" s="92" t="s">
        <v>263</v>
      </c>
      <c r="J2756" s="99" t="s">
        <v>264</v>
      </c>
    </row>
    <row r="2757" spans="1:10">
      <c r="A2757" s="84"/>
      <c r="B2757" s="89" t="s">
        <v>231</v>
      </c>
      <c r="C2757" s="90"/>
      <c r="D2757" s="91"/>
      <c r="E2757" s="91"/>
      <c r="F2757" s="91"/>
      <c r="G2757" s="92"/>
      <c r="H2757" s="92"/>
      <c r="I2757" s="92"/>
      <c r="J2757" s="99"/>
    </row>
    <row r="2758" spans="1:10">
      <c r="A2758" s="84"/>
      <c r="B2758" s="93" t="s">
        <v>231</v>
      </c>
      <c r="C2758" s="94"/>
      <c r="D2758" s="95"/>
      <c r="E2758" s="95"/>
      <c r="F2758" s="95"/>
      <c r="G2758" s="96"/>
      <c r="H2758" s="96"/>
      <c r="I2758" s="96"/>
      <c r="J2758" s="271"/>
    </row>
    <row r="2759" spans="1:10">
      <c r="A2759" s="84"/>
      <c r="B2759" s="93" t="s">
        <v>231</v>
      </c>
      <c r="C2759" s="94"/>
      <c r="D2759" s="95"/>
      <c r="E2759" s="95"/>
      <c r="F2759" s="95"/>
      <c r="G2759" s="96"/>
      <c r="H2759" s="96"/>
      <c r="I2759" s="96"/>
      <c r="J2759" s="271"/>
    </row>
    <row r="2760" spans="1:10">
      <c r="A2760" s="84"/>
      <c r="B2760" s="93" t="s">
        <v>231</v>
      </c>
      <c r="C2760" s="94"/>
      <c r="D2760" s="95"/>
      <c r="E2760" s="95"/>
      <c r="F2760" s="95"/>
      <c r="G2760" s="96"/>
      <c r="H2760" s="96"/>
      <c r="I2760" s="96"/>
      <c r="J2760" s="271"/>
    </row>
    <row r="2761" spans="1:10">
      <c r="A2761" s="84"/>
      <c r="B2761" s="93" t="s">
        <v>231</v>
      </c>
      <c r="C2761" s="94"/>
      <c r="D2761" s="95"/>
      <c r="E2761" s="95"/>
      <c r="F2761" s="95"/>
      <c r="G2761" s="96"/>
      <c r="H2761" s="96"/>
      <c r="I2761" s="96"/>
      <c r="J2761" s="271"/>
    </row>
    <row r="2762" spans="1:10">
      <c r="A2762" s="84"/>
      <c r="B2762" s="89"/>
      <c r="C2762" s="97"/>
      <c r="D2762" s="91"/>
      <c r="E2762" s="91"/>
      <c r="F2762" s="91"/>
      <c r="G2762" s="91" t="s">
        <v>279</v>
      </c>
      <c r="H2762" s="91"/>
      <c r="I2762" s="91"/>
      <c r="J2762" s="99">
        <f>+SUBTOTAL(9,J2757:J2761)</f>
        <v>0</v>
      </c>
    </row>
    <row r="2763" spans="1:10">
      <c r="A2763" s="84"/>
      <c r="B2763" s="89" t="s">
        <v>228</v>
      </c>
      <c r="C2763" s="90" t="s">
        <v>280</v>
      </c>
      <c r="D2763" s="92" t="s">
        <v>281</v>
      </c>
      <c r="E2763" s="92" t="s">
        <v>282</v>
      </c>
      <c r="F2763" s="92" t="s">
        <v>283</v>
      </c>
      <c r="G2763" s="92" t="s">
        <v>284</v>
      </c>
      <c r="H2763" s="92" t="s">
        <v>285</v>
      </c>
      <c r="I2763" s="92" t="s">
        <v>263</v>
      </c>
      <c r="J2763" s="99" t="s">
        <v>286</v>
      </c>
    </row>
    <row r="2764" spans="1:10">
      <c r="A2764" s="84"/>
      <c r="B2764" s="89" t="s">
        <v>231</v>
      </c>
      <c r="C2764" s="90"/>
      <c r="D2764" s="92"/>
      <c r="E2764" s="92"/>
      <c r="F2764" s="92"/>
      <c r="G2764" s="92"/>
      <c r="H2764" s="92"/>
      <c r="I2764" s="92"/>
      <c r="J2764" s="99"/>
    </row>
    <row r="2765" spans="1:10">
      <c r="A2765" s="84"/>
      <c r="B2765" s="93" t="s">
        <v>231</v>
      </c>
      <c r="C2765" s="94"/>
      <c r="D2765" s="96"/>
      <c r="E2765" s="96"/>
      <c r="F2765" s="96"/>
      <c r="G2765" s="96"/>
      <c r="H2765" s="96"/>
      <c r="I2765" s="96"/>
      <c r="J2765" s="271"/>
    </row>
    <row r="2766" spans="1:10">
      <c r="A2766" s="84"/>
      <c r="B2766" s="93" t="s">
        <v>231</v>
      </c>
      <c r="C2766" s="94"/>
      <c r="D2766" s="96"/>
      <c r="E2766" s="96"/>
      <c r="F2766" s="96"/>
      <c r="G2766" s="96"/>
      <c r="H2766" s="96"/>
      <c r="I2766" s="96"/>
      <c r="J2766" s="271"/>
    </row>
    <row r="2767" spans="1:10">
      <c r="A2767" s="84"/>
      <c r="B2767" s="93" t="s">
        <v>231</v>
      </c>
      <c r="C2767" s="94"/>
      <c r="D2767" s="96"/>
      <c r="E2767" s="96"/>
      <c r="F2767" s="96"/>
      <c r="G2767" s="96"/>
      <c r="H2767" s="96"/>
      <c r="I2767" s="96"/>
      <c r="J2767" s="271"/>
    </row>
    <row r="2768" spans="1:10">
      <c r="A2768" s="84"/>
      <c r="B2768" s="93" t="s">
        <v>231</v>
      </c>
      <c r="C2768" s="94"/>
      <c r="D2768" s="96"/>
      <c r="E2768" s="96"/>
      <c r="F2768" s="96"/>
      <c r="G2768" s="96"/>
      <c r="H2768" s="96"/>
      <c r="I2768" s="96"/>
      <c r="J2768" s="271"/>
    </row>
    <row r="2769" spans="1:10">
      <c r="A2769" s="84"/>
      <c r="B2769" s="93" t="s">
        <v>231</v>
      </c>
      <c r="C2769" s="94"/>
      <c r="D2769" s="96"/>
      <c r="E2769" s="96"/>
      <c r="F2769" s="96"/>
      <c r="G2769" s="96"/>
      <c r="H2769" s="96"/>
      <c r="I2769" s="96"/>
      <c r="J2769" s="271"/>
    </row>
    <row r="2770" spans="1:10">
      <c r="A2770" s="84"/>
      <c r="B2770" s="93" t="s">
        <v>231</v>
      </c>
      <c r="C2770" s="94"/>
      <c r="D2770" s="96"/>
      <c r="E2770" s="96"/>
      <c r="F2770" s="96"/>
      <c r="G2770" s="96"/>
      <c r="H2770" s="96"/>
      <c r="I2770" s="96"/>
      <c r="J2770" s="271"/>
    </row>
    <row r="2771" spans="1:10">
      <c r="A2771" s="84"/>
      <c r="B2771" s="89"/>
      <c r="C2771" s="97"/>
      <c r="D2771" s="91"/>
      <c r="E2771" s="91"/>
      <c r="F2771" s="91"/>
      <c r="G2771" s="91" t="s">
        <v>290</v>
      </c>
      <c r="H2771" s="91"/>
      <c r="I2771" s="91"/>
      <c r="J2771" s="99">
        <f>+SUBTOTAL(9,J2764:J2770)</f>
        <v>0</v>
      </c>
    </row>
    <row r="2772" spans="1:10">
      <c r="A2772" s="84"/>
      <c r="B2772" s="89" t="s">
        <v>291</v>
      </c>
      <c r="C2772" s="97"/>
      <c r="D2772" s="91"/>
      <c r="E2772" s="91"/>
      <c r="F2772" s="91"/>
      <c r="G2772" s="91"/>
      <c r="H2772" s="91"/>
      <c r="I2772" s="91"/>
      <c r="J2772" s="99">
        <f>+SUBTOTAL(9,J2746:J2770)</f>
        <v>0.72</v>
      </c>
    </row>
    <row r="2773" spans="1:10">
      <c r="A2773" s="84"/>
      <c r="B2773" s="89" t="s">
        <v>292</v>
      </c>
      <c r="C2773" s="97"/>
      <c r="D2773" s="91">
        <v>0</v>
      </c>
      <c r="E2773" s="91"/>
      <c r="F2773" s="91"/>
      <c r="G2773" s="91"/>
      <c r="H2773" s="91"/>
      <c r="I2773" s="91"/>
      <c r="J2773" s="99">
        <f>+ROUND(J2772*D2773/100,2)</f>
        <v>0</v>
      </c>
    </row>
    <row r="2774" spans="1:10" ht="14.4" thickBot="1">
      <c r="A2774" s="84"/>
      <c r="B2774" s="89" t="s">
        <v>293</v>
      </c>
      <c r="C2774" s="97"/>
      <c r="D2774" s="91"/>
      <c r="E2774" s="91"/>
      <c r="F2774" s="91"/>
      <c r="G2774" s="91"/>
      <c r="H2774" s="91"/>
      <c r="I2774" s="91"/>
      <c r="J2774" s="99">
        <f>+J2772+ J2773</f>
        <v>0.72</v>
      </c>
    </row>
    <row r="2775" spans="1:10">
      <c r="A2775" s="84"/>
      <c r="B2775" s="85" t="s">
        <v>294</v>
      </c>
      <c r="C2775" s="86"/>
      <c r="D2775" s="88"/>
      <c r="E2775" s="88"/>
      <c r="F2775" s="88" t="s">
        <v>295</v>
      </c>
      <c r="G2775" s="88"/>
      <c r="H2775" s="88"/>
      <c r="I2775" s="88" t="s">
        <v>296</v>
      </c>
      <c r="J2775" s="270"/>
    </row>
    <row r="2776" spans="1:10">
      <c r="A2776" s="84"/>
      <c r="B2776" s="93" t="s">
        <v>297</v>
      </c>
      <c r="C2776" s="84"/>
      <c r="D2776" s="95"/>
      <c r="E2776" s="95"/>
      <c r="F2776" s="95" t="s">
        <v>298</v>
      </c>
      <c r="G2776" s="95"/>
      <c r="H2776" s="95"/>
      <c r="I2776" s="95"/>
      <c r="J2776" s="276"/>
    </row>
    <row r="2777" spans="1:10">
      <c r="A2777" s="84"/>
      <c r="B2777" s="93" t="s">
        <v>299</v>
      </c>
      <c r="C2777" s="84"/>
      <c r="D2777" s="95"/>
      <c r="E2777" s="95"/>
      <c r="F2777" s="95" t="s">
        <v>300</v>
      </c>
      <c r="G2777" s="95"/>
      <c r="H2777" s="95"/>
      <c r="I2777" s="95"/>
      <c r="J2777" s="276"/>
    </row>
    <row r="2778" spans="1:10" ht="14.4" thickBot="1">
      <c r="A2778" s="84"/>
      <c r="B2778" s="100" t="s">
        <v>301</v>
      </c>
      <c r="C2778" s="84"/>
      <c r="D2778" s="95"/>
      <c r="E2778" s="95"/>
      <c r="F2778" s="95"/>
      <c r="G2778" s="95"/>
      <c r="H2778" s="95"/>
      <c r="I2778" s="95"/>
      <c r="J2778" s="277"/>
    </row>
    <row r="2779" spans="1:10">
      <c r="A2779" s="84"/>
      <c r="B2779" s="86"/>
      <c r="C2779" s="86"/>
      <c r="D2779" s="88"/>
      <c r="E2779" s="88"/>
      <c r="F2779" s="88"/>
      <c r="G2779" s="88"/>
      <c r="H2779" s="88"/>
      <c r="I2779" s="88"/>
      <c r="J2779" s="88"/>
    </row>
    <row r="2780" spans="1:10" ht="14.4" thickBot="1">
      <c r="A2780" s="84"/>
      <c r="B2780" s="84"/>
      <c r="C2780" s="84"/>
      <c r="D2780" s="95"/>
      <c r="E2780" s="95"/>
      <c r="F2780" s="95"/>
      <c r="G2780" s="95"/>
      <c r="H2780" s="95"/>
      <c r="I2780" s="95"/>
      <c r="J2780" s="95"/>
    </row>
    <row r="2781" spans="1:10">
      <c r="A2781" s="84"/>
      <c r="B2781" s="85"/>
      <c r="C2781" s="86"/>
      <c r="D2781" s="87" t="s">
        <v>227</v>
      </c>
      <c r="E2781" s="87"/>
      <c r="F2781" s="87"/>
      <c r="G2781" s="88"/>
      <c r="H2781" s="88"/>
      <c r="I2781" s="88"/>
      <c r="J2781" s="270"/>
    </row>
    <row r="2782" spans="1:10">
      <c r="A2782" s="84"/>
      <c r="B2782" s="89" t="s">
        <v>228</v>
      </c>
      <c r="C2782" s="90" t="s">
        <v>92</v>
      </c>
      <c r="D2782" s="91"/>
      <c r="E2782" s="91"/>
      <c r="F2782" s="91"/>
      <c r="G2782" s="91"/>
      <c r="H2782" s="92" t="s">
        <v>229</v>
      </c>
      <c r="I2782" s="91"/>
      <c r="J2782" s="99" t="s">
        <v>230</v>
      </c>
    </row>
    <row r="2783" spans="1:10">
      <c r="A2783" s="84"/>
      <c r="B2783" s="93" t="s">
        <v>231</v>
      </c>
      <c r="C2783" s="94" t="s">
        <v>716</v>
      </c>
      <c r="D2783" s="95"/>
      <c r="E2783" s="95"/>
      <c r="F2783" s="95"/>
      <c r="G2783" s="95"/>
      <c r="H2783" s="96" t="s">
        <v>233</v>
      </c>
      <c r="I2783" s="95"/>
      <c r="J2783" s="271" t="s">
        <v>375</v>
      </c>
    </row>
    <row r="2784" spans="1:10">
      <c r="A2784" s="84"/>
      <c r="B2784" s="89"/>
      <c r="C2784" s="90"/>
      <c r="D2784" s="91"/>
      <c r="E2784" s="92"/>
      <c r="F2784" s="92" t="s">
        <v>235</v>
      </c>
      <c r="G2784" s="92"/>
      <c r="H2784" s="92" t="s">
        <v>236</v>
      </c>
      <c r="I2784" s="92"/>
      <c r="J2784" s="99" t="s">
        <v>237</v>
      </c>
    </row>
    <row r="2785" spans="1:10">
      <c r="A2785" s="84"/>
      <c r="B2785" s="93" t="s">
        <v>228</v>
      </c>
      <c r="C2785" s="94" t="s">
        <v>238</v>
      </c>
      <c r="D2785" s="95"/>
      <c r="E2785" s="96" t="s">
        <v>239</v>
      </c>
      <c r="F2785" s="92" t="s">
        <v>240</v>
      </c>
      <c r="G2785" s="92" t="s">
        <v>241</v>
      </c>
      <c r="H2785" s="92" t="s">
        <v>240</v>
      </c>
      <c r="I2785" s="272" t="s">
        <v>241</v>
      </c>
      <c r="J2785" s="271" t="s">
        <v>242</v>
      </c>
    </row>
    <row r="2786" spans="1:10">
      <c r="A2786" s="84"/>
      <c r="B2786" s="273" t="s">
        <v>717</v>
      </c>
      <c r="C2786" s="90" t="s">
        <v>718</v>
      </c>
      <c r="D2786" s="91"/>
      <c r="E2786" s="92">
        <v>1</v>
      </c>
      <c r="F2786" s="92">
        <v>1</v>
      </c>
      <c r="G2786" s="92">
        <v>0</v>
      </c>
      <c r="H2786" s="92">
        <v>349.72</v>
      </c>
      <c r="I2786" s="92">
        <v>131.38</v>
      </c>
      <c r="J2786" s="99">
        <f>+ROUND(E2786* ((F2786*H2786) + (G2786*I2786)),2)</f>
        <v>349.72</v>
      </c>
    </row>
    <row r="2787" spans="1:10">
      <c r="A2787" s="84"/>
      <c r="B2787" s="93" t="s">
        <v>231</v>
      </c>
      <c r="C2787" s="94"/>
      <c r="D2787" s="95"/>
      <c r="E2787" s="96"/>
      <c r="F2787" s="96"/>
      <c r="G2787" s="96"/>
      <c r="H2787" s="96"/>
      <c r="I2787" s="96"/>
      <c r="J2787" s="271"/>
    </row>
    <row r="2788" spans="1:10">
      <c r="A2788" s="84"/>
      <c r="B2788" s="93" t="s">
        <v>231</v>
      </c>
      <c r="C2788" s="94"/>
      <c r="D2788" s="95"/>
      <c r="E2788" s="96"/>
      <c r="F2788" s="96"/>
      <c r="G2788" s="96"/>
      <c r="H2788" s="96"/>
      <c r="I2788" s="96"/>
      <c r="J2788" s="271"/>
    </row>
    <row r="2789" spans="1:10">
      <c r="A2789" s="84"/>
      <c r="B2789" s="93" t="s">
        <v>231</v>
      </c>
      <c r="C2789" s="94"/>
      <c r="D2789" s="95"/>
      <c r="E2789" s="96"/>
      <c r="F2789" s="96"/>
      <c r="G2789" s="96"/>
      <c r="H2789" s="96"/>
      <c r="I2789" s="96"/>
      <c r="J2789" s="271"/>
    </row>
    <row r="2790" spans="1:10">
      <c r="A2790" s="84"/>
      <c r="B2790" s="93" t="s">
        <v>231</v>
      </c>
      <c r="C2790" s="94"/>
      <c r="D2790" s="95"/>
      <c r="E2790" s="96"/>
      <c r="F2790" s="96"/>
      <c r="G2790" s="96"/>
      <c r="H2790" s="96"/>
      <c r="I2790" s="96"/>
      <c r="J2790" s="271"/>
    </row>
    <row r="2791" spans="1:10">
      <c r="A2791" s="84"/>
      <c r="B2791" s="93" t="s">
        <v>231</v>
      </c>
      <c r="C2791" s="94"/>
      <c r="D2791" s="95"/>
      <c r="E2791" s="96"/>
      <c r="F2791" s="96"/>
      <c r="G2791" s="96"/>
      <c r="H2791" s="96"/>
      <c r="I2791" s="96"/>
      <c r="J2791" s="271"/>
    </row>
    <row r="2792" spans="1:10">
      <c r="A2792" s="84"/>
      <c r="B2792" s="93" t="s">
        <v>231</v>
      </c>
      <c r="C2792" s="94"/>
      <c r="D2792" s="95"/>
      <c r="E2792" s="96"/>
      <c r="F2792" s="96"/>
      <c r="G2792" s="96"/>
      <c r="H2792" s="96"/>
      <c r="I2792" s="96"/>
      <c r="J2792" s="271"/>
    </row>
    <row r="2793" spans="1:10">
      <c r="A2793" s="84"/>
      <c r="B2793" s="89"/>
      <c r="C2793" s="97"/>
      <c r="D2793" s="91"/>
      <c r="E2793" s="91"/>
      <c r="F2793" s="91"/>
      <c r="G2793" s="91" t="s">
        <v>249</v>
      </c>
      <c r="H2793" s="91"/>
      <c r="I2793" s="91"/>
      <c r="J2793" s="99">
        <f>+SUBTOTAL(9,J2786:J2792)</f>
        <v>349.72</v>
      </c>
    </row>
    <row r="2794" spans="1:10">
      <c r="A2794" s="84"/>
      <c r="B2794" s="89" t="s">
        <v>228</v>
      </c>
      <c r="C2794" s="90" t="s">
        <v>250</v>
      </c>
      <c r="D2794" s="91"/>
      <c r="E2794" s="91"/>
      <c r="F2794" s="91"/>
      <c r="G2794" s="91"/>
      <c r="H2794" s="92" t="s">
        <v>239</v>
      </c>
      <c r="I2794" s="92" t="s">
        <v>251</v>
      </c>
      <c r="J2794" s="99" t="s">
        <v>252</v>
      </c>
    </row>
    <row r="2795" spans="1:10">
      <c r="A2795" s="84"/>
      <c r="B2795" s="89" t="s">
        <v>253</v>
      </c>
      <c r="C2795" s="90" t="s">
        <v>254</v>
      </c>
      <c r="D2795" s="91"/>
      <c r="E2795" s="91"/>
      <c r="F2795" s="91"/>
      <c r="G2795" s="91"/>
      <c r="H2795" s="92">
        <v>8</v>
      </c>
      <c r="I2795" s="92">
        <v>21.04</v>
      </c>
      <c r="J2795" s="99">
        <f>+ROUND(H2795*I2795,2)</f>
        <v>168.32</v>
      </c>
    </row>
    <row r="2796" spans="1:10">
      <c r="A2796" s="84"/>
      <c r="B2796" s="93" t="s">
        <v>231</v>
      </c>
      <c r="C2796" s="94"/>
      <c r="D2796" s="95"/>
      <c r="E2796" s="95"/>
      <c r="F2796" s="95"/>
      <c r="G2796" s="95"/>
      <c r="H2796" s="96"/>
      <c r="I2796" s="96"/>
      <c r="J2796" s="271"/>
    </row>
    <row r="2797" spans="1:10">
      <c r="A2797" s="84"/>
      <c r="B2797" s="93" t="s">
        <v>231</v>
      </c>
      <c r="C2797" s="94"/>
      <c r="D2797" s="95"/>
      <c r="E2797" s="95"/>
      <c r="F2797" s="95"/>
      <c r="G2797" s="95"/>
      <c r="H2797" s="96"/>
      <c r="I2797" s="96"/>
      <c r="J2797" s="271"/>
    </row>
    <row r="2798" spans="1:10">
      <c r="A2798" s="84"/>
      <c r="B2798" s="93" t="s">
        <v>231</v>
      </c>
      <c r="C2798" s="94"/>
      <c r="D2798" s="95"/>
      <c r="E2798" s="95"/>
      <c r="F2798" s="95"/>
      <c r="G2798" s="95"/>
      <c r="H2798" s="96"/>
      <c r="I2798" s="96"/>
      <c r="J2798" s="271"/>
    </row>
    <row r="2799" spans="1:10">
      <c r="A2799" s="84"/>
      <c r="B2799" s="93" t="s">
        <v>231</v>
      </c>
      <c r="C2799" s="94"/>
      <c r="D2799" s="95"/>
      <c r="E2799" s="95"/>
      <c r="F2799" s="95"/>
      <c r="G2799" s="95"/>
      <c r="H2799" s="96"/>
      <c r="I2799" s="96"/>
      <c r="J2799" s="271"/>
    </row>
    <row r="2800" spans="1:10">
      <c r="A2800" s="84"/>
      <c r="B2800" s="93" t="s">
        <v>231</v>
      </c>
      <c r="C2800" s="94"/>
      <c r="D2800" s="95"/>
      <c r="E2800" s="95"/>
      <c r="F2800" s="95"/>
      <c r="G2800" s="95"/>
      <c r="H2800" s="96"/>
      <c r="I2800" s="96"/>
      <c r="J2800" s="271"/>
    </row>
    <row r="2801" spans="1:10">
      <c r="A2801" s="84"/>
      <c r="B2801" s="93" t="s">
        <v>231</v>
      </c>
      <c r="C2801" s="94"/>
      <c r="D2801" s="95"/>
      <c r="E2801" s="95"/>
      <c r="F2801" s="95"/>
      <c r="G2801" s="95"/>
      <c r="H2801" s="96"/>
      <c r="I2801" s="96"/>
      <c r="J2801" s="271"/>
    </row>
    <row r="2802" spans="1:10">
      <c r="A2802" s="84"/>
      <c r="B2802" s="89"/>
      <c r="C2802" s="97"/>
      <c r="D2802" s="91"/>
      <c r="E2802" s="91"/>
      <c r="F2802" s="91"/>
      <c r="G2802" s="91" t="s">
        <v>255</v>
      </c>
      <c r="H2802" s="91"/>
      <c r="I2802" s="91"/>
      <c r="J2802" s="99">
        <f>+SUBTOTAL(9,J2795:J2801)</f>
        <v>168.32</v>
      </c>
    </row>
    <row r="2803" spans="1:10">
      <c r="A2803" s="84"/>
      <c r="B2803" s="89"/>
      <c r="C2803" s="97"/>
      <c r="D2803" s="91"/>
      <c r="E2803" s="91"/>
      <c r="F2803" s="91" t="s">
        <v>256</v>
      </c>
      <c r="G2803" s="91"/>
      <c r="H2803" s="91"/>
      <c r="I2803" s="91">
        <v>0</v>
      </c>
      <c r="J2803" s="99">
        <f>+ROUND(I2803*J2802,2)</f>
        <v>0</v>
      </c>
    </row>
    <row r="2804" spans="1:10">
      <c r="A2804" s="84"/>
      <c r="B2804" s="89"/>
      <c r="C2804" s="97"/>
      <c r="D2804" s="91"/>
      <c r="E2804" s="91"/>
      <c r="F2804" s="91" t="s">
        <v>257</v>
      </c>
      <c r="G2804" s="91"/>
      <c r="H2804" s="91"/>
      <c r="I2804" s="91"/>
      <c r="J2804" s="99">
        <f>+SUBTOTAL(9,J2795:J2803)</f>
        <v>168.32</v>
      </c>
    </row>
    <row r="2805" spans="1:10">
      <c r="A2805" s="84"/>
      <c r="B2805" s="98"/>
      <c r="C2805" s="97"/>
      <c r="D2805" s="91"/>
      <c r="E2805" s="91"/>
      <c r="F2805" s="91"/>
      <c r="G2805" s="91" t="s">
        <v>258</v>
      </c>
      <c r="H2805" s="91"/>
      <c r="I2805" s="91"/>
      <c r="J2805" s="275">
        <f>+SUBTOTAL(9,J2786:J2804)</f>
        <v>518.04</v>
      </c>
    </row>
    <row r="2806" spans="1:10">
      <c r="A2806" s="84"/>
      <c r="B2806" s="98"/>
      <c r="C2806" s="97" t="s">
        <v>259</v>
      </c>
      <c r="D2806" s="91">
        <v>415</v>
      </c>
      <c r="E2806" s="91"/>
      <c r="F2806" s="91"/>
      <c r="G2806" s="91" t="s">
        <v>260</v>
      </c>
      <c r="H2806" s="91"/>
      <c r="I2806" s="91"/>
      <c r="J2806" s="275">
        <f>+ROUND(J2805/D2806,2)</f>
        <v>1.25</v>
      </c>
    </row>
    <row r="2807" spans="1:10">
      <c r="A2807" s="84"/>
      <c r="B2807" s="89" t="s">
        <v>228</v>
      </c>
      <c r="C2807" s="90" t="s">
        <v>261</v>
      </c>
      <c r="D2807" s="91"/>
      <c r="E2807" s="91"/>
      <c r="F2807" s="91"/>
      <c r="G2807" s="92" t="s">
        <v>230</v>
      </c>
      <c r="H2807" s="92" t="s">
        <v>262</v>
      </c>
      <c r="I2807" s="92" t="s">
        <v>263</v>
      </c>
      <c r="J2807" s="99" t="s">
        <v>264</v>
      </c>
    </row>
    <row r="2808" spans="1:10">
      <c r="A2808" s="84"/>
      <c r="B2808" s="89" t="s">
        <v>719</v>
      </c>
      <c r="C2808" s="90" t="s">
        <v>720</v>
      </c>
      <c r="D2808" s="91"/>
      <c r="E2808" s="91"/>
      <c r="F2808" s="91"/>
      <c r="G2808" s="92" t="s">
        <v>332</v>
      </c>
      <c r="H2808" s="92">
        <v>102.65</v>
      </c>
      <c r="I2808" s="92">
        <v>2.8000000000000001E-2</v>
      </c>
      <c r="J2808" s="99">
        <f t="shared" ref="J2808:J2820" si="7">+ROUND(H2808*I2808,2)</f>
        <v>2.87</v>
      </c>
    </row>
    <row r="2809" spans="1:10">
      <c r="A2809" s="84"/>
      <c r="B2809" s="93" t="s">
        <v>721</v>
      </c>
      <c r="C2809" s="94" t="s">
        <v>722</v>
      </c>
      <c r="D2809" s="95"/>
      <c r="E2809" s="95"/>
      <c r="F2809" s="95"/>
      <c r="G2809" s="96" t="s">
        <v>332</v>
      </c>
      <c r="H2809" s="96">
        <v>4.4400000000000004</v>
      </c>
      <c r="I2809" s="96">
        <v>3.0000000000000001E-3</v>
      </c>
      <c r="J2809" s="271">
        <f t="shared" si="7"/>
        <v>0.01</v>
      </c>
    </row>
    <row r="2810" spans="1:10">
      <c r="A2810" s="84"/>
      <c r="B2810" s="93" t="s">
        <v>723</v>
      </c>
      <c r="C2810" s="94" t="s">
        <v>724</v>
      </c>
      <c r="D2810" s="95"/>
      <c r="E2810" s="95"/>
      <c r="F2810" s="95"/>
      <c r="G2810" s="96" t="s">
        <v>332</v>
      </c>
      <c r="H2810" s="96">
        <v>3.5</v>
      </c>
      <c r="I2810" s="96">
        <v>0.06</v>
      </c>
      <c r="J2810" s="271">
        <f t="shared" si="7"/>
        <v>0.21</v>
      </c>
    </row>
    <row r="2811" spans="1:10">
      <c r="A2811" s="84"/>
      <c r="B2811" s="93" t="s">
        <v>725</v>
      </c>
      <c r="C2811" s="94" t="s">
        <v>726</v>
      </c>
      <c r="D2811" s="95"/>
      <c r="E2811" s="95"/>
      <c r="F2811" s="95"/>
      <c r="G2811" s="96" t="s">
        <v>332</v>
      </c>
      <c r="H2811" s="96">
        <v>31.23</v>
      </c>
      <c r="I2811" s="96">
        <v>2.5000000000000001E-2</v>
      </c>
      <c r="J2811" s="271">
        <f t="shared" si="7"/>
        <v>0.78</v>
      </c>
    </row>
    <row r="2812" spans="1:10">
      <c r="A2812" s="84"/>
      <c r="B2812" s="93" t="s">
        <v>727</v>
      </c>
      <c r="C2812" s="94" t="s">
        <v>728</v>
      </c>
      <c r="D2812" s="95"/>
      <c r="E2812" s="95"/>
      <c r="F2812" s="95"/>
      <c r="G2812" s="96" t="s">
        <v>332</v>
      </c>
      <c r="H2812" s="96">
        <v>0.24</v>
      </c>
      <c r="I2812" s="96">
        <v>0.2</v>
      </c>
      <c r="J2812" s="271">
        <f t="shared" si="7"/>
        <v>0.05</v>
      </c>
    </row>
    <row r="2813" spans="1:10">
      <c r="A2813" s="84"/>
      <c r="B2813" s="93" t="s">
        <v>729</v>
      </c>
      <c r="C2813" s="94" t="s">
        <v>730</v>
      </c>
      <c r="D2813" s="95"/>
      <c r="E2813" s="95"/>
      <c r="F2813" s="95"/>
      <c r="G2813" s="96" t="s">
        <v>332</v>
      </c>
      <c r="H2813" s="96">
        <v>0.14000000000000001</v>
      </c>
      <c r="I2813" s="96">
        <v>0.17499999999999999</v>
      </c>
      <c r="J2813" s="271">
        <f t="shared" si="7"/>
        <v>0.02</v>
      </c>
    </row>
    <row r="2814" spans="1:10">
      <c r="A2814" s="84"/>
      <c r="B2814" s="93" t="s">
        <v>731</v>
      </c>
      <c r="C2814" s="94" t="s">
        <v>732</v>
      </c>
      <c r="D2814" s="95"/>
      <c r="E2814" s="95"/>
      <c r="F2814" s="95"/>
      <c r="G2814" s="96" t="s">
        <v>332</v>
      </c>
      <c r="H2814" s="96">
        <v>2.4</v>
      </c>
      <c r="I2814" s="96">
        <v>0.5</v>
      </c>
      <c r="J2814" s="271">
        <f t="shared" si="7"/>
        <v>1.2</v>
      </c>
    </row>
    <row r="2815" spans="1:10">
      <c r="A2815" s="84"/>
      <c r="B2815" s="93" t="s">
        <v>733</v>
      </c>
      <c r="C2815" s="94" t="s">
        <v>734</v>
      </c>
      <c r="D2815" s="95"/>
      <c r="E2815" s="95"/>
      <c r="F2815" s="95"/>
      <c r="G2815" s="96" t="s">
        <v>270</v>
      </c>
      <c r="H2815" s="96">
        <v>33.81</v>
      </c>
      <c r="I2815" s="96">
        <v>3.0000000000000001E-5</v>
      </c>
      <c r="J2815" s="271">
        <f t="shared" si="7"/>
        <v>0</v>
      </c>
    </row>
    <row r="2816" spans="1:10">
      <c r="A2816" s="84"/>
      <c r="B2816" s="93" t="s">
        <v>735</v>
      </c>
      <c r="C2816" s="94" t="s">
        <v>736</v>
      </c>
      <c r="D2816" s="95"/>
      <c r="E2816" s="95"/>
      <c r="F2816" s="95"/>
      <c r="G2816" s="96" t="s">
        <v>270</v>
      </c>
      <c r="H2816" s="96">
        <v>33.81</v>
      </c>
      <c r="I2816" s="96">
        <v>6.0000000000000002E-5</v>
      </c>
      <c r="J2816" s="271">
        <f t="shared" si="7"/>
        <v>0</v>
      </c>
    </row>
    <row r="2817" spans="1:10">
      <c r="A2817" s="84"/>
      <c r="B2817" s="93" t="s">
        <v>737</v>
      </c>
      <c r="C2817" s="94" t="s">
        <v>738</v>
      </c>
      <c r="D2817" s="95"/>
      <c r="E2817" s="95"/>
      <c r="F2817" s="95"/>
      <c r="G2817" s="96" t="s">
        <v>270</v>
      </c>
      <c r="H2817" s="96">
        <v>33.81</v>
      </c>
      <c r="I2817" s="96">
        <v>3.0000000000000001E-5</v>
      </c>
      <c r="J2817" s="271">
        <f t="shared" si="7"/>
        <v>0</v>
      </c>
    </row>
    <row r="2818" spans="1:10">
      <c r="A2818" s="84"/>
      <c r="B2818" s="93" t="s">
        <v>739</v>
      </c>
      <c r="C2818" s="94" t="s">
        <v>740</v>
      </c>
      <c r="D2818" s="95"/>
      <c r="E2818" s="95"/>
      <c r="F2818" s="95"/>
      <c r="G2818" s="96" t="s">
        <v>270</v>
      </c>
      <c r="H2818" s="96">
        <v>33.81</v>
      </c>
      <c r="I2818" s="96">
        <v>2.0000000000000001E-4</v>
      </c>
      <c r="J2818" s="271">
        <f t="shared" si="7"/>
        <v>0.01</v>
      </c>
    </row>
    <row r="2819" spans="1:10">
      <c r="A2819" s="84"/>
      <c r="B2819" s="93" t="s">
        <v>741</v>
      </c>
      <c r="C2819" s="94" t="s">
        <v>742</v>
      </c>
      <c r="D2819" s="95"/>
      <c r="E2819" s="95"/>
      <c r="F2819" s="95"/>
      <c r="G2819" s="96" t="s">
        <v>270</v>
      </c>
      <c r="H2819" s="96">
        <v>33.81</v>
      </c>
      <c r="I2819" s="96">
        <v>1.8000000000000001E-4</v>
      </c>
      <c r="J2819" s="271">
        <f t="shared" si="7"/>
        <v>0.01</v>
      </c>
    </row>
    <row r="2820" spans="1:10">
      <c r="A2820" s="84"/>
      <c r="B2820" s="93" t="s">
        <v>743</v>
      </c>
      <c r="C2820" s="94" t="s">
        <v>744</v>
      </c>
      <c r="D2820" s="95"/>
      <c r="E2820" s="95"/>
      <c r="F2820" s="95"/>
      <c r="G2820" s="96" t="s">
        <v>270</v>
      </c>
      <c r="H2820" s="96">
        <v>33.81</v>
      </c>
      <c r="I2820" s="96">
        <v>5.0000000000000001E-4</v>
      </c>
      <c r="J2820" s="271">
        <f t="shared" si="7"/>
        <v>0.02</v>
      </c>
    </row>
    <row r="2821" spans="1:10">
      <c r="A2821" s="84"/>
      <c r="B2821" s="89"/>
      <c r="C2821" s="97"/>
      <c r="D2821" s="91"/>
      <c r="E2821" s="91"/>
      <c r="F2821" s="91"/>
      <c r="G2821" s="91" t="s">
        <v>275</v>
      </c>
      <c r="H2821" s="91"/>
      <c r="I2821" s="91"/>
      <c r="J2821" s="99">
        <f>+SUBTOTAL(9,J2808:J2820)</f>
        <v>5.1799999999999988</v>
      </c>
    </row>
    <row r="2822" spans="1:10">
      <c r="A2822" s="84"/>
      <c r="B2822" s="89" t="s">
        <v>228</v>
      </c>
      <c r="C2822" s="90" t="s">
        <v>276</v>
      </c>
      <c r="D2822" s="91"/>
      <c r="E2822" s="91"/>
      <c r="F2822" s="91"/>
      <c r="G2822" s="92" t="s">
        <v>230</v>
      </c>
      <c r="H2822" s="92" t="s">
        <v>262</v>
      </c>
      <c r="I2822" s="92" t="s">
        <v>263</v>
      </c>
      <c r="J2822" s="99" t="s">
        <v>264</v>
      </c>
    </row>
    <row r="2823" spans="1:10">
      <c r="A2823" s="84"/>
      <c r="B2823" s="89" t="s">
        <v>231</v>
      </c>
      <c r="C2823" s="90"/>
      <c r="D2823" s="91"/>
      <c r="E2823" s="91"/>
      <c r="F2823" s="91"/>
      <c r="G2823" s="92"/>
      <c r="H2823" s="92"/>
      <c r="I2823" s="92"/>
      <c r="J2823" s="99"/>
    </row>
    <row r="2824" spans="1:10">
      <c r="A2824" s="84"/>
      <c r="B2824" s="93" t="s">
        <v>231</v>
      </c>
      <c r="C2824" s="94"/>
      <c r="D2824" s="95"/>
      <c r="E2824" s="95"/>
      <c r="F2824" s="95"/>
      <c r="G2824" s="96"/>
      <c r="H2824" s="96"/>
      <c r="I2824" s="96"/>
      <c r="J2824" s="271"/>
    </row>
    <row r="2825" spans="1:10">
      <c r="A2825" s="84"/>
      <c r="B2825" s="93" t="s">
        <v>231</v>
      </c>
      <c r="C2825" s="94"/>
      <c r="D2825" s="95"/>
      <c r="E2825" s="95"/>
      <c r="F2825" s="95"/>
      <c r="G2825" s="96"/>
      <c r="H2825" s="96"/>
      <c r="I2825" s="96"/>
      <c r="J2825" s="271"/>
    </row>
    <row r="2826" spans="1:10">
      <c r="A2826" s="84"/>
      <c r="B2826" s="93" t="s">
        <v>231</v>
      </c>
      <c r="C2826" s="94"/>
      <c r="D2826" s="95"/>
      <c r="E2826" s="95"/>
      <c r="F2826" s="95"/>
      <c r="G2826" s="96"/>
      <c r="H2826" s="96"/>
      <c r="I2826" s="96"/>
      <c r="J2826" s="271"/>
    </row>
    <row r="2827" spans="1:10">
      <c r="A2827" s="84"/>
      <c r="B2827" s="93" t="s">
        <v>231</v>
      </c>
      <c r="C2827" s="94"/>
      <c r="D2827" s="95"/>
      <c r="E2827" s="95"/>
      <c r="F2827" s="95"/>
      <c r="G2827" s="96"/>
      <c r="H2827" s="96"/>
      <c r="I2827" s="96"/>
      <c r="J2827" s="271"/>
    </row>
    <row r="2828" spans="1:10">
      <c r="A2828" s="84"/>
      <c r="B2828" s="89"/>
      <c r="C2828" s="97"/>
      <c r="D2828" s="91"/>
      <c r="E2828" s="91"/>
      <c r="F2828" s="91"/>
      <c r="G2828" s="91" t="s">
        <v>279</v>
      </c>
      <c r="H2828" s="91"/>
      <c r="I2828" s="91"/>
      <c r="J2828" s="99">
        <f>+SUBTOTAL(9,J2823:J2827)</f>
        <v>0</v>
      </c>
    </row>
    <row r="2829" spans="1:10">
      <c r="A2829" s="84"/>
      <c r="B2829" s="89" t="s">
        <v>228</v>
      </c>
      <c r="C2829" s="90" t="s">
        <v>280</v>
      </c>
      <c r="D2829" s="92" t="s">
        <v>281</v>
      </c>
      <c r="E2829" s="92" t="s">
        <v>282</v>
      </c>
      <c r="F2829" s="92" t="s">
        <v>283</v>
      </c>
      <c r="G2829" s="92" t="s">
        <v>284</v>
      </c>
      <c r="H2829" s="92" t="s">
        <v>285</v>
      </c>
      <c r="I2829" s="92" t="s">
        <v>263</v>
      </c>
      <c r="J2829" s="99" t="s">
        <v>286</v>
      </c>
    </row>
    <row r="2830" spans="1:10">
      <c r="A2830" s="84"/>
      <c r="B2830" s="89" t="s">
        <v>745</v>
      </c>
      <c r="C2830" s="90" t="s">
        <v>746</v>
      </c>
      <c r="D2830" s="92" t="s">
        <v>289</v>
      </c>
      <c r="E2830" s="92">
        <v>0</v>
      </c>
      <c r="F2830" s="92">
        <v>56.58</v>
      </c>
      <c r="G2830" s="92">
        <v>56.58</v>
      </c>
      <c r="H2830" s="92">
        <v>0.74</v>
      </c>
      <c r="I2830" s="92">
        <v>3.0000000000000001E-5</v>
      </c>
      <c r="J2830" s="99">
        <f t="shared" ref="J2830:J2835" si="8">+ROUND(G2830*H2830*I2830,2)</f>
        <v>0</v>
      </c>
    </row>
    <row r="2831" spans="1:10">
      <c r="A2831" s="84"/>
      <c r="B2831" s="93" t="s">
        <v>747</v>
      </c>
      <c r="C2831" s="94" t="s">
        <v>748</v>
      </c>
      <c r="D2831" s="96" t="s">
        <v>289</v>
      </c>
      <c r="E2831" s="96">
        <v>0</v>
      </c>
      <c r="F2831" s="96">
        <v>56.58</v>
      </c>
      <c r="G2831" s="96">
        <v>56.58</v>
      </c>
      <c r="H2831" s="96">
        <v>0.74</v>
      </c>
      <c r="I2831" s="96">
        <v>6.0000000000000002E-5</v>
      </c>
      <c r="J2831" s="271">
        <f t="shared" si="8"/>
        <v>0</v>
      </c>
    </row>
    <row r="2832" spans="1:10">
      <c r="A2832" s="84"/>
      <c r="B2832" s="93" t="s">
        <v>749</v>
      </c>
      <c r="C2832" s="94" t="s">
        <v>750</v>
      </c>
      <c r="D2832" s="96" t="s">
        <v>289</v>
      </c>
      <c r="E2832" s="96">
        <v>0</v>
      </c>
      <c r="F2832" s="96">
        <v>56.58</v>
      </c>
      <c r="G2832" s="96">
        <v>56.58</v>
      </c>
      <c r="H2832" s="96">
        <v>0.74</v>
      </c>
      <c r="I2832" s="96">
        <v>3.0000000000000001E-5</v>
      </c>
      <c r="J2832" s="271">
        <f t="shared" si="8"/>
        <v>0</v>
      </c>
    </row>
    <row r="2833" spans="1:10">
      <c r="A2833" s="84"/>
      <c r="B2833" s="93" t="s">
        <v>751</v>
      </c>
      <c r="C2833" s="94" t="s">
        <v>752</v>
      </c>
      <c r="D2833" s="96" t="s">
        <v>289</v>
      </c>
      <c r="E2833" s="96">
        <v>0</v>
      </c>
      <c r="F2833" s="96">
        <v>56.58</v>
      </c>
      <c r="G2833" s="96">
        <v>56.58</v>
      </c>
      <c r="H2833" s="96">
        <v>0.74</v>
      </c>
      <c r="I2833" s="96">
        <v>2.0000000000000001E-4</v>
      </c>
      <c r="J2833" s="271">
        <f t="shared" si="8"/>
        <v>0.01</v>
      </c>
    </row>
    <row r="2834" spans="1:10">
      <c r="A2834" s="84"/>
      <c r="B2834" s="93" t="s">
        <v>753</v>
      </c>
      <c r="C2834" s="94" t="s">
        <v>754</v>
      </c>
      <c r="D2834" s="96" t="s">
        <v>289</v>
      </c>
      <c r="E2834" s="96">
        <v>0</v>
      </c>
      <c r="F2834" s="96">
        <v>56.58</v>
      </c>
      <c r="G2834" s="96">
        <v>56.58</v>
      </c>
      <c r="H2834" s="96">
        <v>0.74</v>
      </c>
      <c r="I2834" s="96">
        <v>1.8000000000000001E-4</v>
      </c>
      <c r="J2834" s="271">
        <f t="shared" si="8"/>
        <v>0.01</v>
      </c>
    </row>
    <row r="2835" spans="1:10">
      <c r="A2835" s="84"/>
      <c r="B2835" s="93" t="s">
        <v>755</v>
      </c>
      <c r="C2835" s="94" t="s">
        <v>756</v>
      </c>
      <c r="D2835" s="96" t="s">
        <v>289</v>
      </c>
      <c r="E2835" s="96">
        <v>0</v>
      </c>
      <c r="F2835" s="96">
        <v>56.58</v>
      </c>
      <c r="G2835" s="96">
        <v>56.58</v>
      </c>
      <c r="H2835" s="96">
        <v>0.74</v>
      </c>
      <c r="I2835" s="96">
        <v>5.0000000000000001E-4</v>
      </c>
      <c r="J2835" s="271">
        <f t="shared" si="8"/>
        <v>0.02</v>
      </c>
    </row>
    <row r="2836" spans="1:10">
      <c r="A2836" s="84"/>
      <c r="B2836" s="93" t="s">
        <v>231</v>
      </c>
      <c r="C2836" s="94"/>
      <c r="D2836" s="96"/>
      <c r="E2836" s="96"/>
      <c r="F2836" s="96"/>
      <c r="G2836" s="96"/>
      <c r="H2836" s="96"/>
      <c r="I2836" s="96"/>
      <c r="J2836" s="271"/>
    </row>
    <row r="2837" spans="1:10">
      <c r="A2837" s="84"/>
      <c r="B2837" s="89"/>
      <c r="C2837" s="97"/>
      <c r="D2837" s="91"/>
      <c r="E2837" s="91"/>
      <c r="F2837" s="91"/>
      <c r="G2837" s="91" t="s">
        <v>290</v>
      </c>
      <c r="H2837" s="91"/>
      <c r="I2837" s="91"/>
      <c r="J2837" s="99">
        <f>+SUBTOTAL(9,J2830:J2836)</f>
        <v>0.04</v>
      </c>
    </row>
    <row r="2838" spans="1:10">
      <c r="A2838" s="84"/>
      <c r="B2838" s="89" t="s">
        <v>291</v>
      </c>
      <c r="C2838" s="97"/>
      <c r="D2838" s="91"/>
      <c r="E2838" s="91"/>
      <c r="F2838" s="91"/>
      <c r="G2838" s="91"/>
      <c r="H2838" s="91"/>
      <c r="I2838" s="91"/>
      <c r="J2838" s="99">
        <f>+SUBTOTAL(9,J2806:J2836)</f>
        <v>6.469999999999998</v>
      </c>
    </row>
    <row r="2839" spans="1:10">
      <c r="A2839" s="84"/>
      <c r="B2839" s="89" t="s">
        <v>292</v>
      </c>
      <c r="C2839" s="97"/>
      <c r="D2839" s="91">
        <v>0</v>
      </c>
      <c r="E2839" s="91"/>
      <c r="F2839" s="91"/>
      <c r="G2839" s="91"/>
      <c r="H2839" s="91"/>
      <c r="I2839" s="91"/>
      <c r="J2839" s="99">
        <f>+ROUND(J2838*D2839/100,2)</f>
        <v>0</v>
      </c>
    </row>
    <row r="2840" spans="1:10" ht="14.4" thickBot="1">
      <c r="A2840" s="84"/>
      <c r="B2840" s="89" t="s">
        <v>293</v>
      </c>
      <c r="C2840" s="97"/>
      <c r="D2840" s="91"/>
      <c r="E2840" s="91"/>
      <c r="F2840" s="91"/>
      <c r="G2840" s="91"/>
      <c r="H2840" s="91"/>
      <c r="I2840" s="91"/>
      <c r="J2840" s="99">
        <f>+J2838+ J2839</f>
        <v>6.469999999999998</v>
      </c>
    </row>
    <row r="2841" spans="1:10">
      <c r="A2841" s="84"/>
      <c r="B2841" s="85" t="s">
        <v>294</v>
      </c>
      <c r="C2841" s="86"/>
      <c r="D2841" s="88"/>
      <c r="E2841" s="88"/>
      <c r="F2841" s="88" t="s">
        <v>295</v>
      </c>
      <c r="G2841" s="88"/>
      <c r="H2841" s="88"/>
      <c r="I2841" s="88" t="s">
        <v>296</v>
      </c>
      <c r="J2841" s="270"/>
    </row>
    <row r="2842" spans="1:10">
      <c r="A2842" s="84"/>
      <c r="B2842" s="93" t="s">
        <v>297</v>
      </c>
      <c r="C2842" s="84"/>
      <c r="D2842" s="95"/>
      <c r="E2842" s="95"/>
      <c r="F2842" s="95" t="s">
        <v>298</v>
      </c>
      <c r="G2842" s="95"/>
      <c r="H2842" s="95"/>
      <c r="I2842" s="95"/>
      <c r="J2842" s="276"/>
    </row>
    <row r="2843" spans="1:10">
      <c r="A2843" s="84"/>
      <c r="B2843" s="93" t="s">
        <v>299</v>
      </c>
      <c r="C2843" s="84"/>
      <c r="D2843" s="95"/>
      <c r="E2843" s="95"/>
      <c r="F2843" s="95" t="s">
        <v>300</v>
      </c>
      <c r="G2843" s="95"/>
      <c r="H2843" s="95"/>
      <c r="I2843" s="95"/>
      <c r="J2843" s="276"/>
    </row>
    <row r="2844" spans="1:10" ht="14.4" thickBot="1">
      <c r="A2844" s="84"/>
      <c r="B2844" s="100" t="s">
        <v>301</v>
      </c>
      <c r="C2844" s="84"/>
      <c r="D2844" s="95"/>
      <c r="E2844" s="95"/>
      <c r="F2844" s="95"/>
      <c r="G2844" s="95"/>
      <c r="H2844" s="95"/>
      <c r="I2844" s="95"/>
      <c r="J2844" s="277"/>
    </row>
    <row r="2845" spans="1:10">
      <c r="A2845" s="84"/>
      <c r="B2845" s="86"/>
      <c r="C2845" s="86"/>
      <c r="D2845" s="88"/>
      <c r="E2845" s="88"/>
      <c r="F2845" s="88"/>
      <c r="G2845" s="88"/>
      <c r="H2845" s="88"/>
      <c r="I2845" s="88"/>
      <c r="J2845" s="88"/>
    </row>
    <row r="2846" spans="1:10" ht="14.4" thickBot="1">
      <c r="A2846" s="84"/>
      <c r="B2846" s="84"/>
      <c r="C2846" s="84"/>
      <c r="D2846" s="95"/>
      <c r="E2846" s="95"/>
      <c r="F2846" s="95"/>
      <c r="G2846" s="95"/>
      <c r="H2846" s="95"/>
      <c r="I2846" s="95"/>
      <c r="J2846" s="95"/>
    </row>
    <row r="2847" spans="1:10">
      <c r="A2847" s="84"/>
      <c r="B2847" s="85"/>
      <c r="C2847" s="86"/>
      <c r="D2847" s="87" t="s">
        <v>227</v>
      </c>
      <c r="E2847" s="87"/>
      <c r="F2847" s="87"/>
      <c r="G2847" s="88"/>
      <c r="H2847" s="88"/>
      <c r="I2847" s="88"/>
      <c r="J2847" s="270"/>
    </row>
    <row r="2848" spans="1:10">
      <c r="A2848" s="84"/>
      <c r="B2848" s="89" t="s">
        <v>228</v>
      </c>
      <c r="C2848" s="90" t="s">
        <v>92</v>
      </c>
      <c r="D2848" s="91"/>
      <c r="E2848" s="91"/>
      <c r="F2848" s="91"/>
      <c r="G2848" s="91"/>
      <c r="H2848" s="92" t="s">
        <v>229</v>
      </c>
      <c r="I2848" s="91"/>
      <c r="J2848" s="99" t="s">
        <v>230</v>
      </c>
    </row>
    <row r="2849" spans="1:10">
      <c r="A2849" s="84"/>
      <c r="B2849" s="93" t="s">
        <v>231</v>
      </c>
      <c r="C2849" s="94" t="s">
        <v>757</v>
      </c>
      <c r="D2849" s="95"/>
      <c r="E2849" s="95"/>
      <c r="F2849" s="95"/>
      <c r="G2849" s="95"/>
      <c r="H2849" s="96" t="s">
        <v>233</v>
      </c>
      <c r="I2849" s="95"/>
      <c r="J2849" s="271" t="s">
        <v>234</v>
      </c>
    </row>
    <row r="2850" spans="1:10">
      <c r="A2850" s="84"/>
      <c r="B2850" s="89"/>
      <c r="C2850" s="90"/>
      <c r="D2850" s="91"/>
      <c r="E2850" s="92"/>
      <c r="F2850" s="92" t="s">
        <v>235</v>
      </c>
      <c r="G2850" s="92"/>
      <c r="H2850" s="92" t="s">
        <v>236</v>
      </c>
      <c r="I2850" s="92"/>
      <c r="J2850" s="99" t="s">
        <v>237</v>
      </c>
    </row>
    <row r="2851" spans="1:10">
      <c r="A2851" s="84"/>
      <c r="B2851" s="93" t="s">
        <v>228</v>
      </c>
      <c r="C2851" s="94" t="s">
        <v>238</v>
      </c>
      <c r="D2851" s="95"/>
      <c r="E2851" s="96" t="s">
        <v>239</v>
      </c>
      <c r="F2851" s="92" t="s">
        <v>240</v>
      </c>
      <c r="G2851" s="92" t="s">
        <v>241</v>
      </c>
      <c r="H2851" s="92" t="s">
        <v>240</v>
      </c>
      <c r="I2851" s="272" t="s">
        <v>241</v>
      </c>
      <c r="J2851" s="271" t="s">
        <v>242</v>
      </c>
    </row>
    <row r="2852" spans="1:10">
      <c r="A2852" s="84"/>
      <c r="B2852" s="273" t="s">
        <v>366</v>
      </c>
      <c r="C2852" s="90" t="s">
        <v>367</v>
      </c>
      <c r="D2852" s="91"/>
      <c r="E2852" s="92">
        <v>1</v>
      </c>
      <c r="F2852" s="92">
        <v>1</v>
      </c>
      <c r="G2852" s="92">
        <v>0</v>
      </c>
      <c r="H2852" s="92">
        <v>160.34</v>
      </c>
      <c r="I2852" s="92">
        <v>67.09</v>
      </c>
      <c r="J2852" s="99">
        <f>+ROUND(E2852* ((F2852*H2852) + (G2852*I2852)),2)</f>
        <v>160.34</v>
      </c>
    </row>
    <row r="2853" spans="1:10">
      <c r="A2853" s="84"/>
      <c r="B2853" s="93" t="s">
        <v>231</v>
      </c>
      <c r="C2853" s="94"/>
      <c r="D2853" s="95"/>
      <c r="E2853" s="96"/>
      <c r="F2853" s="96"/>
      <c r="G2853" s="96"/>
      <c r="H2853" s="96"/>
      <c r="I2853" s="96"/>
      <c r="J2853" s="271"/>
    </row>
    <row r="2854" spans="1:10">
      <c r="A2854" s="84"/>
      <c r="B2854" s="93" t="s">
        <v>231</v>
      </c>
      <c r="C2854" s="94"/>
      <c r="D2854" s="95"/>
      <c r="E2854" s="96"/>
      <c r="F2854" s="96"/>
      <c r="G2854" s="96"/>
      <c r="H2854" s="96"/>
      <c r="I2854" s="96"/>
      <c r="J2854" s="271"/>
    </row>
    <row r="2855" spans="1:10">
      <c r="A2855" s="84"/>
      <c r="B2855" s="93" t="s">
        <v>231</v>
      </c>
      <c r="C2855" s="94"/>
      <c r="D2855" s="95"/>
      <c r="E2855" s="96"/>
      <c r="F2855" s="96"/>
      <c r="G2855" s="96"/>
      <c r="H2855" s="96"/>
      <c r="I2855" s="96"/>
      <c r="J2855" s="271"/>
    </row>
    <row r="2856" spans="1:10">
      <c r="A2856" s="84"/>
      <c r="B2856" s="93" t="s">
        <v>231</v>
      </c>
      <c r="C2856" s="94"/>
      <c r="D2856" s="95"/>
      <c r="E2856" s="96"/>
      <c r="F2856" s="96"/>
      <c r="G2856" s="96"/>
      <c r="H2856" s="96"/>
      <c r="I2856" s="96"/>
      <c r="J2856" s="271"/>
    </row>
    <row r="2857" spans="1:10">
      <c r="A2857" s="84"/>
      <c r="B2857" s="93" t="s">
        <v>231</v>
      </c>
      <c r="C2857" s="94"/>
      <c r="D2857" s="95"/>
      <c r="E2857" s="96"/>
      <c r="F2857" s="96"/>
      <c r="G2857" s="96"/>
      <c r="H2857" s="96"/>
      <c r="I2857" s="96"/>
      <c r="J2857" s="271"/>
    </row>
    <row r="2858" spans="1:10">
      <c r="A2858" s="84"/>
      <c r="B2858" s="93" t="s">
        <v>231</v>
      </c>
      <c r="C2858" s="94"/>
      <c r="D2858" s="95"/>
      <c r="E2858" s="96"/>
      <c r="F2858" s="96"/>
      <c r="G2858" s="96"/>
      <c r="H2858" s="96"/>
      <c r="I2858" s="96"/>
      <c r="J2858" s="271"/>
    </row>
    <row r="2859" spans="1:10">
      <c r="A2859" s="84"/>
      <c r="B2859" s="89"/>
      <c r="C2859" s="97"/>
      <c r="D2859" s="91"/>
      <c r="E2859" s="91"/>
      <c r="F2859" s="91"/>
      <c r="G2859" s="91" t="s">
        <v>249</v>
      </c>
      <c r="H2859" s="91"/>
      <c r="I2859" s="91"/>
      <c r="J2859" s="99">
        <f>+SUBTOTAL(9,J2852:J2858)</f>
        <v>160.34</v>
      </c>
    </row>
    <row r="2860" spans="1:10">
      <c r="A2860" s="84"/>
      <c r="B2860" s="89" t="s">
        <v>228</v>
      </c>
      <c r="C2860" s="90" t="s">
        <v>250</v>
      </c>
      <c r="D2860" s="91"/>
      <c r="E2860" s="91"/>
      <c r="F2860" s="91"/>
      <c r="G2860" s="91"/>
      <c r="H2860" s="92" t="s">
        <v>239</v>
      </c>
      <c r="I2860" s="92" t="s">
        <v>251</v>
      </c>
      <c r="J2860" s="99" t="s">
        <v>252</v>
      </c>
    </row>
    <row r="2861" spans="1:10">
      <c r="A2861" s="84"/>
      <c r="B2861" s="89" t="s">
        <v>253</v>
      </c>
      <c r="C2861" s="90" t="s">
        <v>254</v>
      </c>
      <c r="D2861" s="91"/>
      <c r="E2861" s="91"/>
      <c r="F2861" s="91"/>
      <c r="G2861" s="91"/>
      <c r="H2861" s="92">
        <v>1</v>
      </c>
      <c r="I2861" s="92">
        <v>21.04</v>
      </c>
      <c r="J2861" s="99">
        <f>+ROUND(H2861*I2861,2)</f>
        <v>21.04</v>
      </c>
    </row>
    <row r="2862" spans="1:10">
      <c r="A2862" s="84"/>
      <c r="B2862" s="93" t="s">
        <v>231</v>
      </c>
      <c r="C2862" s="94"/>
      <c r="D2862" s="95"/>
      <c r="E2862" s="95"/>
      <c r="F2862" s="95"/>
      <c r="G2862" s="95"/>
      <c r="H2862" s="96"/>
      <c r="I2862" s="96"/>
      <c r="J2862" s="271"/>
    </row>
    <row r="2863" spans="1:10">
      <c r="A2863" s="84"/>
      <c r="B2863" s="93" t="s">
        <v>231</v>
      </c>
      <c r="C2863" s="94"/>
      <c r="D2863" s="95"/>
      <c r="E2863" s="95"/>
      <c r="F2863" s="95"/>
      <c r="G2863" s="95"/>
      <c r="H2863" s="96"/>
      <c r="I2863" s="96"/>
      <c r="J2863" s="271"/>
    </row>
    <row r="2864" spans="1:10">
      <c r="A2864" s="84"/>
      <c r="B2864" s="93" t="s">
        <v>231</v>
      </c>
      <c r="C2864" s="94"/>
      <c r="D2864" s="95"/>
      <c r="E2864" s="95"/>
      <c r="F2864" s="95"/>
      <c r="G2864" s="95"/>
      <c r="H2864" s="96"/>
      <c r="I2864" s="96"/>
      <c r="J2864" s="271"/>
    </row>
    <row r="2865" spans="1:10">
      <c r="A2865" s="84"/>
      <c r="B2865" s="93" t="s">
        <v>231</v>
      </c>
      <c r="C2865" s="94"/>
      <c r="D2865" s="95"/>
      <c r="E2865" s="95"/>
      <c r="F2865" s="95"/>
      <c r="G2865" s="95"/>
      <c r="H2865" s="96"/>
      <c r="I2865" s="96"/>
      <c r="J2865" s="271"/>
    </row>
    <row r="2866" spans="1:10">
      <c r="A2866" s="84"/>
      <c r="B2866" s="93" t="s">
        <v>231</v>
      </c>
      <c r="C2866" s="94"/>
      <c r="D2866" s="95"/>
      <c r="E2866" s="95"/>
      <c r="F2866" s="95"/>
      <c r="G2866" s="95"/>
      <c r="H2866" s="96"/>
      <c r="I2866" s="96"/>
      <c r="J2866" s="271"/>
    </row>
    <row r="2867" spans="1:10">
      <c r="A2867" s="84"/>
      <c r="B2867" s="93" t="s">
        <v>231</v>
      </c>
      <c r="C2867" s="94"/>
      <c r="D2867" s="95"/>
      <c r="E2867" s="95"/>
      <c r="F2867" s="95"/>
      <c r="G2867" s="95"/>
      <c r="H2867" s="96"/>
      <c r="I2867" s="96"/>
      <c r="J2867" s="271"/>
    </row>
    <row r="2868" spans="1:10">
      <c r="A2868" s="84"/>
      <c r="B2868" s="89"/>
      <c r="C2868" s="97"/>
      <c r="D2868" s="91"/>
      <c r="E2868" s="91"/>
      <c r="F2868" s="91"/>
      <c r="G2868" s="91" t="s">
        <v>255</v>
      </c>
      <c r="H2868" s="91"/>
      <c r="I2868" s="91"/>
      <c r="J2868" s="99">
        <f>+SUBTOTAL(9,J2861:J2867)</f>
        <v>21.04</v>
      </c>
    </row>
    <row r="2869" spans="1:10">
      <c r="A2869" s="84"/>
      <c r="B2869" s="89"/>
      <c r="C2869" s="97"/>
      <c r="D2869" s="91"/>
      <c r="E2869" s="91"/>
      <c r="F2869" s="91" t="s">
        <v>256</v>
      </c>
      <c r="G2869" s="91"/>
      <c r="H2869" s="91"/>
      <c r="I2869" s="91">
        <v>0</v>
      </c>
      <c r="J2869" s="99">
        <f>+ROUND(I2869*J2868,2)</f>
        <v>0</v>
      </c>
    </row>
    <row r="2870" spans="1:10">
      <c r="A2870" s="84"/>
      <c r="B2870" s="89"/>
      <c r="C2870" s="97"/>
      <c r="D2870" s="91"/>
      <c r="E2870" s="91"/>
      <c r="F2870" s="91" t="s">
        <v>257</v>
      </c>
      <c r="G2870" s="91"/>
      <c r="H2870" s="91"/>
      <c r="I2870" s="91"/>
      <c r="J2870" s="99">
        <f>+SUBTOTAL(9,J2861:J2869)</f>
        <v>21.04</v>
      </c>
    </row>
    <row r="2871" spans="1:10">
      <c r="A2871" s="84"/>
      <c r="B2871" s="98"/>
      <c r="C2871" s="97"/>
      <c r="D2871" s="91"/>
      <c r="E2871" s="91"/>
      <c r="F2871" s="91"/>
      <c r="G2871" s="91" t="s">
        <v>258</v>
      </c>
      <c r="H2871" s="91"/>
      <c r="I2871" s="91"/>
      <c r="J2871" s="275">
        <f>+SUBTOTAL(9,J2852:J2870)</f>
        <v>181.38</v>
      </c>
    </row>
    <row r="2872" spans="1:10">
      <c r="A2872" s="84"/>
      <c r="B2872" s="98"/>
      <c r="C2872" s="97" t="s">
        <v>259</v>
      </c>
      <c r="D2872" s="91">
        <v>15.86</v>
      </c>
      <c r="E2872" s="91"/>
      <c r="F2872" s="91"/>
      <c r="G2872" s="91" t="s">
        <v>260</v>
      </c>
      <c r="H2872" s="91"/>
      <c r="I2872" s="91"/>
      <c r="J2872" s="275">
        <f>+ROUND(J2871/D2872,2)</f>
        <v>11.44</v>
      </c>
    </row>
    <row r="2873" spans="1:10">
      <c r="A2873" s="84"/>
      <c r="B2873" s="89" t="s">
        <v>228</v>
      </c>
      <c r="C2873" s="90" t="s">
        <v>261</v>
      </c>
      <c r="D2873" s="91"/>
      <c r="E2873" s="91"/>
      <c r="F2873" s="91"/>
      <c r="G2873" s="92" t="s">
        <v>230</v>
      </c>
      <c r="H2873" s="92" t="s">
        <v>262</v>
      </c>
      <c r="I2873" s="92" t="s">
        <v>263</v>
      </c>
      <c r="J2873" s="99" t="s">
        <v>264</v>
      </c>
    </row>
    <row r="2874" spans="1:10">
      <c r="A2874" s="84"/>
      <c r="B2874" s="89" t="s">
        <v>758</v>
      </c>
      <c r="C2874" s="90" t="s">
        <v>759</v>
      </c>
      <c r="D2874" s="91"/>
      <c r="E2874" s="91"/>
      <c r="F2874" s="91"/>
      <c r="G2874" s="92" t="s">
        <v>270</v>
      </c>
      <c r="H2874" s="92">
        <v>7.52</v>
      </c>
      <c r="I2874" s="92">
        <v>1</v>
      </c>
      <c r="J2874" s="99">
        <f>+ROUND(H2874*I2874,2)</f>
        <v>7.52</v>
      </c>
    </row>
    <row r="2875" spans="1:10">
      <c r="A2875" s="84"/>
      <c r="B2875" s="93" t="s">
        <v>231</v>
      </c>
      <c r="C2875" s="94"/>
      <c r="D2875" s="95"/>
      <c r="E2875" s="95"/>
      <c r="F2875" s="95"/>
      <c r="G2875" s="96"/>
      <c r="H2875" s="96"/>
      <c r="I2875" s="96"/>
      <c r="J2875" s="271"/>
    </row>
    <row r="2876" spans="1:10">
      <c r="A2876" s="84"/>
      <c r="B2876" s="93" t="s">
        <v>231</v>
      </c>
      <c r="C2876" s="94"/>
      <c r="D2876" s="95"/>
      <c r="E2876" s="95"/>
      <c r="F2876" s="95"/>
      <c r="G2876" s="96"/>
      <c r="H2876" s="96"/>
      <c r="I2876" s="96"/>
      <c r="J2876" s="271"/>
    </row>
    <row r="2877" spans="1:10">
      <c r="A2877" s="84"/>
      <c r="B2877" s="93" t="s">
        <v>231</v>
      </c>
      <c r="C2877" s="94"/>
      <c r="D2877" s="95"/>
      <c r="E2877" s="95"/>
      <c r="F2877" s="95"/>
      <c r="G2877" s="96"/>
      <c r="H2877" s="96"/>
      <c r="I2877" s="96"/>
      <c r="J2877" s="271"/>
    </row>
    <row r="2878" spans="1:10">
      <c r="A2878" s="84"/>
      <c r="B2878" s="93" t="s">
        <v>231</v>
      </c>
      <c r="C2878" s="94"/>
      <c r="D2878" s="95"/>
      <c r="E2878" s="95"/>
      <c r="F2878" s="95"/>
      <c r="G2878" s="96"/>
      <c r="H2878" s="96"/>
      <c r="I2878" s="96"/>
      <c r="J2878" s="271"/>
    </row>
    <row r="2879" spans="1:10">
      <c r="A2879" s="84"/>
      <c r="B2879" s="93" t="s">
        <v>231</v>
      </c>
      <c r="C2879" s="94"/>
      <c r="D2879" s="95"/>
      <c r="E2879" s="95"/>
      <c r="F2879" s="95"/>
      <c r="G2879" s="96"/>
      <c r="H2879" s="96"/>
      <c r="I2879" s="96"/>
      <c r="J2879" s="271"/>
    </row>
    <row r="2880" spans="1:10">
      <c r="A2880" s="84"/>
      <c r="B2880" s="93" t="s">
        <v>231</v>
      </c>
      <c r="C2880" s="94"/>
      <c r="D2880" s="95"/>
      <c r="E2880" s="95"/>
      <c r="F2880" s="95"/>
      <c r="G2880" s="96"/>
      <c r="H2880" s="96"/>
      <c r="I2880" s="96"/>
      <c r="J2880" s="271"/>
    </row>
    <row r="2881" spans="1:10">
      <c r="A2881" s="84"/>
      <c r="B2881" s="89"/>
      <c r="C2881" s="97"/>
      <c r="D2881" s="91"/>
      <c r="E2881" s="91"/>
      <c r="F2881" s="91"/>
      <c r="G2881" s="91" t="s">
        <v>275</v>
      </c>
      <c r="H2881" s="91"/>
      <c r="I2881" s="91"/>
      <c r="J2881" s="99">
        <f>+SUBTOTAL(9,J2874:J2880)</f>
        <v>7.52</v>
      </c>
    </row>
    <row r="2882" spans="1:10">
      <c r="A2882" s="84"/>
      <c r="B2882" s="89" t="s">
        <v>228</v>
      </c>
      <c r="C2882" s="90" t="s">
        <v>276</v>
      </c>
      <c r="D2882" s="91"/>
      <c r="E2882" s="91"/>
      <c r="F2882" s="91"/>
      <c r="G2882" s="92" t="s">
        <v>230</v>
      </c>
      <c r="H2882" s="92" t="s">
        <v>262</v>
      </c>
      <c r="I2882" s="92" t="s">
        <v>263</v>
      </c>
      <c r="J2882" s="99" t="s">
        <v>264</v>
      </c>
    </row>
    <row r="2883" spans="1:10">
      <c r="A2883" s="84"/>
      <c r="B2883" s="89" t="s">
        <v>231</v>
      </c>
      <c r="C2883" s="90"/>
      <c r="D2883" s="91"/>
      <c r="E2883" s="91"/>
      <c r="F2883" s="91"/>
      <c r="G2883" s="92"/>
      <c r="H2883" s="92"/>
      <c r="I2883" s="92"/>
      <c r="J2883" s="99"/>
    </row>
    <row r="2884" spans="1:10">
      <c r="A2884" s="84"/>
      <c r="B2884" s="93" t="s">
        <v>231</v>
      </c>
      <c r="C2884" s="94"/>
      <c r="D2884" s="95"/>
      <c r="E2884" s="95"/>
      <c r="F2884" s="95"/>
      <c r="G2884" s="96"/>
      <c r="H2884" s="96"/>
      <c r="I2884" s="96"/>
      <c r="J2884" s="271"/>
    </row>
    <row r="2885" spans="1:10">
      <c r="A2885" s="84"/>
      <c r="B2885" s="93" t="s">
        <v>231</v>
      </c>
      <c r="C2885" s="94"/>
      <c r="D2885" s="95"/>
      <c r="E2885" s="95"/>
      <c r="F2885" s="95"/>
      <c r="G2885" s="96"/>
      <c r="H2885" s="96"/>
      <c r="I2885" s="96"/>
      <c r="J2885" s="271"/>
    </row>
    <row r="2886" spans="1:10">
      <c r="A2886" s="84"/>
      <c r="B2886" s="93" t="s">
        <v>231</v>
      </c>
      <c r="C2886" s="94"/>
      <c r="D2886" s="95"/>
      <c r="E2886" s="95"/>
      <c r="F2886" s="95"/>
      <c r="G2886" s="96"/>
      <c r="H2886" s="96"/>
      <c r="I2886" s="96"/>
      <c r="J2886" s="271"/>
    </row>
    <row r="2887" spans="1:10">
      <c r="A2887" s="84"/>
      <c r="B2887" s="93" t="s">
        <v>231</v>
      </c>
      <c r="C2887" s="94"/>
      <c r="D2887" s="95"/>
      <c r="E2887" s="95"/>
      <c r="F2887" s="95"/>
      <c r="G2887" s="96"/>
      <c r="H2887" s="96"/>
      <c r="I2887" s="96"/>
      <c r="J2887" s="271"/>
    </row>
    <row r="2888" spans="1:10">
      <c r="A2888" s="84"/>
      <c r="B2888" s="89"/>
      <c r="C2888" s="97"/>
      <c r="D2888" s="91"/>
      <c r="E2888" s="91"/>
      <c r="F2888" s="91"/>
      <c r="G2888" s="91" t="s">
        <v>279</v>
      </c>
      <c r="H2888" s="91"/>
      <c r="I2888" s="91"/>
      <c r="J2888" s="99">
        <f>+SUBTOTAL(9,J2883:J2887)</f>
        <v>0</v>
      </c>
    </row>
    <row r="2889" spans="1:10">
      <c r="A2889" s="84"/>
      <c r="B2889" s="89" t="s">
        <v>228</v>
      </c>
      <c r="C2889" s="90" t="s">
        <v>280</v>
      </c>
      <c r="D2889" s="92" t="s">
        <v>281</v>
      </c>
      <c r="E2889" s="92" t="s">
        <v>282</v>
      </c>
      <c r="F2889" s="92" t="s">
        <v>283</v>
      </c>
      <c r="G2889" s="92" t="s">
        <v>284</v>
      </c>
      <c r="H2889" s="92" t="s">
        <v>285</v>
      </c>
      <c r="I2889" s="92" t="s">
        <v>263</v>
      </c>
      <c r="J2889" s="99" t="s">
        <v>286</v>
      </c>
    </row>
    <row r="2890" spans="1:10">
      <c r="A2890" s="84"/>
      <c r="B2890" s="89" t="s">
        <v>760</v>
      </c>
      <c r="C2890" s="90" t="s">
        <v>761</v>
      </c>
      <c r="D2890" s="92" t="s">
        <v>289</v>
      </c>
      <c r="E2890" s="92">
        <v>0</v>
      </c>
      <c r="F2890" s="92">
        <v>25</v>
      </c>
      <c r="G2890" s="92">
        <v>25</v>
      </c>
      <c r="H2890" s="92">
        <v>0.85</v>
      </c>
      <c r="I2890" s="92">
        <v>1</v>
      </c>
      <c r="J2890" s="99">
        <f>+ROUND(G2890*H2890*I2890,2)</f>
        <v>21.25</v>
      </c>
    </row>
    <row r="2891" spans="1:10">
      <c r="A2891" s="84"/>
      <c r="B2891" s="93" t="s">
        <v>231</v>
      </c>
      <c r="C2891" s="94"/>
      <c r="D2891" s="96"/>
      <c r="E2891" s="96"/>
      <c r="F2891" s="96"/>
      <c r="G2891" s="96"/>
      <c r="H2891" s="96"/>
      <c r="I2891" s="96"/>
      <c r="J2891" s="271"/>
    </row>
    <row r="2892" spans="1:10">
      <c r="A2892" s="84"/>
      <c r="B2892" s="93" t="s">
        <v>231</v>
      </c>
      <c r="C2892" s="94"/>
      <c r="D2892" s="96"/>
      <c r="E2892" s="96"/>
      <c r="F2892" s="96"/>
      <c r="G2892" s="96"/>
      <c r="H2892" s="96"/>
      <c r="I2892" s="96"/>
      <c r="J2892" s="271"/>
    </row>
    <row r="2893" spans="1:10">
      <c r="A2893" s="84"/>
      <c r="B2893" s="93" t="s">
        <v>231</v>
      </c>
      <c r="C2893" s="94"/>
      <c r="D2893" s="96"/>
      <c r="E2893" s="96"/>
      <c r="F2893" s="96"/>
      <c r="G2893" s="96"/>
      <c r="H2893" s="96"/>
      <c r="I2893" s="96"/>
      <c r="J2893" s="271"/>
    </row>
    <row r="2894" spans="1:10">
      <c r="A2894" s="84"/>
      <c r="B2894" s="93" t="s">
        <v>231</v>
      </c>
      <c r="C2894" s="94"/>
      <c r="D2894" s="96"/>
      <c r="E2894" s="96"/>
      <c r="F2894" s="96"/>
      <c r="G2894" s="96"/>
      <c r="H2894" s="96"/>
      <c r="I2894" s="96"/>
      <c r="J2894" s="271"/>
    </row>
    <row r="2895" spans="1:10">
      <c r="A2895" s="84"/>
      <c r="B2895" s="93" t="s">
        <v>231</v>
      </c>
      <c r="C2895" s="94"/>
      <c r="D2895" s="96"/>
      <c r="E2895" s="96"/>
      <c r="F2895" s="96"/>
      <c r="G2895" s="96"/>
      <c r="H2895" s="96"/>
      <c r="I2895" s="96"/>
      <c r="J2895" s="271"/>
    </row>
    <row r="2896" spans="1:10">
      <c r="A2896" s="84"/>
      <c r="B2896" s="93" t="s">
        <v>231</v>
      </c>
      <c r="C2896" s="94"/>
      <c r="D2896" s="96"/>
      <c r="E2896" s="96"/>
      <c r="F2896" s="96"/>
      <c r="G2896" s="96"/>
      <c r="H2896" s="96"/>
      <c r="I2896" s="96"/>
      <c r="J2896" s="271"/>
    </row>
    <row r="2897" spans="1:10">
      <c r="A2897" s="84"/>
      <c r="B2897" s="89"/>
      <c r="C2897" s="97"/>
      <c r="D2897" s="91"/>
      <c r="E2897" s="91"/>
      <c r="F2897" s="91"/>
      <c r="G2897" s="91" t="s">
        <v>290</v>
      </c>
      <c r="H2897" s="91"/>
      <c r="I2897" s="91"/>
      <c r="J2897" s="99">
        <f>+SUBTOTAL(9,J2890:J2896)</f>
        <v>21.25</v>
      </c>
    </row>
    <row r="2898" spans="1:10">
      <c r="A2898" s="84"/>
      <c r="B2898" s="89" t="s">
        <v>291</v>
      </c>
      <c r="C2898" s="97"/>
      <c r="D2898" s="91"/>
      <c r="E2898" s="91"/>
      <c r="F2898" s="91"/>
      <c r="G2898" s="91"/>
      <c r="H2898" s="91"/>
      <c r="I2898" s="91"/>
      <c r="J2898" s="99">
        <f>+SUBTOTAL(9,J2872:J2896)</f>
        <v>40.21</v>
      </c>
    </row>
    <row r="2899" spans="1:10">
      <c r="A2899" s="84"/>
      <c r="B2899" s="89" t="s">
        <v>292</v>
      </c>
      <c r="C2899" s="97"/>
      <c r="D2899" s="91">
        <v>0</v>
      </c>
      <c r="E2899" s="91"/>
      <c r="F2899" s="91"/>
      <c r="G2899" s="91"/>
      <c r="H2899" s="91"/>
      <c r="I2899" s="91"/>
      <c r="J2899" s="99">
        <f>+ROUND(J2898*D2899/100,2)</f>
        <v>0</v>
      </c>
    </row>
    <row r="2900" spans="1:10" ht="14.4" thickBot="1">
      <c r="A2900" s="84"/>
      <c r="B2900" s="89" t="s">
        <v>293</v>
      </c>
      <c r="C2900" s="97"/>
      <c r="D2900" s="91"/>
      <c r="E2900" s="91"/>
      <c r="F2900" s="91"/>
      <c r="G2900" s="91"/>
      <c r="H2900" s="91"/>
      <c r="I2900" s="91"/>
      <c r="J2900" s="99">
        <f>+J2898+ J2899</f>
        <v>40.21</v>
      </c>
    </row>
    <row r="2901" spans="1:10">
      <c r="A2901" s="84"/>
      <c r="B2901" s="85" t="s">
        <v>294</v>
      </c>
      <c r="C2901" s="86"/>
      <c r="D2901" s="88"/>
      <c r="E2901" s="88"/>
      <c r="F2901" s="88" t="s">
        <v>295</v>
      </c>
      <c r="G2901" s="88"/>
      <c r="H2901" s="88"/>
      <c r="I2901" s="88" t="s">
        <v>296</v>
      </c>
      <c r="J2901" s="270"/>
    </row>
    <row r="2902" spans="1:10">
      <c r="A2902" s="84"/>
      <c r="B2902" s="93" t="s">
        <v>297</v>
      </c>
      <c r="C2902" s="84"/>
      <c r="D2902" s="95"/>
      <c r="E2902" s="95"/>
      <c r="F2902" s="95" t="s">
        <v>298</v>
      </c>
      <c r="G2902" s="95"/>
      <c r="H2902" s="95"/>
      <c r="I2902" s="95"/>
      <c r="J2902" s="276"/>
    </row>
    <row r="2903" spans="1:10">
      <c r="A2903" s="84"/>
      <c r="B2903" s="93" t="s">
        <v>299</v>
      </c>
      <c r="C2903" s="84"/>
      <c r="D2903" s="95"/>
      <c r="E2903" s="95"/>
      <c r="F2903" s="95" t="s">
        <v>300</v>
      </c>
      <c r="G2903" s="95"/>
      <c r="H2903" s="95"/>
      <c r="I2903" s="95"/>
      <c r="J2903" s="276"/>
    </row>
    <row r="2904" spans="1:10" ht="14.4" thickBot="1">
      <c r="A2904" s="84"/>
      <c r="B2904" s="100" t="s">
        <v>301</v>
      </c>
      <c r="C2904" s="84"/>
      <c r="D2904" s="95"/>
      <c r="E2904" s="95"/>
      <c r="F2904" s="95"/>
      <c r="G2904" s="95"/>
      <c r="H2904" s="95"/>
      <c r="I2904" s="95"/>
      <c r="J2904" s="277"/>
    </row>
    <row r="2905" spans="1:10">
      <c r="A2905" s="84"/>
      <c r="B2905" s="86"/>
      <c r="C2905" s="86"/>
      <c r="D2905" s="88"/>
      <c r="E2905" s="88"/>
      <c r="F2905" s="88"/>
      <c r="G2905" s="88"/>
      <c r="H2905" s="88"/>
      <c r="I2905" s="88"/>
      <c r="J2905" s="88"/>
    </row>
    <row r="2906" spans="1:10" ht="14.4" thickBot="1">
      <c r="A2906" s="84"/>
      <c r="B2906" s="84"/>
      <c r="C2906" s="84"/>
      <c r="D2906" s="95"/>
      <c r="E2906" s="95"/>
      <c r="F2906" s="95"/>
      <c r="G2906" s="95"/>
      <c r="H2906" s="95"/>
      <c r="I2906" s="95"/>
      <c r="J2906" s="95"/>
    </row>
    <row r="2907" spans="1:10">
      <c r="A2907" s="84"/>
      <c r="B2907" s="85"/>
      <c r="C2907" s="86"/>
      <c r="D2907" s="87" t="s">
        <v>227</v>
      </c>
      <c r="E2907" s="87"/>
      <c r="F2907" s="87"/>
      <c r="G2907" s="88"/>
      <c r="H2907" s="88"/>
      <c r="I2907" s="88"/>
      <c r="J2907" s="270"/>
    </row>
    <row r="2908" spans="1:10">
      <c r="A2908" s="84"/>
      <c r="B2908" s="89" t="s">
        <v>228</v>
      </c>
      <c r="C2908" s="90" t="s">
        <v>92</v>
      </c>
      <c r="D2908" s="91"/>
      <c r="E2908" s="91"/>
      <c r="F2908" s="91"/>
      <c r="G2908" s="91"/>
      <c r="H2908" s="92" t="s">
        <v>229</v>
      </c>
      <c r="I2908" s="91"/>
      <c r="J2908" s="99" t="s">
        <v>230</v>
      </c>
    </row>
    <row r="2909" spans="1:10">
      <c r="A2909" s="84"/>
      <c r="B2909" s="93" t="s">
        <v>231</v>
      </c>
      <c r="C2909" s="94" t="s">
        <v>762</v>
      </c>
      <c r="D2909" s="95"/>
      <c r="E2909" s="95"/>
      <c r="F2909" s="95"/>
      <c r="G2909" s="95"/>
      <c r="H2909" s="96" t="s">
        <v>233</v>
      </c>
      <c r="I2909" s="95"/>
      <c r="J2909" s="271" t="s">
        <v>386</v>
      </c>
    </row>
    <row r="2910" spans="1:10">
      <c r="A2910" s="84"/>
      <c r="B2910" s="89"/>
      <c r="C2910" s="90"/>
      <c r="D2910" s="91"/>
      <c r="E2910" s="92"/>
      <c r="F2910" s="92" t="s">
        <v>235</v>
      </c>
      <c r="G2910" s="92"/>
      <c r="H2910" s="92" t="s">
        <v>236</v>
      </c>
      <c r="I2910" s="92"/>
      <c r="J2910" s="99" t="s">
        <v>237</v>
      </c>
    </row>
    <row r="2911" spans="1:10">
      <c r="A2911" s="84"/>
      <c r="B2911" s="93" t="s">
        <v>228</v>
      </c>
      <c r="C2911" s="94" t="s">
        <v>238</v>
      </c>
      <c r="D2911" s="95"/>
      <c r="E2911" s="96" t="s">
        <v>239</v>
      </c>
      <c r="F2911" s="92" t="s">
        <v>240</v>
      </c>
      <c r="G2911" s="92" t="s">
        <v>241</v>
      </c>
      <c r="H2911" s="92" t="s">
        <v>240</v>
      </c>
      <c r="I2911" s="272" t="s">
        <v>241</v>
      </c>
      <c r="J2911" s="271" t="s">
        <v>242</v>
      </c>
    </row>
    <row r="2912" spans="1:10">
      <c r="A2912" s="84"/>
      <c r="B2912" s="273" t="s">
        <v>427</v>
      </c>
      <c r="C2912" s="90" t="s">
        <v>428</v>
      </c>
      <c r="D2912" s="91"/>
      <c r="E2912" s="92">
        <v>1</v>
      </c>
      <c r="F2912" s="92">
        <v>0.12</v>
      </c>
      <c r="G2912" s="92">
        <v>0.88</v>
      </c>
      <c r="H2912" s="92">
        <v>152.22</v>
      </c>
      <c r="I2912" s="92">
        <v>58.52</v>
      </c>
      <c r="J2912" s="99">
        <f>+ROUND(E2912* ((F2912*H2912) + (G2912*I2912)),2)</f>
        <v>69.760000000000005</v>
      </c>
    </row>
    <row r="2913" spans="1:10">
      <c r="A2913" s="84"/>
      <c r="B2913" s="93" t="s">
        <v>231</v>
      </c>
      <c r="C2913" s="94"/>
      <c r="D2913" s="95"/>
      <c r="E2913" s="96"/>
      <c r="F2913" s="96"/>
      <c r="G2913" s="96"/>
      <c r="H2913" s="96"/>
      <c r="I2913" s="96"/>
      <c r="J2913" s="271"/>
    </row>
    <row r="2914" spans="1:10">
      <c r="A2914" s="84"/>
      <c r="B2914" s="93" t="s">
        <v>231</v>
      </c>
      <c r="C2914" s="94"/>
      <c r="D2914" s="95"/>
      <c r="E2914" s="96"/>
      <c r="F2914" s="96"/>
      <c r="G2914" s="96"/>
      <c r="H2914" s="96"/>
      <c r="I2914" s="96"/>
      <c r="J2914" s="271"/>
    </row>
    <row r="2915" spans="1:10">
      <c r="A2915" s="84"/>
      <c r="B2915" s="93" t="s">
        <v>231</v>
      </c>
      <c r="C2915" s="94"/>
      <c r="D2915" s="95"/>
      <c r="E2915" s="96"/>
      <c r="F2915" s="96"/>
      <c r="G2915" s="96"/>
      <c r="H2915" s="96"/>
      <c r="I2915" s="96"/>
      <c r="J2915" s="271"/>
    </row>
    <row r="2916" spans="1:10">
      <c r="A2916" s="84"/>
      <c r="B2916" s="93" t="s">
        <v>231</v>
      </c>
      <c r="C2916" s="94"/>
      <c r="D2916" s="95"/>
      <c r="E2916" s="96"/>
      <c r="F2916" s="96"/>
      <c r="G2916" s="96"/>
      <c r="H2916" s="96"/>
      <c r="I2916" s="96"/>
      <c r="J2916" s="271"/>
    </row>
    <row r="2917" spans="1:10">
      <c r="A2917" s="84"/>
      <c r="B2917" s="93" t="s">
        <v>231</v>
      </c>
      <c r="C2917" s="94"/>
      <c r="D2917" s="95"/>
      <c r="E2917" s="96"/>
      <c r="F2917" s="96"/>
      <c r="G2917" s="96"/>
      <c r="H2917" s="96"/>
      <c r="I2917" s="96"/>
      <c r="J2917" s="271"/>
    </row>
    <row r="2918" spans="1:10">
      <c r="A2918" s="84"/>
      <c r="B2918" s="93" t="s">
        <v>231</v>
      </c>
      <c r="C2918" s="94"/>
      <c r="D2918" s="95"/>
      <c r="E2918" s="96"/>
      <c r="F2918" s="96"/>
      <c r="G2918" s="96"/>
      <c r="H2918" s="96"/>
      <c r="I2918" s="96"/>
      <c r="J2918" s="271"/>
    </row>
    <row r="2919" spans="1:10">
      <c r="A2919" s="84"/>
      <c r="B2919" s="89"/>
      <c r="C2919" s="97"/>
      <c r="D2919" s="91"/>
      <c r="E2919" s="91"/>
      <c r="F2919" s="91"/>
      <c r="G2919" s="91" t="s">
        <v>249</v>
      </c>
      <c r="H2919" s="91"/>
      <c r="I2919" s="91"/>
      <c r="J2919" s="99">
        <f>+SUBTOTAL(9,J2912:J2918)</f>
        <v>69.760000000000005</v>
      </c>
    </row>
    <row r="2920" spans="1:10">
      <c r="A2920" s="84"/>
      <c r="B2920" s="89" t="s">
        <v>228</v>
      </c>
      <c r="C2920" s="90" t="s">
        <v>250</v>
      </c>
      <c r="D2920" s="91"/>
      <c r="E2920" s="91"/>
      <c r="F2920" s="91"/>
      <c r="G2920" s="91"/>
      <c r="H2920" s="92" t="s">
        <v>239</v>
      </c>
      <c r="I2920" s="92" t="s">
        <v>251</v>
      </c>
      <c r="J2920" s="99" t="s">
        <v>252</v>
      </c>
    </row>
    <row r="2921" spans="1:10">
      <c r="A2921" s="84"/>
      <c r="B2921" s="89" t="s">
        <v>253</v>
      </c>
      <c r="C2921" s="90" t="s">
        <v>254</v>
      </c>
      <c r="D2921" s="91"/>
      <c r="E2921" s="91"/>
      <c r="F2921" s="91"/>
      <c r="G2921" s="91"/>
      <c r="H2921" s="92">
        <v>10</v>
      </c>
      <c r="I2921" s="92">
        <v>21.04</v>
      </c>
      <c r="J2921" s="99">
        <f>+ROUND(H2921*I2921,2)</f>
        <v>210.4</v>
      </c>
    </row>
    <row r="2922" spans="1:10">
      <c r="A2922" s="84"/>
      <c r="B2922" s="93" t="s">
        <v>231</v>
      </c>
      <c r="C2922" s="94"/>
      <c r="D2922" s="95"/>
      <c r="E2922" s="95"/>
      <c r="F2922" s="95"/>
      <c r="G2922" s="95"/>
      <c r="H2922" s="96"/>
      <c r="I2922" s="96"/>
      <c r="J2922" s="271"/>
    </row>
    <row r="2923" spans="1:10">
      <c r="A2923" s="84"/>
      <c r="B2923" s="93" t="s">
        <v>231</v>
      </c>
      <c r="C2923" s="94"/>
      <c r="D2923" s="95"/>
      <c r="E2923" s="95"/>
      <c r="F2923" s="95"/>
      <c r="G2923" s="95"/>
      <c r="H2923" s="96"/>
      <c r="I2923" s="96"/>
      <c r="J2923" s="271"/>
    </row>
    <row r="2924" spans="1:10">
      <c r="A2924" s="84"/>
      <c r="B2924" s="93" t="s">
        <v>231</v>
      </c>
      <c r="C2924" s="94"/>
      <c r="D2924" s="95"/>
      <c r="E2924" s="95"/>
      <c r="F2924" s="95"/>
      <c r="G2924" s="95"/>
      <c r="H2924" s="96"/>
      <c r="I2924" s="96"/>
      <c r="J2924" s="271"/>
    </row>
    <row r="2925" spans="1:10">
      <c r="A2925" s="84"/>
      <c r="B2925" s="93" t="s">
        <v>231</v>
      </c>
      <c r="C2925" s="94"/>
      <c r="D2925" s="95"/>
      <c r="E2925" s="95"/>
      <c r="F2925" s="95"/>
      <c r="G2925" s="95"/>
      <c r="H2925" s="96"/>
      <c r="I2925" s="96"/>
      <c r="J2925" s="271"/>
    </row>
    <row r="2926" spans="1:10">
      <c r="A2926" s="84"/>
      <c r="B2926" s="93" t="s">
        <v>231</v>
      </c>
      <c r="C2926" s="94"/>
      <c r="D2926" s="95"/>
      <c r="E2926" s="95"/>
      <c r="F2926" s="95"/>
      <c r="G2926" s="95"/>
      <c r="H2926" s="96"/>
      <c r="I2926" s="96"/>
      <c r="J2926" s="271"/>
    </row>
    <row r="2927" spans="1:10">
      <c r="A2927" s="84"/>
      <c r="B2927" s="93" t="s">
        <v>231</v>
      </c>
      <c r="C2927" s="94"/>
      <c r="D2927" s="95"/>
      <c r="E2927" s="95"/>
      <c r="F2927" s="95"/>
      <c r="G2927" s="95"/>
      <c r="H2927" s="96"/>
      <c r="I2927" s="96"/>
      <c r="J2927" s="271"/>
    </row>
    <row r="2928" spans="1:10">
      <c r="A2928" s="84"/>
      <c r="B2928" s="89"/>
      <c r="C2928" s="97"/>
      <c r="D2928" s="91"/>
      <c r="E2928" s="91"/>
      <c r="F2928" s="91"/>
      <c r="G2928" s="91" t="s">
        <v>255</v>
      </c>
      <c r="H2928" s="91"/>
      <c r="I2928" s="91"/>
      <c r="J2928" s="99">
        <f>+SUBTOTAL(9,J2921:J2927)</f>
        <v>210.4</v>
      </c>
    </row>
    <row r="2929" spans="1:10">
      <c r="A2929" s="84"/>
      <c r="B2929" s="89"/>
      <c r="C2929" s="97"/>
      <c r="D2929" s="91"/>
      <c r="E2929" s="91"/>
      <c r="F2929" s="91" t="s">
        <v>256</v>
      </c>
      <c r="G2929" s="91"/>
      <c r="H2929" s="91"/>
      <c r="I2929" s="91">
        <v>0</v>
      </c>
      <c r="J2929" s="99">
        <f>+ROUND(I2929*J2928,2)</f>
        <v>0</v>
      </c>
    </row>
    <row r="2930" spans="1:10">
      <c r="A2930" s="84"/>
      <c r="B2930" s="89"/>
      <c r="C2930" s="97"/>
      <c r="D2930" s="91"/>
      <c r="E2930" s="91"/>
      <c r="F2930" s="91" t="s">
        <v>257</v>
      </c>
      <c r="G2930" s="91"/>
      <c r="H2930" s="91"/>
      <c r="I2930" s="91"/>
      <c r="J2930" s="99">
        <f>+SUBTOTAL(9,J2921:J2929)</f>
        <v>210.4</v>
      </c>
    </row>
    <row r="2931" spans="1:10">
      <c r="A2931" s="84"/>
      <c r="B2931" s="98"/>
      <c r="C2931" s="97"/>
      <c r="D2931" s="91"/>
      <c r="E2931" s="91"/>
      <c r="F2931" s="91"/>
      <c r="G2931" s="91" t="s">
        <v>258</v>
      </c>
      <c r="H2931" s="91"/>
      <c r="I2931" s="91"/>
      <c r="J2931" s="275">
        <f>+SUBTOTAL(9,J2912:J2930)</f>
        <v>280.16000000000003</v>
      </c>
    </row>
    <row r="2932" spans="1:10">
      <c r="A2932" s="84"/>
      <c r="B2932" s="98"/>
      <c r="C2932" s="97" t="s">
        <v>259</v>
      </c>
      <c r="D2932" s="91">
        <v>25</v>
      </c>
      <c r="E2932" s="91"/>
      <c r="F2932" s="91"/>
      <c r="G2932" s="91" t="s">
        <v>260</v>
      </c>
      <c r="H2932" s="91"/>
      <c r="I2932" s="91"/>
      <c r="J2932" s="275">
        <f>+ROUND(J2931/D2932,2)</f>
        <v>11.21</v>
      </c>
    </row>
    <row r="2933" spans="1:10">
      <c r="A2933" s="84"/>
      <c r="B2933" s="89" t="s">
        <v>228</v>
      </c>
      <c r="C2933" s="90" t="s">
        <v>261</v>
      </c>
      <c r="D2933" s="91"/>
      <c r="E2933" s="91"/>
      <c r="F2933" s="91"/>
      <c r="G2933" s="92" t="s">
        <v>230</v>
      </c>
      <c r="H2933" s="92" t="s">
        <v>262</v>
      </c>
      <c r="I2933" s="92" t="s">
        <v>263</v>
      </c>
      <c r="J2933" s="99" t="s">
        <v>264</v>
      </c>
    </row>
    <row r="2934" spans="1:10">
      <c r="A2934" s="84"/>
      <c r="B2934" s="89" t="s">
        <v>763</v>
      </c>
      <c r="C2934" s="90" t="s">
        <v>764</v>
      </c>
      <c r="D2934" s="91"/>
      <c r="E2934" s="91"/>
      <c r="F2934" s="91"/>
      <c r="G2934" s="92" t="s">
        <v>386</v>
      </c>
      <c r="H2934" s="92">
        <v>0.82</v>
      </c>
      <c r="I2934" s="92">
        <v>4</v>
      </c>
      <c r="J2934" s="99">
        <f>+ROUND(H2934*I2934,2)</f>
        <v>3.28</v>
      </c>
    </row>
    <row r="2935" spans="1:10">
      <c r="A2935" s="84"/>
      <c r="B2935" s="93" t="s">
        <v>765</v>
      </c>
      <c r="C2935" s="94" t="s">
        <v>766</v>
      </c>
      <c r="D2935" s="95"/>
      <c r="E2935" s="95"/>
      <c r="F2935" s="95"/>
      <c r="G2935" s="96" t="s">
        <v>332</v>
      </c>
      <c r="H2935" s="96">
        <v>19.309999999999999</v>
      </c>
      <c r="I2935" s="96">
        <v>1.7299999999999999E-2</v>
      </c>
      <c r="J2935" s="271">
        <f>+ROUND(H2935*I2935,2)</f>
        <v>0.33</v>
      </c>
    </row>
    <row r="2936" spans="1:10">
      <c r="A2936" s="84"/>
      <c r="B2936" s="93" t="s">
        <v>231</v>
      </c>
      <c r="C2936" s="94"/>
      <c r="D2936" s="95"/>
      <c r="E2936" s="95"/>
      <c r="F2936" s="95"/>
      <c r="G2936" s="96"/>
      <c r="H2936" s="96"/>
      <c r="I2936" s="96"/>
      <c r="J2936" s="271"/>
    </row>
    <row r="2937" spans="1:10">
      <c r="A2937" s="84"/>
      <c r="B2937" s="93" t="s">
        <v>231</v>
      </c>
      <c r="C2937" s="94"/>
      <c r="D2937" s="95"/>
      <c r="E2937" s="95"/>
      <c r="F2937" s="95"/>
      <c r="G2937" s="96"/>
      <c r="H2937" s="96"/>
      <c r="I2937" s="96"/>
      <c r="J2937" s="271"/>
    </row>
    <row r="2938" spans="1:10">
      <c r="A2938" s="84"/>
      <c r="B2938" s="93" t="s">
        <v>231</v>
      </c>
      <c r="C2938" s="94"/>
      <c r="D2938" s="95"/>
      <c r="E2938" s="95"/>
      <c r="F2938" s="95"/>
      <c r="G2938" s="96"/>
      <c r="H2938" s="96"/>
      <c r="I2938" s="96"/>
      <c r="J2938" s="271"/>
    </row>
    <row r="2939" spans="1:10">
      <c r="A2939" s="84"/>
      <c r="B2939" s="93" t="s">
        <v>231</v>
      </c>
      <c r="C2939" s="94"/>
      <c r="D2939" s="95"/>
      <c r="E2939" s="95"/>
      <c r="F2939" s="95"/>
      <c r="G2939" s="96"/>
      <c r="H2939" s="96"/>
      <c r="I2939" s="96"/>
      <c r="J2939" s="271"/>
    </row>
    <row r="2940" spans="1:10">
      <c r="A2940" s="84"/>
      <c r="B2940" s="93" t="s">
        <v>231</v>
      </c>
      <c r="C2940" s="94"/>
      <c r="D2940" s="95"/>
      <c r="E2940" s="95"/>
      <c r="F2940" s="95"/>
      <c r="G2940" s="96"/>
      <c r="H2940" s="96"/>
      <c r="I2940" s="96"/>
      <c r="J2940" s="271"/>
    </row>
    <row r="2941" spans="1:10">
      <c r="A2941" s="84"/>
      <c r="B2941" s="89"/>
      <c r="C2941" s="97"/>
      <c r="D2941" s="91"/>
      <c r="E2941" s="91"/>
      <c r="F2941" s="91"/>
      <c r="G2941" s="91" t="s">
        <v>275</v>
      </c>
      <c r="H2941" s="91"/>
      <c r="I2941" s="91"/>
      <c r="J2941" s="99">
        <f>+SUBTOTAL(9,J2934:J2940)</f>
        <v>3.61</v>
      </c>
    </row>
    <row r="2942" spans="1:10">
      <c r="A2942" s="84"/>
      <c r="B2942" s="89" t="s">
        <v>228</v>
      </c>
      <c r="C2942" s="90" t="s">
        <v>276</v>
      </c>
      <c r="D2942" s="91"/>
      <c r="E2942" s="91"/>
      <c r="F2942" s="91"/>
      <c r="G2942" s="92" t="s">
        <v>230</v>
      </c>
      <c r="H2942" s="92" t="s">
        <v>262</v>
      </c>
      <c r="I2942" s="92" t="s">
        <v>263</v>
      </c>
      <c r="J2942" s="99" t="s">
        <v>264</v>
      </c>
    </row>
    <row r="2943" spans="1:10">
      <c r="A2943" s="84"/>
      <c r="B2943" s="89" t="s">
        <v>767</v>
      </c>
      <c r="C2943" s="90" t="s">
        <v>768</v>
      </c>
      <c r="D2943" s="91"/>
      <c r="E2943" s="91"/>
      <c r="F2943" s="91"/>
      <c r="G2943" s="92" t="s">
        <v>267</v>
      </c>
      <c r="H2943" s="92">
        <v>56.67</v>
      </c>
      <c r="I2943" s="92">
        <v>0.02</v>
      </c>
      <c r="J2943" s="99">
        <f>+ROUND(H2943*I2943,2)</f>
        <v>1.1299999999999999</v>
      </c>
    </row>
    <row r="2944" spans="1:10">
      <c r="A2944" s="84"/>
      <c r="B2944" s="93" t="s">
        <v>769</v>
      </c>
      <c r="C2944" s="94" t="s">
        <v>770</v>
      </c>
      <c r="D2944" s="95"/>
      <c r="E2944" s="95"/>
      <c r="F2944" s="95"/>
      <c r="G2944" s="96" t="s">
        <v>267</v>
      </c>
      <c r="H2944" s="96">
        <v>36.15</v>
      </c>
      <c r="I2944" s="96">
        <v>0.42</v>
      </c>
      <c r="J2944" s="271">
        <f>+ROUND(H2944*I2944,2)</f>
        <v>15.18</v>
      </c>
    </row>
    <row r="2945" spans="1:10">
      <c r="A2945" s="84"/>
      <c r="B2945" s="93" t="s">
        <v>231</v>
      </c>
      <c r="C2945" s="94"/>
      <c r="D2945" s="95"/>
      <c r="E2945" s="95"/>
      <c r="F2945" s="95"/>
      <c r="G2945" s="96"/>
      <c r="H2945" s="96"/>
      <c r="I2945" s="96"/>
      <c r="J2945" s="271"/>
    </row>
    <row r="2946" spans="1:10">
      <c r="A2946" s="84"/>
      <c r="B2946" s="93" t="s">
        <v>231</v>
      </c>
      <c r="C2946" s="94"/>
      <c r="D2946" s="95"/>
      <c r="E2946" s="95"/>
      <c r="F2946" s="95"/>
      <c r="G2946" s="96"/>
      <c r="H2946" s="96"/>
      <c r="I2946" s="96"/>
      <c r="J2946" s="271"/>
    </row>
    <row r="2947" spans="1:10">
      <c r="A2947" s="84"/>
      <c r="B2947" s="93" t="s">
        <v>231</v>
      </c>
      <c r="C2947" s="94"/>
      <c r="D2947" s="95"/>
      <c r="E2947" s="95"/>
      <c r="F2947" s="95"/>
      <c r="G2947" s="96"/>
      <c r="H2947" s="96"/>
      <c r="I2947" s="96"/>
      <c r="J2947" s="271"/>
    </row>
    <row r="2948" spans="1:10">
      <c r="A2948" s="84"/>
      <c r="B2948" s="89"/>
      <c r="C2948" s="97"/>
      <c r="D2948" s="91"/>
      <c r="E2948" s="91"/>
      <c r="F2948" s="91"/>
      <c r="G2948" s="91" t="s">
        <v>279</v>
      </c>
      <c r="H2948" s="91"/>
      <c r="I2948" s="91"/>
      <c r="J2948" s="99">
        <f>+SUBTOTAL(9,J2943:J2947)</f>
        <v>16.309999999999999</v>
      </c>
    </row>
    <row r="2949" spans="1:10">
      <c r="A2949" s="84"/>
      <c r="B2949" s="89" t="s">
        <v>228</v>
      </c>
      <c r="C2949" s="90" t="s">
        <v>280</v>
      </c>
      <c r="D2949" s="92" t="s">
        <v>281</v>
      </c>
      <c r="E2949" s="92" t="s">
        <v>282</v>
      </c>
      <c r="F2949" s="92" t="s">
        <v>283</v>
      </c>
      <c r="G2949" s="92" t="s">
        <v>284</v>
      </c>
      <c r="H2949" s="92" t="s">
        <v>285</v>
      </c>
      <c r="I2949" s="92" t="s">
        <v>263</v>
      </c>
      <c r="J2949" s="99" t="s">
        <v>286</v>
      </c>
    </row>
    <row r="2950" spans="1:10">
      <c r="A2950" s="84"/>
      <c r="B2950" s="89">
        <v>416129</v>
      </c>
      <c r="C2950" s="90" t="s">
        <v>771</v>
      </c>
      <c r="D2950" s="92" t="s">
        <v>289</v>
      </c>
      <c r="E2950" s="92">
        <v>0</v>
      </c>
      <c r="F2950" s="92">
        <v>56.58</v>
      </c>
      <c r="G2950" s="92">
        <v>56.58</v>
      </c>
      <c r="H2950" s="92">
        <v>0.74</v>
      </c>
      <c r="I2950" s="92">
        <v>2.4099999999999998E-3</v>
      </c>
      <c r="J2950" s="99">
        <f>+ROUND(G2950*H2950*I2950,2)</f>
        <v>0.1</v>
      </c>
    </row>
    <row r="2951" spans="1:10">
      <c r="A2951" s="84"/>
      <c r="B2951" s="93">
        <v>416131</v>
      </c>
      <c r="C2951" s="94" t="s">
        <v>772</v>
      </c>
      <c r="D2951" s="96" t="s">
        <v>289</v>
      </c>
      <c r="E2951" s="96">
        <v>0</v>
      </c>
      <c r="F2951" s="96">
        <v>56.58</v>
      </c>
      <c r="G2951" s="96">
        <v>56.58</v>
      </c>
      <c r="H2951" s="96">
        <v>0.74</v>
      </c>
      <c r="I2951" s="96">
        <v>2.6179999999999998E-2</v>
      </c>
      <c r="J2951" s="271">
        <f>+ROUND(G2951*H2951*I2951,2)</f>
        <v>1.1000000000000001</v>
      </c>
    </row>
    <row r="2952" spans="1:10">
      <c r="A2952" s="84"/>
      <c r="B2952" s="93" t="s">
        <v>773</v>
      </c>
      <c r="C2952" s="94" t="s">
        <v>774</v>
      </c>
      <c r="D2952" s="96" t="s">
        <v>289</v>
      </c>
      <c r="E2952" s="96">
        <v>0</v>
      </c>
      <c r="F2952" s="96">
        <v>56.58</v>
      </c>
      <c r="G2952" s="96">
        <v>56.58</v>
      </c>
      <c r="H2952" s="96">
        <v>0.74</v>
      </c>
      <c r="I2952" s="96">
        <v>2.0000000000000001E-4</v>
      </c>
      <c r="J2952" s="271">
        <f>+ROUND(G2952*H2952*I2952,2)</f>
        <v>0.01</v>
      </c>
    </row>
    <row r="2953" spans="1:10">
      <c r="A2953" s="84"/>
      <c r="B2953" s="93" t="s">
        <v>231</v>
      </c>
      <c r="C2953" s="94"/>
      <c r="D2953" s="96"/>
      <c r="E2953" s="96"/>
      <c r="F2953" s="96"/>
      <c r="G2953" s="96"/>
      <c r="H2953" s="96"/>
      <c r="I2953" s="96"/>
      <c r="J2953" s="271"/>
    </row>
    <row r="2954" spans="1:10">
      <c r="A2954" s="84"/>
      <c r="B2954" s="93" t="s">
        <v>231</v>
      </c>
      <c r="C2954" s="94"/>
      <c r="D2954" s="96"/>
      <c r="E2954" s="96"/>
      <c r="F2954" s="96"/>
      <c r="G2954" s="96"/>
      <c r="H2954" s="96"/>
      <c r="I2954" s="96"/>
      <c r="J2954" s="271"/>
    </row>
    <row r="2955" spans="1:10">
      <c r="A2955" s="84"/>
      <c r="B2955" s="93" t="s">
        <v>231</v>
      </c>
      <c r="C2955" s="94"/>
      <c r="D2955" s="96"/>
      <c r="E2955" s="96"/>
      <c r="F2955" s="96"/>
      <c r="G2955" s="96"/>
      <c r="H2955" s="96"/>
      <c r="I2955" s="96"/>
      <c r="J2955" s="271"/>
    </row>
    <row r="2956" spans="1:10">
      <c r="A2956" s="84"/>
      <c r="B2956" s="93" t="s">
        <v>231</v>
      </c>
      <c r="C2956" s="94"/>
      <c r="D2956" s="96"/>
      <c r="E2956" s="96"/>
      <c r="F2956" s="96"/>
      <c r="G2956" s="96"/>
      <c r="H2956" s="96"/>
      <c r="I2956" s="96"/>
      <c r="J2956" s="271"/>
    </row>
    <row r="2957" spans="1:10">
      <c r="A2957" s="84"/>
      <c r="B2957" s="89"/>
      <c r="C2957" s="97"/>
      <c r="D2957" s="91"/>
      <c r="E2957" s="91"/>
      <c r="F2957" s="91"/>
      <c r="G2957" s="91" t="s">
        <v>290</v>
      </c>
      <c r="H2957" s="91"/>
      <c r="I2957" s="91"/>
      <c r="J2957" s="99">
        <f>+SUBTOTAL(9,J2950:J2956)</f>
        <v>1.2100000000000002</v>
      </c>
    </row>
    <row r="2958" spans="1:10">
      <c r="A2958" s="84"/>
      <c r="B2958" s="89" t="s">
        <v>291</v>
      </c>
      <c r="C2958" s="97"/>
      <c r="D2958" s="91"/>
      <c r="E2958" s="91"/>
      <c r="F2958" s="91"/>
      <c r="G2958" s="91"/>
      <c r="H2958" s="91"/>
      <c r="I2958" s="91"/>
      <c r="J2958" s="99">
        <f>+SUBTOTAL(9,J2932:J2956)</f>
        <v>32.339999999999996</v>
      </c>
    </row>
    <row r="2959" spans="1:10">
      <c r="A2959" s="84"/>
      <c r="B2959" s="89" t="s">
        <v>292</v>
      </c>
      <c r="C2959" s="97"/>
      <c r="D2959" s="91">
        <v>0</v>
      </c>
      <c r="E2959" s="91"/>
      <c r="F2959" s="91"/>
      <c r="G2959" s="91"/>
      <c r="H2959" s="91"/>
      <c r="I2959" s="91"/>
      <c r="J2959" s="99">
        <f>+ROUND(J2958*D2959/100,2)</f>
        <v>0</v>
      </c>
    </row>
    <row r="2960" spans="1:10" ht="14.4" thickBot="1">
      <c r="A2960" s="84"/>
      <c r="B2960" s="89" t="s">
        <v>293</v>
      </c>
      <c r="C2960" s="97"/>
      <c r="D2960" s="91"/>
      <c r="E2960" s="91"/>
      <c r="F2960" s="91"/>
      <c r="G2960" s="91"/>
      <c r="H2960" s="91"/>
      <c r="I2960" s="91"/>
      <c r="J2960" s="99">
        <f>+J2958+ J2959</f>
        <v>32.339999999999996</v>
      </c>
    </row>
    <row r="2961" spans="1:10">
      <c r="A2961" s="84"/>
      <c r="B2961" s="85" t="s">
        <v>294</v>
      </c>
      <c r="C2961" s="86"/>
      <c r="D2961" s="88"/>
      <c r="E2961" s="88"/>
      <c r="F2961" s="88" t="s">
        <v>295</v>
      </c>
      <c r="G2961" s="88"/>
      <c r="H2961" s="88"/>
      <c r="I2961" s="88" t="s">
        <v>296</v>
      </c>
      <c r="J2961" s="270"/>
    </row>
    <row r="2962" spans="1:10">
      <c r="A2962" s="84"/>
      <c r="B2962" s="93" t="s">
        <v>297</v>
      </c>
      <c r="C2962" s="84"/>
      <c r="D2962" s="95"/>
      <c r="E2962" s="95"/>
      <c r="F2962" s="95" t="s">
        <v>298</v>
      </c>
      <c r="G2962" s="95"/>
      <c r="H2962" s="95"/>
      <c r="I2962" s="95"/>
      <c r="J2962" s="276"/>
    </row>
    <row r="2963" spans="1:10">
      <c r="A2963" s="84"/>
      <c r="B2963" s="93" t="s">
        <v>299</v>
      </c>
      <c r="C2963" s="84"/>
      <c r="D2963" s="95"/>
      <c r="E2963" s="95"/>
      <c r="F2963" s="95" t="s">
        <v>300</v>
      </c>
      <c r="G2963" s="95"/>
      <c r="H2963" s="95"/>
      <c r="I2963" s="95"/>
      <c r="J2963" s="276"/>
    </row>
    <row r="2964" spans="1:10" ht="14.4" thickBot="1">
      <c r="A2964" s="84"/>
      <c r="B2964" s="100" t="s">
        <v>301</v>
      </c>
      <c r="C2964" s="84"/>
      <c r="D2964" s="95"/>
      <c r="E2964" s="95"/>
      <c r="F2964" s="95"/>
      <c r="G2964" s="95"/>
      <c r="H2964" s="95"/>
      <c r="I2964" s="95"/>
      <c r="J2964" s="277"/>
    </row>
    <row r="2965" spans="1:10">
      <c r="A2965" s="84"/>
      <c r="B2965" s="86"/>
      <c r="C2965" s="86"/>
      <c r="D2965" s="88"/>
      <c r="E2965" s="88"/>
      <c r="F2965" s="88"/>
      <c r="G2965" s="88"/>
      <c r="H2965" s="88"/>
      <c r="I2965" s="88"/>
      <c r="J2965" s="88"/>
    </row>
    <row r="2966" spans="1:10" ht="14.4" thickBot="1">
      <c r="A2966" s="84"/>
      <c r="B2966" s="84"/>
      <c r="C2966" s="84"/>
      <c r="D2966" s="95"/>
      <c r="E2966" s="95"/>
      <c r="F2966" s="95"/>
      <c r="G2966" s="95"/>
      <c r="H2966" s="95"/>
      <c r="I2966" s="95"/>
      <c r="J2966" s="95"/>
    </row>
    <row r="2967" spans="1:10">
      <c r="A2967" s="84"/>
      <c r="B2967" s="85"/>
      <c r="C2967" s="86"/>
      <c r="D2967" s="87" t="s">
        <v>227</v>
      </c>
      <c r="E2967" s="87"/>
      <c r="F2967" s="87"/>
      <c r="G2967" s="88"/>
      <c r="H2967" s="88"/>
      <c r="I2967" s="88"/>
      <c r="J2967" s="270"/>
    </row>
    <row r="2968" spans="1:10">
      <c r="A2968" s="84"/>
      <c r="B2968" s="89" t="s">
        <v>228</v>
      </c>
      <c r="C2968" s="90" t="s">
        <v>92</v>
      </c>
      <c r="D2968" s="91"/>
      <c r="E2968" s="91"/>
      <c r="F2968" s="91"/>
      <c r="G2968" s="91"/>
      <c r="H2968" s="92" t="s">
        <v>229</v>
      </c>
      <c r="I2968" s="91"/>
      <c r="J2968" s="99" t="s">
        <v>230</v>
      </c>
    </row>
    <row r="2969" spans="1:10">
      <c r="A2969" s="84"/>
      <c r="B2969" s="93" t="s">
        <v>767</v>
      </c>
      <c r="C2969" s="94" t="s">
        <v>775</v>
      </c>
      <c r="D2969" s="95"/>
      <c r="E2969" s="95"/>
      <c r="F2969" s="95"/>
      <c r="G2969" s="95"/>
      <c r="H2969" s="96" t="s">
        <v>233</v>
      </c>
      <c r="I2969" s="95"/>
      <c r="J2969" s="271" t="s">
        <v>267</v>
      </c>
    </row>
    <row r="2970" spans="1:10">
      <c r="A2970" s="84"/>
      <c r="B2970" s="89"/>
      <c r="C2970" s="90"/>
      <c r="D2970" s="91"/>
      <c r="E2970" s="92"/>
      <c r="F2970" s="92" t="s">
        <v>235</v>
      </c>
      <c r="G2970" s="92"/>
      <c r="H2970" s="92" t="s">
        <v>236</v>
      </c>
      <c r="I2970" s="92"/>
      <c r="J2970" s="99" t="s">
        <v>237</v>
      </c>
    </row>
    <row r="2971" spans="1:10">
      <c r="A2971" s="84"/>
      <c r="B2971" s="93" t="s">
        <v>228</v>
      </c>
      <c r="C2971" s="94" t="s">
        <v>238</v>
      </c>
      <c r="D2971" s="95"/>
      <c r="E2971" s="96" t="s">
        <v>239</v>
      </c>
      <c r="F2971" s="92" t="s">
        <v>240</v>
      </c>
      <c r="G2971" s="92" t="s">
        <v>241</v>
      </c>
      <c r="H2971" s="92" t="s">
        <v>240</v>
      </c>
      <c r="I2971" s="272" t="s">
        <v>241</v>
      </c>
      <c r="J2971" s="271" t="s">
        <v>242</v>
      </c>
    </row>
    <row r="2972" spans="1:10">
      <c r="A2972" s="84"/>
      <c r="B2972" s="273" t="s">
        <v>641</v>
      </c>
      <c r="C2972" s="90" t="s">
        <v>642</v>
      </c>
      <c r="D2972" s="91"/>
      <c r="E2972" s="92">
        <v>2</v>
      </c>
      <c r="F2972" s="92">
        <v>1</v>
      </c>
      <c r="G2972" s="92">
        <v>0</v>
      </c>
      <c r="H2972" s="92">
        <v>0.61</v>
      </c>
      <c r="I2972" s="92">
        <v>0.41</v>
      </c>
      <c r="J2972" s="99">
        <f>+ROUND(E2972* ((F2972*H2972) + (G2972*I2972)),2)</f>
        <v>1.22</v>
      </c>
    </row>
    <row r="2973" spans="1:10">
      <c r="A2973" s="84"/>
      <c r="B2973" s="274" t="s">
        <v>776</v>
      </c>
      <c r="C2973" s="94" t="s">
        <v>777</v>
      </c>
      <c r="D2973" s="95"/>
      <c r="E2973" s="96">
        <v>1</v>
      </c>
      <c r="F2973" s="96">
        <v>1</v>
      </c>
      <c r="G2973" s="96">
        <v>0</v>
      </c>
      <c r="H2973" s="96">
        <v>3.69</v>
      </c>
      <c r="I2973" s="96">
        <v>2.2999999999999998</v>
      </c>
      <c r="J2973" s="271">
        <f>+ROUND(E2973* ((F2973*H2973) + (G2973*I2973)),2)</f>
        <v>3.69</v>
      </c>
    </row>
    <row r="2974" spans="1:10">
      <c r="A2974" s="84"/>
      <c r="B2974" s="274" t="s">
        <v>645</v>
      </c>
      <c r="C2974" s="94" t="s">
        <v>646</v>
      </c>
      <c r="D2974" s="95"/>
      <c r="E2974" s="96">
        <v>1</v>
      </c>
      <c r="F2974" s="96">
        <v>1</v>
      </c>
      <c r="G2974" s="96">
        <v>0</v>
      </c>
      <c r="H2974" s="96">
        <v>0.59</v>
      </c>
      <c r="I2974" s="96">
        <v>0.41</v>
      </c>
      <c r="J2974" s="271">
        <f>+ROUND(E2974* ((F2974*H2974) + (G2974*I2974)),2)</f>
        <v>0.59</v>
      </c>
    </row>
    <row r="2975" spans="1:10">
      <c r="A2975" s="84"/>
      <c r="B2975" s="274" t="s">
        <v>429</v>
      </c>
      <c r="C2975" s="94" t="s">
        <v>430</v>
      </c>
      <c r="D2975" s="95"/>
      <c r="E2975" s="96">
        <v>1</v>
      </c>
      <c r="F2975" s="96">
        <v>1</v>
      </c>
      <c r="G2975" s="96">
        <v>0</v>
      </c>
      <c r="H2975" s="96">
        <v>10.18</v>
      </c>
      <c r="I2975" s="96">
        <v>0.48</v>
      </c>
      <c r="J2975" s="271">
        <f>+ROUND(E2975* ((F2975*H2975) + (G2975*I2975)),2)</f>
        <v>10.18</v>
      </c>
    </row>
    <row r="2976" spans="1:10">
      <c r="A2976" s="84"/>
      <c r="B2976" s="93" t="s">
        <v>231</v>
      </c>
      <c r="C2976" s="94"/>
      <c r="D2976" s="95"/>
      <c r="E2976" s="96"/>
      <c r="F2976" s="96"/>
      <c r="G2976" s="96"/>
      <c r="H2976" s="96"/>
      <c r="I2976" s="96"/>
      <c r="J2976" s="271"/>
    </row>
    <row r="2977" spans="1:10">
      <c r="A2977" s="84"/>
      <c r="B2977" s="93" t="s">
        <v>231</v>
      </c>
      <c r="C2977" s="94"/>
      <c r="D2977" s="95"/>
      <c r="E2977" s="96"/>
      <c r="F2977" s="96"/>
      <c r="G2977" s="96"/>
      <c r="H2977" s="96"/>
      <c r="I2977" s="96"/>
      <c r="J2977" s="271"/>
    </row>
    <row r="2978" spans="1:10">
      <c r="A2978" s="84"/>
      <c r="B2978" s="93" t="s">
        <v>231</v>
      </c>
      <c r="C2978" s="94"/>
      <c r="D2978" s="95"/>
      <c r="E2978" s="96"/>
      <c r="F2978" s="96"/>
      <c r="G2978" s="96"/>
      <c r="H2978" s="96"/>
      <c r="I2978" s="96"/>
      <c r="J2978" s="271"/>
    </row>
    <row r="2979" spans="1:10">
      <c r="A2979" s="84"/>
      <c r="B2979" s="89"/>
      <c r="C2979" s="97"/>
      <c r="D2979" s="91"/>
      <c r="E2979" s="91"/>
      <c r="F2979" s="91"/>
      <c r="G2979" s="91" t="s">
        <v>249</v>
      </c>
      <c r="H2979" s="91"/>
      <c r="I2979" s="91"/>
      <c r="J2979" s="99">
        <f>+SUBTOTAL(9,J2972:J2978)</f>
        <v>15.68</v>
      </c>
    </row>
    <row r="2980" spans="1:10">
      <c r="A2980" s="84"/>
      <c r="B2980" s="89" t="s">
        <v>228</v>
      </c>
      <c r="C2980" s="90" t="s">
        <v>250</v>
      </c>
      <c r="D2980" s="91"/>
      <c r="E2980" s="91"/>
      <c r="F2980" s="91"/>
      <c r="G2980" s="91"/>
      <c r="H2980" s="92" t="s">
        <v>239</v>
      </c>
      <c r="I2980" s="92" t="s">
        <v>251</v>
      </c>
      <c r="J2980" s="99" t="s">
        <v>252</v>
      </c>
    </row>
    <row r="2981" spans="1:10">
      <c r="A2981" s="84"/>
      <c r="B2981" s="89" t="s">
        <v>253</v>
      </c>
      <c r="C2981" s="90" t="s">
        <v>254</v>
      </c>
      <c r="D2981" s="91"/>
      <c r="E2981" s="91"/>
      <c r="F2981" s="91"/>
      <c r="G2981" s="91"/>
      <c r="H2981" s="92">
        <v>4</v>
      </c>
      <c r="I2981" s="92">
        <v>21.04</v>
      </c>
      <c r="J2981" s="99">
        <f>+ROUND(H2981*I2981,2)</f>
        <v>84.16</v>
      </c>
    </row>
    <row r="2982" spans="1:10">
      <c r="A2982" s="84"/>
      <c r="B2982" s="93" t="s">
        <v>231</v>
      </c>
      <c r="C2982" s="94"/>
      <c r="D2982" s="95"/>
      <c r="E2982" s="95"/>
      <c r="F2982" s="95"/>
      <c r="G2982" s="95"/>
      <c r="H2982" s="96"/>
      <c r="I2982" s="96"/>
      <c r="J2982" s="271"/>
    </row>
    <row r="2983" spans="1:10">
      <c r="A2983" s="84"/>
      <c r="B2983" s="93" t="s">
        <v>231</v>
      </c>
      <c r="C2983" s="94"/>
      <c r="D2983" s="95"/>
      <c r="E2983" s="95"/>
      <c r="F2983" s="95"/>
      <c r="G2983" s="95"/>
      <c r="H2983" s="96"/>
      <c r="I2983" s="96"/>
      <c r="J2983" s="271"/>
    </row>
    <row r="2984" spans="1:10">
      <c r="A2984" s="84"/>
      <c r="B2984" s="93" t="s">
        <v>231</v>
      </c>
      <c r="C2984" s="94"/>
      <c r="D2984" s="95"/>
      <c r="E2984" s="95"/>
      <c r="F2984" s="95"/>
      <c r="G2984" s="95"/>
      <c r="H2984" s="96"/>
      <c r="I2984" s="96"/>
      <c r="J2984" s="271"/>
    </row>
    <row r="2985" spans="1:10">
      <c r="A2985" s="84"/>
      <c r="B2985" s="93" t="s">
        <v>231</v>
      </c>
      <c r="C2985" s="94"/>
      <c r="D2985" s="95"/>
      <c r="E2985" s="95"/>
      <c r="F2985" s="95"/>
      <c r="G2985" s="95"/>
      <c r="H2985" s="96"/>
      <c r="I2985" s="96"/>
      <c r="J2985" s="271"/>
    </row>
    <row r="2986" spans="1:10">
      <c r="A2986" s="84"/>
      <c r="B2986" s="93" t="s">
        <v>231</v>
      </c>
      <c r="C2986" s="94"/>
      <c r="D2986" s="95"/>
      <c r="E2986" s="95"/>
      <c r="F2986" s="95"/>
      <c r="G2986" s="95"/>
      <c r="H2986" s="96"/>
      <c r="I2986" s="96"/>
      <c r="J2986" s="271"/>
    </row>
    <row r="2987" spans="1:10">
      <c r="A2987" s="84"/>
      <c r="B2987" s="93" t="s">
        <v>231</v>
      </c>
      <c r="C2987" s="94"/>
      <c r="D2987" s="95"/>
      <c r="E2987" s="95"/>
      <c r="F2987" s="95"/>
      <c r="G2987" s="95"/>
      <c r="H2987" s="96"/>
      <c r="I2987" s="96"/>
      <c r="J2987" s="271"/>
    </row>
    <row r="2988" spans="1:10">
      <c r="A2988" s="84"/>
      <c r="B2988" s="89"/>
      <c r="C2988" s="97"/>
      <c r="D2988" s="91"/>
      <c r="E2988" s="91"/>
      <c r="F2988" s="91"/>
      <c r="G2988" s="91" t="s">
        <v>255</v>
      </c>
      <c r="H2988" s="91"/>
      <c r="I2988" s="91"/>
      <c r="J2988" s="99">
        <f>+SUBTOTAL(9,J2981:J2987)</f>
        <v>84.16</v>
      </c>
    </row>
    <row r="2989" spans="1:10">
      <c r="A2989" s="84"/>
      <c r="B2989" s="89"/>
      <c r="C2989" s="97"/>
      <c r="D2989" s="91"/>
      <c r="E2989" s="91"/>
      <c r="F2989" s="91" t="s">
        <v>256</v>
      </c>
      <c r="G2989" s="91"/>
      <c r="H2989" s="91"/>
      <c r="I2989" s="91">
        <v>0</v>
      </c>
      <c r="J2989" s="99">
        <f>+ROUND(I2989*J2988,2)</f>
        <v>0</v>
      </c>
    </row>
    <row r="2990" spans="1:10">
      <c r="A2990" s="84"/>
      <c r="B2990" s="89"/>
      <c r="C2990" s="97"/>
      <c r="D2990" s="91"/>
      <c r="E2990" s="91"/>
      <c r="F2990" s="91" t="s">
        <v>257</v>
      </c>
      <c r="G2990" s="91"/>
      <c r="H2990" s="91"/>
      <c r="I2990" s="91"/>
      <c r="J2990" s="99">
        <f>+SUBTOTAL(9,J2981:J2989)</f>
        <v>84.16</v>
      </c>
    </row>
    <row r="2991" spans="1:10">
      <c r="A2991" s="84"/>
      <c r="B2991" s="98"/>
      <c r="C2991" s="97"/>
      <c r="D2991" s="91"/>
      <c r="E2991" s="91"/>
      <c r="F2991" s="91"/>
      <c r="G2991" s="91" t="s">
        <v>258</v>
      </c>
      <c r="H2991" s="91"/>
      <c r="I2991" s="91"/>
      <c r="J2991" s="275">
        <f>+SUBTOTAL(9,J2972:J2990)</f>
        <v>99.84</v>
      </c>
    </row>
    <row r="2992" spans="1:10">
      <c r="A2992" s="84"/>
      <c r="B2992" s="98"/>
      <c r="C2992" s="97" t="s">
        <v>259</v>
      </c>
      <c r="D2992" s="91">
        <v>77.53</v>
      </c>
      <c r="E2992" s="91"/>
      <c r="F2992" s="91"/>
      <c r="G2992" s="91" t="s">
        <v>260</v>
      </c>
      <c r="H2992" s="91"/>
      <c r="I2992" s="91"/>
      <c r="J2992" s="275">
        <f>+ROUND(J2991/D2992,2)</f>
        <v>1.29</v>
      </c>
    </row>
    <row r="2993" spans="1:10">
      <c r="A2993" s="84"/>
      <c r="B2993" s="89" t="s">
        <v>228</v>
      </c>
      <c r="C2993" s="90" t="s">
        <v>261</v>
      </c>
      <c r="D2993" s="91"/>
      <c r="E2993" s="91"/>
      <c r="F2993" s="91"/>
      <c r="G2993" s="92" t="s">
        <v>230</v>
      </c>
      <c r="H2993" s="92" t="s">
        <v>262</v>
      </c>
      <c r="I2993" s="92" t="s">
        <v>263</v>
      </c>
      <c r="J2993" s="99" t="s">
        <v>264</v>
      </c>
    </row>
    <row r="2994" spans="1:10">
      <c r="A2994" s="84"/>
      <c r="B2994" s="89" t="s">
        <v>231</v>
      </c>
      <c r="C2994" s="90"/>
      <c r="D2994" s="91"/>
      <c r="E2994" s="91"/>
      <c r="F2994" s="91"/>
      <c r="G2994" s="92"/>
      <c r="H2994" s="92"/>
      <c r="I2994" s="92"/>
      <c r="J2994" s="99"/>
    </row>
    <row r="2995" spans="1:10">
      <c r="A2995" s="84"/>
      <c r="B2995" s="93" t="s">
        <v>231</v>
      </c>
      <c r="C2995" s="94"/>
      <c r="D2995" s="95"/>
      <c r="E2995" s="95"/>
      <c r="F2995" s="95"/>
      <c r="G2995" s="96"/>
      <c r="H2995" s="96"/>
      <c r="I2995" s="96"/>
      <c r="J2995" s="271"/>
    </row>
    <row r="2996" spans="1:10">
      <c r="A2996" s="84"/>
      <c r="B2996" s="93" t="s">
        <v>231</v>
      </c>
      <c r="C2996" s="94"/>
      <c r="D2996" s="95"/>
      <c r="E2996" s="95"/>
      <c r="F2996" s="95"/>
      <c r="G2996" s="96"/>
      <c r="H2996" s="96"/>
      <c r="I2996" s="96"/>
      <c r="J2996" s="271"/>
    </row>
    <row r="2997" spans="1:10">
      <c r="A2997" s="84"/>
      <c r="B2997" s="93" t="s">
        <v>231</v>
      </c>
      <c r="C2997" s="94"/>
      <c r="D2997" s="95"/>
      <c r="E2997" s="95"/>
      <c r="F2997" s="95"/>
      <c r="G2997" s="96"/>
      <c r="H2997" s="96"/>
      <c r="I2997" s="96"/>
      <c r="J2997" s="271"/>
    </row>
    <row r="2998" spans="1:10">
      <c r="A2998" s="84"/>
      <c r="B2998" s="93" t="s">
        <v>231</v>
      </c>
      <c r="C2998" s="94"/>
      <c r="D2998" s="95"/>
      <c r="E2998" s="95"/>
      <c r="F2998" s="95"/>
      <c r="G2998" s="96"/>
      <c r="H2998" s="96"/>
      <c r="I2998" s="96"/>
      <c r="J2998" s="271"/>
    </row>
    <row r="2999" spans="1:10">
      <c r="A2999" s="84"/>
      <c r="B2999" s="93" t="s">
        <v>231</v>
      </c>
      <c r="C2999" s="94"/>
      <c r="D2999" s="95"/>
      <c r="E2999" s="95"/>
      <c r="F2999" s="95"/>
      <c r="G2999" s="96"/>
      <c r="H2999" s="96"/>
      <c r="I2999" s="96"/>
      <c r="J2999" s="271"/>
    </row>
    <row r="3000" spans="1:10">
      <c r="A3000" s="84"/>
      <c r="B3000" s="93" t="s">
        <v>231</v>
      </c>
      <c r="C3000" s="94"/>
      <c r="D3000" s="95"/>
      <c r="E3000" s="95"/>
      <c r="F3000" s="95"/>
      <c r="G3000" s="96"/>
      <c r="H3000" s="96"/>
      <c r="I3000" s="96"/>
      <c r="J3000" s="271"/>
    </row>
    <row r="3001" spans="1:10">
      <c r="A3001" s="84"/>
      <c r="B3001" s="89"/>
      <c r="C3001" s="97"/>
      <c r="D3001" s="91"/>
      <c r="E3001" s="91"/>
      <c r="F3001" s="91"/>
      <c r="G3001" s="91" t="s">
        <v>275</v>
      </c>
      <c r="H3001" s="91"/>
      <c r="I3001" s="91"/>
      <c r="J3001" s="99">
        <f>+SUBTOTAL(9,J2994:J3000)</f>
        <v>0</v>
      </c>
    </row>
    <row r="3002" spans="1:10">
      <c r="A3002" s="84"/>
      <c r="B3002" s="89" t="s">
        <v>228</v>
      </c>
      <c r="C3002" s="90" t="s">
        <v>276</v>
      </c>
      <c r="D3002" s="91"/>
      <c r="E3002" s="91"/>
      <c r="F3002" s="91"/>
      <c r="G3002" s="92" t="s">
        <v>230</v>
      </c>
      <c r="H3002" s="92" t="s">
        <v>262</v>
      </c>
      <c r="I3002" s="92" t="s">
        <v>263</v>
      </c>
      <c r="J3002" s="99" t="s">
        <v>264</v>
      </c>
    </row>
    <row r="3003" spans="1:10">
      <c r="A3003" s="84"/>
      <c r="B3003" s="89" t="s">
        <v>778</v>
      </c>
      <c r="C3003" s="90" t="s">
        <v>779</v>
      </c>
      <c r="D3003" s="91"/>
      <c r="E3003" s="91"/>
      <c r="F3003" s="91"/>
      <c r="G3003" s="92" t="s">
        <v>332</v>
      </c>
      <c r="H3003" s="92">
        <v>13.69</v>
      </c>
      <c r="I3003" s="92">
        <v>1.7963199999999999</v>
      </c>
      <c r="J3003" s="99">
        <f>+ROUND(H3003*I3003,2)</f>
        <v>24.59</v>
      </c>
    </row>
    <row r="3004" spans="1:10">
      <c r="A3004" s="84"/>
      <c r="B3004" s="93" t="s">
        <v>780</v>
      </c>
      <c r="C3004" s="94" t="s">
        <v>781</v>
      </c>
      <c r="D3004" s="95"/>
      <c r="E3004" s="95"/>
      <c r="F3004" s="95"/>
      <c r="G3004" s="96" t="s">
        <v>234</v>
      </c>
      <c r="H3004" s="96">
        <v>622.09</v>
      </c>
      <c r="I3004" s="96">
        <v>4.9500000000000002E-2</v>
      </c>
      <c r="J3004" s="271">
        <f>+ROUND(H3004*I3004,2)</f>
        <v>30.79</v>
      </c>
    </row>
    <row r="3005" spans="1:10">
      <c r="A3005" s="84"/>
      <c r="B3005" s="93" t="s">
        <v>231</v>
      </c>
      <c r="C3005" s="94"/>
      <c r="D3005" s="95"/>
      <c r="E3005" s="95"/>
      <c r="F3005" s="95"/>
      <c r="G3005" s="96"/>
      <c r="H3005" s="96"/>
      <c r="I3005" s="96"/>
      <c r="J3005" s="271"/>
    </row>
    <row r="3006" spans="1:10">
      <c r="A3006" s="84"/>
      <c r="B3006" s="93" t="s">
        <v>231</v>
      </c>
      <c r="C3006" s="94"/>
      <c r="D3006" s="95"/>
      <c r="E3006" s="95"/>
      <c r="F3006" s="95"/>
      <c r="G3006" s="96"/>
      <c r="H3006" s="96"/>
      <c r="I3006" s="96"/>
      <c r="J3006" s="271"/>
    </row>
    <row r="3007" spans="1:10">
      <c r="A3007" s="84"/>
      <c r="B3007" s="93" t="s">
        <v>231</v>
      </c>
      <c r="C3007" s="94"/>
      <c r="D3007" s="95"/>
      <c r="E3007" s="95"/>
      <c r="F3007" s="95"/>
      <c r="G3007" s="96"/>
      <c r="H3007" s="96"/>
      <c r="I3007" s="96"/>
      <c r="J3007" s="271"/>
    </row>
    <row r="3008" spans="1:10">
      <c r="A3008" s="84"/>
      <c r="B3008" s="89"/>
      <c r="C3008" s="97"/>
      <c r="D3008" s="91"/>
      <c r="E3008" s="91"/>
      <c r="F3008" s="91"/>
      <c r="G3008" s="91" t="s">
        <v>279</v>
      </c>
      <c r="H3008" s="91"/>
      <c r="I3008" s="91"/>
      <c r="J3008" s="99">
        <f>+SUBTOTAL(9,J3003:J3007)</f>
        <v>55.379999999999995</v>
      </c>
    </row>
    <row r="3009" spans="1:10">
      <c r="A3009" s="84"/>
      <c r="B3009" s="89" t="s">
        <v>228</v>
      </c>
      <c r="C3009" s="90" t="s">
        <v>280</v>
      </c>
      <c r="D3009" s="92" t="s">
        <v>281</v>
      </c>
      <c r="E3009" s="92" t="s">
        <v>282</v>
      </c>
      <c r="F3009" s="92" t="s">
        <v>283</v>
      </c>
      <c r="G3009" s="92" t="s">
        <v>284</v>
      </c>
      <c r="H3009" s="92" t="s">
        <v>285</v>
      </c>
      <c r="I3009" s="92" t="s">
        <v>263</v>
      </c>
      <c r="J3009" s="99" t="s">
        <v>286</v>
      </c>
    </row>
    <row r="3010" spans="1:10">
      <c r="A3010" s="84"/>
      <c r="B3010" s="89" t="s">
        <v>231</v>
      </c>
      <c r="C3010" s="90"/>
      <c r="D3010" s="92"/>
      <c r="E3010" s="92"/>
      <c r="F3010" s="92"/>
      <c r="G3010" s="92"/>
      <c r="H3010" s="92"/>
      <c r="I3010" s="92"/>
      <c r="J3010" s="99"/>
    </row>
    <row r="3011" spans="1:10">
      <c r="A3011" s="84"/>
      <c r="B3011" s="93" t="s">
        <v>231</v>
      </c>
      <c r="C3011" s="94"/>
      <c r="D3011" s="96"/>
      <c r="E3011" s="96"/>
      <c r="F3011" s="96"/>
      <c r="G3011" s="96"/>
      <c r="H3011" s="96"/>
      <c r="I3011" s="96"/>
      <c r="J3011" s="271"/>
    </row>
    <row r="3012" spans="1:10">
      <c r="A3012" s="84"/>
      <c r="B3012" s="93" t="s">
        <v>231</v>
      </c>
      <c r="C3012" s="94"/>
      <c r="D3012" s="96"/>
      <c r="E3012" s="96"/>
      <c r="F3012" s="96"/>
      <c r="G3012" s="96"/>
      <c r="H3012" s="96"/>
      <c r="I3012" s="96"/>
      <c r="J3012" s="271"/>
    </row>
    <row r="3013" spans="1:10">
      <c r="A3013" s="84"/>
      <c r="B3013" s="93" t="s">
        <v>231</v>
      </c>
      <c r="C3013" s="94"/>
      <c r="D3013" s="96"/>
      <c r="E3013" s="96"/>
      <c r="F3013" s="96"/>
      <c r="G3013" s="96"/>
      <c r="H3013" s="96"/>
      <c r="I3013" s="96"/>
      <c r="J3013" s="271"/>
    </row>
    <row r="3014" spans="1:10">
      <c r="A3014" s="84"/>
      <c r="B3014" s="93" t="s">
        <v>231</v>
      </c>
      <c r="C3014" s="94"/>
      <c r="D3014" s="96"/>
      <c r="E3014" s="96"/>
      <c r="F3014" s="96"/>
      <c r="G3014" s="96"/>
      <c r="H3014" s="96"/>
      <c r="I3014" s="96"/>
      <c r="J3014" s="271"/>
    </row>
    <row r="3015" spans="1:10">
      <c r="A3015" s="84"/>
      <c r="B3015" s="93" t="s">
        <v>231</v>
      </c>
      <c r="C3015" s="94"/>
      <c r="D3015" s="96"/>
      <c r="E3015" s="96"/>
      <c r="F3015" s="96"/>
      <c r="G3015" s="96"/>
      <c r="H3015" s="96"/>
      <c r="I3015" s="96"/>
      <c r="J3015" s="271"/>
    </row>
    <row r="3016" spans="1:10">
      <c r="A3016" s="84"/>
      <c r="B3016" s="93" t="s">
        <v>231</v>
      </c>
      <c r="C3016" s="94"/>
      <c r="D3016" s="96"/>
      <c r="E3016" s="96"/>
      <c r="F3016" s="96"/>
      <c r="G3016" s="96"/>
      <c r="H3016" s="96"/>
      <c r="I3016" s="96"/>
      <c r="J3016" s="271"/>
    </row>
    <row r="3017" spans="1:10">
      <c r="A3017" s="84"/>
      <c r="B3017" s="89"/>
      <c r="C3017" s="97"/>
      <c r="D3017" s="91"/>
      <c r="E3017" s="91"/>
      <c r="F3017" s="91"/>
      <c r="G3017" s="91" t="s">
        <v>290</v>
      </c>
      <c r="H3017" s="91"/>
      <c r="I3017" s="91"/>
      <c r="J3017" s="99">
        <f>+SUBTOTAL(9,J3010:J3016)</f>
        <v>0</v>
      </c>
    </row>
    <row r="3018" spans="1:10">
      <c r="A3018" s="84"/>
      <c r="B3018" s="89" t="s">
        <v>291</v>
      </c>
      <c r="C3018" s="97"/>
      <c r="D3018" s="91"/>
      <c r="E3018" s="91"/>
      <c r="F3018" s="91"/>
      <c r="G3018" s="91"/>
      <c r="H3018" s="91"/>
      <c r="I3018" s="91"/>
      <c r="J3018" s="99">
        <f>+SUBTOTAL(9,J2992:J3016)</f>
        <v>56.67</v>
      </c>
    </row>
    <row r="3019" spans="1:10">
      <c r="A3019" s="84"/>
      <c r="B3019" s="89" t="s">
        <v>292</v>
      </c>
      <c r="C3019" s="97"/>
      <c r="D3019" s="91">
        <v>0</v>
      </c>
      <c r="E3019" s="91"/>
      <c r="F3019" s="91"/>
      <c r="G3019" s="91"/>
      <c r="H3019" s="91"/>
      <c r="I3019" s="91"/>
      <c r="J3019" s="99">
        <f>+ROUND(J3018*D3019/100,2)</f>
        <v>0</v>
      </c>
    </row>
    <row r="3020" spans="1:10" ht="14.4" thickBot="1">
      <c r="A3020" s="84"/>
      <c r="B3020" s="89" t="s">
        <v>293</v>
      </c>
      <c r="C3020" s="97"/>
      <c r="D3020" s="91"/>
      <c r="E3020" s="91"/>
      <c r="F3020" s="91"/>
      <c r="G3020" s="91"/>
      <c r="H3020" s="91"/>
      <c r="I3020" s="91"/>
      <c r="J3020" s="99">
        <f>+J3018+ J3019</f>
        <v>56.67</v>
      </c>
    </row>
    <row r="3021" spans="1:10">
      <c r="A3021" s="84"/>
      <c r="B3021" s="85" t="s">
        <v>294</v>
      </c>
      <c r="C3021" s="86"/>
      <c r="D3021" s="88"/>
      <c r="E3021" s="88"/>
      <c r="F3021" s="88" t="s">
        <v>295</v>
      </c>
      <c r="G3021" s="88"/>
      <c r="H3021" s="88"/>
      <c r="I3021" s="88" t="s">
        <v>296</v>
      </c>
      <c r="J3021" s="270"/>
    </row>
    <row r="3022" spans="1:10">
      <c r="A3022" s="84"/>
      <c r="B3022" s="93" t="s">
        <v>297</v>
      </c>
      <c r="C3022" s="84"/>
      <c r="D3022" s="95"/>
      <c r="E3022" s="95"/>
      <c r="F3022" s="95" t="s">
        <v>298</v>
      </c>
      <c r="G3022" s="95"/>
      <c r="H3022" s="95"/>
      <c r="I3022" s="95"/>
      <c r="J3022" s="276"/>
    </row>
    <row r="3023" spans="1:10">
      <c r="A3023" s="84"/>
      <c r="B3023" s="93" t="s">
        <v>299</v>
      </c>
      <c r="C3023" s="84"/>
      <c r="D3023" s="95"/>
      <c r="E3023" s="95"/>
      <c r="F3023" s="95" t="s">
        <v>300</v>
      </c>
      <c r="G3023" s="95"/>
      <c r="H3023" s="95"/>
      <c r="I3023" s="95"/>
      <c r="J3023" s="276"/>
    </row>
    <row r="3024" spans="1:10" ht="14.4" thickBot="1">
      <c r="A3024" s="84"/>
      <c r="B3024" s="100" t="s">
        <v>301</v>
      </c>
      <c r="C3024" s="84"/>
      <c r="D3024" s="95"/>
      <c r="E3024" s="95"/>
      <c r="F3024" s="95"/>
      <c r="G3024" s="95"/>
      <c r="H3024" s="95"/>
      <c r="I3024" s="95"/>
      <c r="J3024" s="277"/>
    </row>
    <row r="3025" spans="1:10">
      <c r="A3025" s="84"/>
      <c r="B3025" s="86"/>
      <c r="C3025" s="86"/>
      <c r="D3025" s="88"/>
      <c r="E3025" s="88"/>
      <c r="F3025" s="88"/>
      <c r="G3025" s="88"/>
      <c r="H3025" s="88"/>
      <c r="I3025" s="88"/>
      <c r="J3025" s="88"/>
    </row>
    <row r="3026" spans="1:10" ht="14.4" thickBot="1">
      <c r="A3026" s="84"/>
      <c r="B3026" s="84"/>
      <c r="C3026" s="84"/>
      <c r="D3026" s="95"/>
      <c r="E3026" s="95"/>
      <c r="F3026" s="95"/>
      <c r="G3026" s="95"/>
      <c r="H3026" s="95"/>
      <c r="I3026" s="95"/>
      <c r="J3026" s="95"/>
    </row>
    <row r="3027" spans="1:10">
      <c r="A3027" s="84"/>
      <c r="B3027" s="85"/>
      <c r="C3027" s="86"/>
      <c r="D3027" s="87" t="s">
        <v>227</v>
      </c>
      <c r="E3027" s="87"/>
      <c r="F3027" s="87"/>
      <c r="G3027" s="88"/>
      <c r="H3027" s="88"/>
      <c r="I3027" s="88"/>
      <c r="J3027" s="270"/>
    </row>
    <row r="3028" spans="1:10">
      <c r="A3028" s="84"/>
      <c r="B3028" s="89" t="s">
        <v>228</v>
      </c>
      <c r="C3028" s="90" t="s">
        <v>92</v>
      </c>
      <c r="D3028" s="91"/>
      <c r="E3028" s="91"/>
      <c r="F3028" s="91"/>
      <c r="G3028" s="91"/>
      <c r="H3028" s="92" t="s">
        <v>229</v>
      </c>
      <c r="I3028" s="91"/>
      <c r="J3028" s="99" t="s">
        <v>230</v>
      </c>
    </row>
    <row r="3029" spans="1:10">
      <c r="A3029" s="84"/>
      <c r="B3029" s="93" t="s">
        <v>778</v>
      </c>
      <c r="C3029" s="94" t="s">
        <v>782</v>
      </c>
      <c r="D3029" s="95"/>
      <c r="E3029" s="95"/>
      <c r="F3029" s="95"/>
      <c r="G3029" s="95"/>
      <c r="H3029" s="96" t="s">
        <v>233</v>
      </c>
      <c r="I3029" s="95"/>
      <c r="J3029" s="271" t="s">
        <v>332</v>
      </c>
    </row>
    <row r="3030" spans="1:10">
      <c r="A3030" s="84"/>
      <c r="B3030" s="89"/>
      <c r="C3030" s="90"/>
      <c r="D3030" s="91"/>
      <c r="E3030" s="92"/>
      <c r="F3030" s="92" t="s">
        <v>235</v>
      </c>
      <c r="G3030" s="92"/>
      <c r="H3030" s="92" t="s">
        <v>236</v>
      </c>
      <c r="I3030" s="92"/>
      <c r="J3030" s="99" t="s">
        <v>237</v>
      </c>
    </row>
    <row r="3031" spans="1:10">
      <c r="A3031" s="84"/>
      <c r="B3031" s="93" t="s">
        <v>228</v>
      </c>
      <c r="C3031" s="94" t="s">
        <v>238</v>
      </c>
      <c r="D3031" s="95"/>
      <c r="E3031" s="96" t="s">
        <v>239</v>
      </c>
      <c r="F3031" s="92" t="s">
        <v>240</v>
      </c>
      <c r="G3031" s="92" t="s">
        <v>241</v>
      </c>
      <c r="H3031" s="92" t="s">
        <v>240</v>
      </c>
      <c r="I3031" s="272" t="s">
        <v>241</v>
      </c>
      <c r="J3031" s="271" t="s">
        <v>242</v>
      </c>
    </row>
    <row r="3032" spans="1:10">
      <c r="A3032" s="84"/>
      <c r="B3032" s="89" t="s">
        <v>231</v>
      </c>
      <c r="C3032" s="90"/>
      <c r="D3032" s="91"/>
      <c r="E3032" s="92"/>
      <c r="F3032" s="92"/>
      <c r="G3032" s="92"/>
      <c r="H3032" s="92"/>
      <c r="I3032" s="92"/>
      <c r="J3032" s="99"/>
    </row>
    <row r="3033" spans="1:10">
      <c r="A3033" s="84"/>
      <c r="B3033" s="93" t="s">
        <v>231</v>
      </c>
      <c r="C3033" s="94"/>
      <c r="D3033" s="95"/>
      <c r="E3033" s="96"/>
      <c r="F3033" s="96"/>
      <c r="G3033" s="96"/>
      <c r="H3033" s="96"/>
      <c r="I3033" s="96"/>
      <c r="J3033" s="271"/>
    </row>
    <row r="3034" spans="1:10">
      <c r="A3034" s="84"/>
      <c r="B3034" s="93" t="s">
        <v>231</v>
      </c>
      <c r="C3034" s="94"/>
      <c r="D3034" s="95"/>
      <c r="E3034" s="96"/>
      <c r="F3034" s="96"/>
      <c r="G3034" s="96"/>
      <c r="H3034" s="96"/>
      <c r="I3034" s="96"/>
      <c r="J3034" s="271"/>
    </row>
    <row r="3035" spans="1:10">
      <c r="A3035" s="84"/>
      <c r="B3035" s="93" t="s">
        <v>231</v>
      </c>
      <c r="C3035" s="94"/>
      <c r="D3035" s="95"/>
      <c r="E3035" s="96"/>
      <c r="F3035" s="96"/>
      <c r="G3035" s="96"/>
      <c r="H3035" s="96"/>
      <c r="I3035" s="96"/>
      <c r="J3035" s="271"/>
    </row>
    <row r="3036" spans="1:10">
      <c r="A3036" s="84"/>
      <c r="B3036" s="93" t="s">
        <v>231</v>
      </c>
      <c r="C3036" s="94"/>
      <c r="D3036" s="95"/>
      <c r="E3036" s="96"/>
      <c r="F3036" s="96"/>
      <c r="G3036" s="96"/>
      <c r="H3036" s="96"/>
      <c r="I3036" s="96"/>
      <c r="J3036" s="271"/>
    </row>
    <row r="3037" spans="1:10">
      <c r="A3037" s="84"/>
      <c r="B3037" s="93" t="s">
        <v>231</v>
      </c>
      <c r="C3037" s="94"/>
      <c r="D3037" s="95"/>
      <c r="E3037" s="96"/>
      <c r="F3037" s="96"/>
      <c r="G3037" s="96"/>
      <c r="H3037" s="96"/>
      <c r="I3037" s="96"/>
      <c r="J3037" s="271"/>
    </row>
    <row r="3038" spans="1:10">
      <c r="A3038" s="84"/>
      <c r="B3038" s="93" t="s">
        <v>231</v>
      </c>
      <c r="C3038" s="94"/>
      <c r="D3038" s="95"/>
      <c r="E3038" s="96"/>
      <c r="F3038" s="96"/>
      <c r="G3038" s="96"/>
      <c r="H3038" s="96"/>
      <c r="I3038" s="96"/>
      <c r="J3038" s="271"/>
    </row>
    <row r="3039" spans="1:10">
      <c r="A3039" s="84"/>
      <c r="B3039" s="89"/>
      <c r="C3039" s="97"/>
      <c r="D3039" s="91"/>
      <c r="E3039" s="91"/>
      <c r="F3039" s="91"/>
      <c r="G3039" s="91" t="s">
        <v>249</v>
      </c>
      <c r="H3039" s="91"/>
      <c r="I3039" s="91"/>
      <c r="J3039" s="99">
        <f>+SUBTOTAL(9,J3032:J3038)</f>
        <v>0</v>
      </c>
    </row>
    <row r="3040" spans="1:10">
      <c r="A3040" s="84"/>
      <c r="B3040" s="89" t="s">
        <v>228</v>
      </c>
      <c r="C3040" s="90" t="s">
        <v>250</v>
      </c>
      <c r="D3040" s="91"/>
      <c r="E3040" s="91"/>
      <c r="F3040" s="91"/>
      <c r="G3040" s="91"/>
      <c r="H3040" s="92" t="s">
        <v>239</v>
      </c>
      <c r="I3040" s="92" t="s">
        <v>251</v>
      </c>
      <c r="J3040" s="99" t="s">
        <v>252</v>
      </c>
    </row>
    <row r="3041" spans="1:10">
      <c r="A3041" s="84"/>
      <c r="B3041" s="89" t="s">
        <v>461</v>
      </c>
      <c r="C3041" s="90" t="s">
        <v>462</v>
      </c>
      <c r="D3041" s="91"/>
      <c r="E3041" s="91"/>
      <c r="F3041" s="91"/>
      <c r="G3041" s="91"/>
      <c r="H3041" s="92">
        <v>0.08</v>
      </c>
      <c r="I3041" s="92">
        <v>22.84</v>
      </c>
      <c r="J3041" s="99">
        <f>+ROUND(H3041*I3041,2)</f>
        <v>1.83</v>
      </c>
    </row>
    <row r="3042" spans="1:10">
      <c r="A3042" s="84"/>
      <c r="B3042" s="93" t="s">
        <v>577</v>
      </c>
      <c r="C3042" s="94" t="s">
        <v>578</v>
      </c>
      <c r="D3042" s="95"/>
      <c r="E3042" s="95"/>
      <c r="F3042" s="95"/>
      <c r="G3042" s="95"/>
      <c r="H3042" s="96">
        <v>0.08</v>
      </c>
      <c r="I3042" s="96">
        <v>31.65</v>
      </c>
      <c r="J3042" s="271">
        <f>+ROUND(H3042*I3042,2)</f>
        <v>2.5299999999999998</v>
      </c>
    </row>
    <row r="3043" spans="1:10">
      <c r="A3043" s="84"/>
      <c r="B3043" s="93" t="s">
        <v>231</v>
      </c>
      <c r="C3043" s="94"/>
      <c r="D3043" s="95"/>
      <c r="E3043" s="95"/>
      <c r="F3043" s="95"/>
      <c r="G3043" s="95"/>
      <c r="H3043" s="96"/>
      <c r="I3043" s="96"/>
      <c r="J3043" s="271"/>
    </row>
    <row r="3044" spans="1:10">
      <c r="A3044" s="84"/>
      <c r="B3044" s="93" t="s">
        <v>231</v>
      </c>
      <c r="C3044" s="94"/>
      <c r="D3044" s="95"/>
      <c r="E3044" s="95"/>
      <c r="F3044" s="95"/>
      <c r="G3044" s="95"/>
      <c r="H3044" s="96"/>
      <c r="I3044" s="96"/>
      <c r="J3044" s="271"/>
    </row>
    <row r="3045" spans="1:10">
      <c r="A3045" s="84"/>
      <c r="B3045" s="93" t="s">
        <v>231</v>
      </c>
      <c r="C3045" s="94"/>
      <c r="D3045" s="95"/>
      <c r="E3045" s="95"/>
      <c r="F3045" s="95"/>
      <c r="G3045" s="95"/>
      <c r="H3045" s="96"/>
      <c r="I3045" s="96"/>
      <c r="J3045" s="271"/>
    </row>
    <row r="3046" spans="1:10">
      <c r="A3046" s="84"/>
      <c r="B3046" s="93" t="s">
        <v>231</v>
      </c>
      <c r="C3046" s="94"/>
      <c r="D3046" s="95"/>
      <c r="E3046" s="95"/>
      <c r="F3046" s="95"/>
      <c r="G3046" s="95"/>
      <c r="H3046" s="96"/>
      <c r="I3046" s="96"/>
      <c r="J3046" s="271"/>
    </row>
    <row r="3047" spans="1:10">
      <c r="A3047" s="84"/>
      <c r="B3047" s="93" t="s">
        <v>231</v>
      </c>
      <c r="C3047" s="94"/>
      <c r="D3047" s="95"/>
      <c r="E3047" s="95"/>
      <c r="F3047" s="95"/>
      <c r="G3047" s="95"/>
      <c r="H3047" s="96"/>
      <c r="I3047" s="96"/>
      <c r="J3047" s="271"/>
    </row>
    <row r="3048" spans="1:10">
      <c r="A3048" s="84"/>
      <c r="B3048" s="89"/>
      <c r="C3048" s="97"/>
      <c r="D3048" s="91"/>
      <c r="E3048" s="91"/>
      <c r="F3048" s="91"/>
      <c r="G3048" s="91" t="s">
        <v>255</v>
      </c>
      <c r="H3048" s="91"/>
      <c r="I3048" s="91"/>
      <c r="J3048" s="99">
        <f>+SUBTOTAL(9,J3041:J3047)</f>
        <v>4.3599999999999994</v>
      </c>
    </row>
    <row r="3049" spans="1:10">
      <c r="A3049" s="84"/>
      <c r="B3049" s="89"/>
      <c r="C3049" s="97"/>
      <c r="D3049" s="91"/>
      <c r="E3049" s="91"/>
      <c r="F3049" s="91" t="s">
        <v>256</v>
      </c>
      <c r="G3049" s="91"/>
      <c r="H3049" s="91"/>
      <c r="I3049" s="91">
        <v>0</v>
      </c>
      <c r="J3049" s="99">
        <f>+ROUND(I3049*J3048,2)</f>
        <v>0</v>
      </c>
    </row>
    <row r="3050" spans="1:10">
      <c r="A3050" s="84"/>
      <c r="B3050" s="89"/>
      <c r="C3050" s="97"/>
      <c r="D3050" s="91"/>
      <c r="E3050" s="91"/>
      <c r="F3050" s="91" t="s">
        <v>257</v>
      </c>
      <c r="G3050" s="91"/>
      <c r="H3050" s="91"/>
      <c r="I3050" s="91"/>
      <c r="J3050" s="99">
        <f>+SUBTOTAL(9,J3041:J3049)</f>
        <v>4.3599999999999994</v>
      </c>
    </row>
    <row r="3051" spans="1:10">
      <c r="A3051" s="84"/>
      <c r="B3051" s="98"/>
      <c r="C3051" s="97"/>
      <c r="D3051" s="91"/>
      <c r="E3051" s="91"/>
      <c r="F3051" s="91"/>
      <c r="G3051" s="91" t="s">
        <v>258</v>
      </c>
      <c r="H3051" s="91"/>
      <c r="I3051" s="91"/>
      <c r="J3051" s="275">
        <f>+SUBTOTAL(9,J3032:J3050)</f>
        <v>4.3599999999999994</v>
      </c>
    </row>
    <row r="3052" spans="1:10">
      <c r="A3052" s="84"/>
      <c r="B3052" s="98"/>
      <c r="C3052" s="97" t="s">
        <v>259</v>
      </c>
      <c r="D3052" s="91">
        <v>1</v>
      </c>
      <c r="E3052" s="91"/>
      <c r="F3052" s="91"/>
      <c r="G3052" s="91" t="s">
        <v>260</v>
      </c>
      <c r="H3052" s="91"/>
      <c r="I3052" s="91"/>
      <c r="J3052" s="275">
        <f>+ROUND(J3051/D3052,2)</f>
        <v>4.3600000000000003</v>
      </c>
    </row>
    <row r="3053" spans="1:10">
      <c r="A3053" s="84"/>
      <c r="B3053" s="89" t="s">
        <v>228</v>
      </c>
      <c r="C3053" s="90" t="s">
        <v>261</v>
      </c>
      <c r="D3053" s="91"/>
      <c r="E3053" s="91"/>
      <c r="F3053" s="91"/>
      <c r="G3053" s="92" t="s">
        <v>230</v>
      </c>
      <c r="H3053" s="92" t="s">
        <v>262</v>
      </c>
      <c r="I3053" s="92" t="s">
        <v>263</v>
      </c>
      <c r="J3053" s="99" t="s">
        <v>264</v>
      </c>
    </row>
    <row r="3054" spans="1:10">
      <c r="A3054" s="84"/>
      <c r="B3054" s="89" t="s">
        <v>783</v>
      </c>
      <c r="C3054" s="90" t="s">
        <v>784</v>
      </c>
      <c r="D3054" s="91"/>
      <c r="E3054" s="91"/>
      <c r="F3054" s="91"/>
      <c r="G3054" s="92" t="s">
        <v>332</v>
      </c>
      <c r="H3054" s="92">
        <v>8.23</v>
      </c>
      <c r="I3054" s="92">
        <v>1.1000000000000001</v>
      </c>
      <c r="J3054" s="99">
        <f>+ROUND(H3054*I3054,2)</f>
        <v>9.0500000000000007</v>
      </c>
    </row>
    <row r="3055" spans="1:10">
      <c r="A3055" s="84"/>
      <c r="B3055" s="93" t="s">
        <v>581</v>
      </c>
      <c r="C3055" s="94" t="s">
        <v>582</v>
      </c>
      <c r="D3055" s="95"/>
      <c r="E3055" s="95"/>
      <c r="F3055" s="95"/>
      <c r="G3055" s="96" t="s">
        <v>332</v>
      </c>
      <c r="H3055" s="96">
        <v>12.85</v>
      </c>
      <c r="I3055" s="96">
        <v>1.4999999999999999E-2</v>
      </c>
      <c r="J3055" s="271">
        <f>+ROUND(H3055*I3055,2)</f>
        <v>0.19</v>
      </c>
    </row>
    <row r="3056" spans="1:10">
      <c r="A3056" s="84"/>
      <c r="B3056" s="93" t="s">
        <v>785</v>
      </c>
      <c r="C3056" s="94" t="s">
        <v>786</v>
      </c>
      <c r="D3056" s="95"/>
      <c r="E3056" s="95"/>
      <c r="F3056" s="95"/>
      <c r="G3056" s="96" t="s">
        <v>270</v>
      </c>
      <c r="H3056" s="96">
        <v>33.81</v>
      </c>
      <c r="I3056" s="96">
        <v>1.1000000000000001E-3</v>
      </c>
      <c r="J3056" s="271">
        <f>+ROUND(H3056*I3056,2)</f>
        <v>0.04</v>
      </c>
    </row>
    <row r="3057" spans="1:10">
      <c r="A3057" s="84"/>
      <c r="B3057" s="93" t="s">
        <v>585</v>
      </c>
      <c r="C3057" s="94" t="s">
        <v>586</v>
      </c>
      <c r="D3057" s="95"/>
      <c r="E3057" s="95"/>
      <c r="F3057" s="95"/>
      <c r="G3057" s="96" t="s">
        <v>270</v>
      </c>
      <c r="H3057" s="96">
        <v>33.81</v>
      </c>
      <c r="I3057" s="96">
        <v>2.0000000000000002E-5</v>
      </c>
      <c r="J3057" s="271">
        <f>+ROUND(H3057*I3057,2)</f>
        <v>0</v>
      </c>
    </row>
    <row r="3058" spans="1:10">
      <c r="A3058" s="84"/>
      <c r="B3058" s="93" t="s">
        <v>231</v>
      </c>
      <c r="C3058" s="94"/>
      <c r="D3058" s="95"/>
      <c r="E3058" s="95"/>
      <c r="F3058" s="95"/>
      <c r="G3058" s="96"/>
      <c r="H3058" s="96"/>
      <c r="I3058" s="96"/>
      <c r="J3058" s="271"/>
    </row>
    <row r="3059" spans="1:10">
      <c r="A3059" s="84"/>
      <c r="B3059" s="93" t="s">
        <v>231</v>
      </c>
      <c r="C3059" s="94"/>
      <c r="D3059" s="95"/>
      <c r="E3059" s="95"/>
      <c r="F3059" s="95"/>
      <c r="G3059" s="96"/>
      <c r="H3059" s="96"/>
      <c r="I3059" s="96"/>
      <c r="J3059" s="271"/>
    </row>
    <row r="3060" spans="1:10">
      <c r="A3060" s="84"/>
      <c r="B3060" s="93" t="s">
        <v>231</v>
      </c>
      <c r="C3060" s="94"/>
      <c r="D3060" s="95"/>
      <c r="E3060" s="95"/>
      <c r="F3060" s="95"/>
      <c r="G3060" s="96"/>
      <c r="H3060" s="96"/>
      <c r="I3060" s="96"/>
      <c r="J3060" s="271"/>
    </row>
    <row r="3061" spans="1:10">
      <c r="A3061" s="84"/>
      <c r="B3061" s="89"/>
      <c r="C3061" s="97"/>
      <c r="D3061" s="91"/>
      <c r="E3061" s="91"/>
      <c r="F3061" s="91"/>
      <c r="G3061" s="91" t="s">
        <v>275</v>
      </c>
      <c r="H3061" s="91"/>
      <c r="I3061" s="91"/>
      <c r="J3061" s="99">
        <f>+SUBTOTAL(9,J3054:J3060)</f>
        <v>9.2799999999999994</v>
      </c>
    </row>
    <row r="3062" spans="1:10">
      <c r="A3062" s="84"/>
      <c r="B3062" s="89" t="s">
        <v>228</v>
      </c>
      <c r="C3062" s="90" t="s">
        <v>276</v>
      </c>
      <c r="D3062" s="91"/>
      <c r="E3062" s="91"/>
      <c r="F3062" s="91"/>
      <c r="G3062" s="92" t="s">
        <v>230</v>
      </c>
      <c r="H3062" s="92" t="s">
        <v>262</v>
      </c>
      <c r="I3062" s="92" t="s">
        <v>263</v>
      </c>
      <c r="J3062" s="99" t="s">
        <v>264</v>
      </c>
    </row>
    <row r="3063" spans="1:10">
      <c r="A3063" s="84"/>
      <c r="B3063" s="89" t="s">
        <v>231</v>
      </c>
      <c r="C3063" s="90"/>
      <c r="D3063" s="91"/>
      <c r="E3063" s="91"/>
      <c r="F3063" s="91"/>
      <c r="G3063" s="92"/>
      <c r="H3063" s="92"/>
      <c r="I3063" s="92"/>
      <c r="J3063" s="99"/>
    </row>
    <row r="3064" spans="1:10">
      <c r="A3064" s="84"/>
      <c r="B3064" s="93" t="s">
        <v>231</v>
      </c>
      <c r="C3064" s="94"/>
      <c r="D3064" s="95"/>
      <c r="E3064" s="95"/>
      <c r="F3064" s="95"/>
      <c r="G3064" s="96"/>
      <c r="H3064" s="96"/>
      <c r="I3064" s="96"/>
      <c r="J3064" s="271"/>
    </row>
    <row r="3065" spans="1:10">
      <c r="A3065" s="84"/>
      <c r="B3065" s="93" t="s">
        <v>231</v>
      </c>
      <c r="C3065" s="94"/>
      <c r="D3065" s="95"/>
      <c r="E3065" s="95"/>
      <c r="F3065" s="95"/>
      <c r="G3065" s="96"/>
      <c r="H3065" s="96"/>
      <c r="I3065" s="96"/>
      <c r="J3065" s="271"/>
    </row>
    <row r="3066" spans="1:10">
      <c r="A3066" s="84"/>
      <c r="B3066" s="93" t="s">
        <v>231</v>
      </c>
      <c r="C3066" s="94"/>
      <c r="D3066" s="95"/>
      <c r="E3066" s="95"/>
      <c r="F3066" s="95"/>
      <c r="G3066" s="96"/>
      <c r="H3066" s="96"/>
      <c r="I3066" s="96"/>
      <c r="J3066" s="271"/>
    </row>
    <row r="3067" spans="1:10">
      <c r="A3067" s="84"/>
      <c r="B3067" s="93" t="s">
        <v>231</v>
      </c>
      <c r="C3067" s="94"/>
      <c r="D3067" s="95"/>
      <c r="E3067" s="95"/>
      <c r="F3067" s="95"/>
      <c r="G3067" s="96"/>
      <c r="H3067" s="96"/>
      <c r="I3067" s="96"/>
      <c r="J3067" s="271"/>
    </row>
    <row r="3068" spans="1:10">
      <c r="A3068" s="84"/>
      <c r="B3068" s="89"/>
      <c r="C3068" s="97"/>
      <c r="D3068" s="91"/>
      <c r="E3068" s="91"/>
      <c r="F3068" s="91"/>
      <c r="G3068" s="91" t="s">
        <v>279</v>
      </c>
      <c r="H3068" s="91"/>
      <c r="I3068" s="91"/>
      <c r="J3068" s="99">
        <f>+SUBTOTAL(9,J3063:J3067)</f>
        <v>0</v>
      </c>
    </row>
    <row r="3069" spans="1:10">
      <c r="A3069" s="84"/>
      <c r="B3069" s="89" t="s">
        <v>228</v>
      </c>
      <c r="C3069" s="90" t="s">
        <v>280</v>
      </c>
      <c r="D3069" s="92" t="s">
        <v>281</v>
      </c>
      <c r="E3069" s="92" t="s">
        <v>282</v>
      </c>
      <c r="F3069" s="92" t="s">
        <v>283</v>
      </c>
      <c r="G3069" s="92" t="s">
        <v>284</v>
      </c>
      <c r="H3069" s="92" t="s">
        <v>285</v>
      </c>
      <c r="I3069" s="92" t="s">
        <v>263</v>
      </c>
      <c r="J3069" s="99" t="s">
        <v>286</v>
      </c>
    </row>
    <row r="3070" spans="1:10">
      <c r="A3070" s="84"/>
      <c r="B3070" s="89" t="s">
        <v>787</v>
      </c>
      <c r="C3070" s="90" t="s">
        <v>788</v>
      </c>
      <c r="D3070" s="92" t="s">
        <v>289</v>
      </c>
      <c r="E3070" s="92">
        <v>0</v>
      </c>
      <c r="F3070" s="92">
        <v>56.58</v>
      </c>
      <c r="G3070" s="92">
        <v>56.58</v>
      </c>
      <c r="H3070" s="92">
        <v>0.74</v>
      </c>
      <c r="I3070" s="92">
        <v>1.1000000000000001E-3</v>
      </c>
      <c r="J3070" s="99">
        <f>+ROUND(G3070*H3070*I3070,2)</f>
        <v>0.05</v>
      </c>
    </row>
    <row r="3071" spans="1:10">
      <c r="A3071" s="84"/>
      <c r="B3071" s="93" t="s">
        <v>589</v>
      </c>
      <c r="C3071" s="94" t="s">
        <v>590</v>
      </c>
      <c r="D3071" s="96" t="s">
        <v>289</v>
      </c>
      <c r="E3071" s="96">
        <v>0</v>
      </c>
      <c r="F3071" s="96">
        <v>56.58</v>
      </c>
      <c r="G3071" s="96">
        <v>56.58</v>
      </c>
      <c r="H3071" s="96">
        <v>0.74</v>
      </c>
      <c r="I3071" s="96">
        <v>2.0000000000000002E-5</v>
      </c>
      <c r="J3071" s="271">
        <f>+ROUND(G3071*H3071*I3071,2)</f>
        <v>0</v>
      </c>
    </row>
    <row r="3072" spans="1:10">
      <c r="A3072" s="84"/>
      <c r="B3072" s="93" t="s">
        <v>231</v>
      </c>
      <c r="C3072" s="94"/>
      <c r="D3072" s="96"/>
      <c r="E3072" s="96"/>
      <c r="F3072" s="96"/>
      <c r="G3072" s="96"/>
      <c r="H3072" s="96"/>
      <c r="I3072" s="96"/>
      <c r="J3072" s="271"/>
    </row>
    <row r="3073" spans="1:10">
      <c r="A3073" s="84"/>
      <c r="B3073" s="93" t="s">
        <v>231</v>
      </c>
      <c r="C3073" s="94"/>
      <c r="D3073" s="96"/>
      <c r="E3073" s="96"/>
      <c r="F3073" s="96"/>
      <c r="G3073" s="96"/>
      <c r="H3073" s="96"/>
      <c r="I3073" s="96"/>
      <c r="J3073" s="271"/>
    </row>
    <row r="3074" spans="1:10">
      <c r="A3074" s="84"/>
      <c r="B3074" s="93" t="s">
        <v>231</v>
      </c>
      <c r="C3074" s="94"/>
      <c r="D3074" s="96"/>
      <c r="E3074" s="96"/>
      <c r="F3074" s="96"/>
      <c r="G3074" s="96"/>
      <c r="H3074" s="96"/>
      <c r="I3074" s="96"/>
      <c r="J3074" s="271"/>
    </row>
    <row r="3075" spans="1:10">
      <c r="A3075" s="84"/>
      <c r="B3075" s="93" t="s">
        <v>231</v>
      </c>
      <c r="C3075" s="94"/>
      <c r="D3075" s="96"/>
      <c r="E3075" s="96"/>
      <c r="F3075" s="96"/>
      <c r="G3075" s="96"/>
      <c r="H3075" s="96"/>
      <c r="I3075" s="96"/>
      <c r="J3075" s="271"/>
    </row>
    <row r="3076" spans="1:10">
      <c r="A3076" s="84"/>
      <c r="B3076" s="93" t="s">
        <v>231</v>
      </c>
      <c r="C3076" s="94"/>
      <c r="D3076" s="96"/>
      <c r="E3076" s="96"/>
      <c r="F3076" s="96"/>
      <c r="G3076" s="96"/>
      <c r="H3076" s="96"/>
      <c r="I3076" s="96"/>
      <c r="J3076" s="271"/>
    </row>
    <row r="3077" spans="1:10">
      <c r="A3077" s="84"/>
      <c r="B3077" s="89"/>
      <c r="C3077" s="97"/>
      <c r="D3077" s="91"/>
      <c r="E3077" s="91"/>
      <c r="F3077" s="91"/>
      <c r="G3077" s="91" t="s">
        <v>290</v>
      </c>
      <c r="H3077" s="91"/>
      <c r="I3077" s="91"/>
      <c r="J3077" s="99">
        <f>+SUBTOTAL(9,J3070:J3076)</f>
        <v>0.05</v>
      </c>
    </row>
    <row r="3078" spans="1:10">
      <c r="A3078" s="84"/>
      <c r="B3078" s="89" t="s">
        <v>291</v>
      </c>
      <c r="C3078" s="97"/>
      <c r="D3078" s="91"/>
      <c r="E3078" s="91"/>
      <c r="F3078" s="91"/>
      <c r="G3078" s="91"/>
      <c r="H3078" s="91"/>
      <c r="I3078" s="91"/>
      <c r="J3078" s="99">
        <f>+SUBTOTAL(9,J3052:J3076)</f>
        <v>13.69</v>
      </c>
    </row>
    <row r="3079" spans="1:10">
      <c r="A3079" s="84"/>
      <c r="B3079" s="89" t="s">
        <v>292</v>
      </c>
      <c r="C3079" s="97"/>
      <c r="D3079" s="91">
        <v>0</v>
      </c>
      <c r="E3079" s="91"/>
      <c r="F3079" s="91"/>
      <c r="G3079" s="91"/>
      <c r="H3079" s="91"/>
      <c r="I3079" s="91"/>
      <c r="J3079" s="99">
        <f>+ROUND(J3078*D3079/100,2)</f>
        <v>0</v>
      </c>
    </row>
    <row r="3080" spans="1:10" ht="14.4" thickBot="1">
      <c r="A3080" s="84"/>
      <c r="B3080" s="89" t="s">
        <v>293</v>
      </c>
      <c r="C3080" s="97"/>
      <c r="D3080" s="91"/>
      <c r="E3080" s="91"/>
      <c r="F3080" s="91"/>
      <c r="G3080" s="91"/>
      <c r="H3080" s="91"/>
      <c r="I3080" s="91"/>
      <c r="J3080" s="99">
        <f>+J3078+ J3079</f>
        <v>13.69</v>
      </c>
    </row>
    <row r="3081" spans="1:10">
      <c r="A3081" s="84"/>
      <c r="B3081" s="85" t="s">
        <v>294</v>
      </c>
      <c r="C3081" s="86"/>
      <c r="D3081" s="88"/>
      <c r="E3081" s="88"/>
      <c r="F3081" s="88" t="s">
        <v>295</v>
      </c>
      <c r="G3081" s="88"/>
      <c r="H3081" s="88"/>
      <c r="I3081" s="88" t="s">
        <v>296</v>
      </c>
      <c r="J3081" s="270"/>
    </row>
    <row r="3082" spans="1:10">
      <c r="A3082" s="84"/>
      <c r="B3082" s="93" t="s">
        <v>297</v>
      </c>
      <c r="C3082" s="84"/>
      <c r="D3082" s="95"/>
      <c r="E3082" s="95"/>
      <c r="F3082" s="95" t="s">
        <v>298</v>
      </c>
      <c r="G3082" s="95"/>
      <c r="H3082" s="95"/>
      <c r="I3082" s="95"/>
      <c r="J3082" s="276"/>
    </row>
    <row r="3083" spans="1:10">
      <c r="A3083" s="84"/>
      <c r="B3083" s="93" t="s">
        <v>299</v>
      </c>
      <c r="C3083" s="84"/>
      <c r="D3083" s="95"/>
      <c r="E3083" s="95"/>
      <c r="F3083" s="95" t="s">
        <v>300</v>
      </c>
      <c r="G3083" s="95"/>
      <c r="H3083" s="95"/>
      <c r="I3083" s="95"/>
      <c r="J3083" s="276"/>
    </row>
    <row r="3084" spans="1:10" ht="14.4" thickBot="1">
      <c r="A3084" s="84"/>
      <c r="B3084" s="100" t="s">
        <v>301</v>
      </c>
      <c r="C3084" s="84"/>
      <c r="D3084" s="95"/>
      <c r="E3084" s="95"/>
      <c r="F3084" s="95"/>
      <c r="G3084" s="95"/>
      <c r="H3084" s="95"/>
      <c r="I3084" s="95"/>
      <c r="J3084" s="277"/>
    </row>
    <row r="3085" spans="1:10">
      <c r="A3085" s="84"/>
      <c r="B3085" s="86"/>
      <c r="C3085" s="86"/>
      <c r="D3085" s="88"/>
      <c r="E3085" s="88"/>
      <c r="F3085" s="88"/>
      <c r="G3085" s="88"/>
      <c r="H3085" s="88"/>
      <c r="I3085" s="88"/>
      <c r="J3085" s="88"/>
    </row>
    <row r="3086" spans="1:10" ht="14.4" thickBot="1">
      <c r="A3086" s="84"/>
      <c r="B3086" s="84"/>
      <c r="C3086" s="84"/>
      <c r="D3086" s="95"/>
      <c r="E3086" s="95"/>
      <c r="F3086" s="95"/>
      <c r="G3086" s="95"/>
      <c r="H3086" s="95"/>
      <c r="I3086" s="95"/>
      <c r="J3086" s="95"/>
    </row>
    <row r="3087" spans="1:10">
      <c r="A3087" s="84"/>
      <c r="B3087" s="85"/>
      <c r="C3087" s="86"/>
      <c r="D3087" s="87" t="s">
        <v>227</v>
      </c>
      <c r="E3087" s="87"/>
      <c r="F3087" s="87"/>
      <c r="G3087" s="88"/>
      <c r="H3087" s="88"/>
      <c r="I3087" s="88"/>
      <c r="J3087" s="270"/>
    </row>
    <row r="3088" spans="1:10">
      <c r="A3088" s="84"/>
      <c r="B3088" s="89" t="s">
        <v>228</v>
      </c>
      <c r="C3088" s="90" t="s">
        <v>92</v>
      </c>
      <c r="D3088" s="91"/>
      <c r="E3088" s="91"/>
      <c r="F3088" s="91"/>
      <c r="G3088" s="91"/>
      <c r="H3088" s="92" t="s">
        <v>229</v>
      </c>
      <c r="I3088" s="91"/>
      <c r="J3088" s="99" t="s">
        <v>230</v>
      </c>
    </row>
    <row r="3089" spans="1:10">
      <c r="A3089" s="84"/>
      <c r="B3089" s="93" t="s">
        <v>780</v>
      </c>
      <c r="C3089" s="94" t="s">
        <v>789</v>
      </c>
      <c r="D3089" s="95"/>
      <c r="E3089" s="95"/>
      <c r="F3089" s="95"/>
      <c r="G3089" s="95"/>
      <c r="H3089" s="96" t="s">
        <v>233</v>
      </c>
      <c r="I3089" s="95"/>
      <c r="J3089" s="271" t="s">
        <v>234</v>
      </c>
    </row>
    <row r="3090" spans="1:10">
      <c r="A3090" s="84"/>
      <c r="B3090" s="89"/>
      <c r="C3090" s="90"/>
      <c r="D3090" s="91"/>
      <c r="E3090" s="92"/>
      <c r="F3090" s="92" t="s">
        <v>235</v>
      </c>
      <c r="G3090" s="92"/>
      <c r="H3090" s="92" t="s">
        <v>236</v>
      </c>
      <c r="I3090" s="92"/>
      <c r="J3090" s="99" t="s">
        <v>237</v>
      </c>
    </row>
    <row r="3091" spans="1:10">
      <c r="A3091" s="84"/>
      <c r="B3091" s="93" t="s">
        <v>228</v>
      </c>
      <c r="C3091" s="94" t="s">
        <v>238</v>
      </c>
      <c r="D3091" s="95"/>
      <c r="E3091" s="96" t="s">
        <v>239</v>
      </c>
      <c r="F3091" s="92" t="s">
        <v>240</v>
      </c>
      <c r="G3091" s="92" t="s">
        <v>241</v>
      </c>
      <c r="H3091" s="92" t="s">
        <v>240</v>
      </c>
      <c r="I3091" s="272" t="s">
        <v>241</v>
      </c>
      <c r="J3091" s="271" t="s">
        <v>242</v>
      </c>
    </row>
    <row r="3092" spans="1:10">
      <c r="A3092" s="84"/>
      <c r="B3092" s="273" t="s">
        <v>523</v>
      </c>
      <c r="C3092" s="90" t="s">
        <v>524</v>
      </c>
      <c r="D3092" s="91"/>
      <c r="E3092" s="92">
        <v>1</v>
      </c>
      <c r="F3092" s="92">
        <v>1</v>
      </c>
      <c r="G3092" s="92">
        <v>0</v>
      </c>
      <c r="H3092" s="92">
        <v>1.17</v>
      </c>
      <c r="I3092" s="92">
        <v>0.78</v>
      </c>
      <c r="J3092" s="99">
        <f>+ROUND(E3092* ((F3092*H3092) + (G3092*I3092)),2)</f>
        <v>1.17</v>
      </c>
    </row>
    <row r="3093" spans="1:10">
      <c r="A3093" s="84"/>
      <c r="B3093" s="274" t="s">
        <v>525</v>
      </c>
      <c r="C3093" s="94" t="s">
        <v>526</v>
      </c>
      <c r="D3093" s="95"/>
      <c r="E3093" s="96">
        <v>3</v>
      </c>
      <c r="F3093" s="96">
        <v>0.4</v>
      </c>
      <c r="G3093" s="96">
        <v>0.6</v>
      </c>
      <c r="H3093" s="96">
        <v>1.54</v>
      </c>
      <c r="I3093" s="96">
        <v>1.05</v>
      </c>
      <c r="J3093" s="271">
        <f>+ROUND(E3093* ((F3093*H3093) + (G3093*I3093)),2)</f>
        <v>3.74</v>
      </c>
    </row>
    <row r="3094" spans="1:10">
      <c r="A3094" s="84"/>
      <c r="B3094" s="274" t="s">
        <v>527</v>
      </c>
      <c r="C3094" s="94" t="s">
        <v>528</v>
      </c>
      <c r="D3094" s="95"/>
      <c r="E3094" s="96">
        <v>4</v>
      </c>
      <c r="F3094" s="96">
        <v>0.82</v>
      </c>
      <c r="G3094" s="96">
        <v>0.18</v>
      </c>
      <c r="H3094" s="96">
        <v>0.74</v>
      </c>
      <c r="I3094" s="96">
        <v>0.5</v>
      </c>
      <c r="J3094" s="271">
        <f>+ROUND(E3094* ((F3094*H3094) + (G3094*I3094)),2)</f>
        <v>2.79</v>
      </c>
    </row>
    <row r="3095" spans="1:10">
      <c r="A3095" s="84"/>
      <c r="B3095" s="274" t="s">
        <v>529</v>
      </c>
      <c r="C3095" s="94" t="s">
        <v>530</v>
      </c>
      <c r="D3095" s="95"/>
      <c r="E3095" s="96">
        <v>1</v>
      </c>
      <c r="F3095" s="96">
        <v>1</v>
      </c>
      <c r="G3095" s="96">
        <v>0</v>
      </c>
      <c r="H3095" s="96">
        <v>48.13</v>
      </c>
      <c r="I3095" s="96">
        <v>28.28</v>
      </c>
      <c r="J3095" s="271">
        <f>+ROUND(E3095* ((F3095*H3095) + (G3095*I3095)),2)</f>
        <v>48.13</v>
      </c>
    </row>
    <row r="3096" spans="1:10">
      <c r="A3096" s="84"/>
      <c r="B3096" s="93" t="s">
        <v>231</v>
      </c>
      <c r="C3096" s="94"/>
      <c r="D3096" s="95"/>
      <c r="E3096" s="96"/>
      <c r="F3096" s="96"/>
      <c r="G3096" s="96"/>
      <c r="H3096" s="96"/>
      <c r="I3096" s="96"/>
      <c r="J3096" s="271"/>
    </row>
    <row r="3097" spans="1:10">
      <c r="A3097" s="84"/>
      <c r="B3097" s="93" t="s">
        <v>231</v>
      </c>
      <c r="C3097" s="94"/>
      <c r="D3097" s="95"/>
      <c r="E3097" s="96"/>
      <c r="F3097" s="96"/>
      <c r="G3097" s="96"/>
      <c r="H3097" s="96"/>
      <c r="I3097" s="96"/>
      <c r="J3097" s="271"/>
    </row>
    <row r="3098" spans="1:10">
      <c r="A3098" s="84"/>
      <c r="B3098" s="93" t="s">
        <v>231</v>
      </c>
      <c r="C3098" s="94"/>
      <c r="D3098" s="95"/>
      <c r="E3098" s="96"/>
      <c r="F3098" s="96"/>
      <c r="G3098" s="96"/>
      <c r="H3098" s="96"/>
      <c r="I3098" s="96"/>
      <c r="J3098" s="271"/>
    </row>
    <row r="3099" spans="1:10">
      <c r="A3099" s="84"/>
      <c r="B3099" s="89"/>
      <c r="C3099" s="97"/>
      <c r="D3099" s="91"/>
      <c r="E3099" s="91"/>
      <c r="F3099" s="91"/>
      <c r="G3099" s="91" t="s">
        <v>249</v>
      </c>
      <c r="H3099" s="91"/>
      <c r="I3099" s="91"/>
      <c r="J3099" s="99">
        <f>+SUBTOTAL(9,J3092:J3098)</f>
        <v>55.830000000000005</v>
      </c>
    </row>
    <row r="3100" spans="1:10">
      <c r="A3100" s="84"/>
      <c r="B3100" s="89" t="s">
        <v>228</v>
      </c>
      <c r="C3100" s="90" t="s">
        <v>250</v>
      </c>
      <c r="D3100" s="91"/>
      <c r="E3100" s="91"/>
      <c r="F3100" s="91"/>
      <c r="G3100" s="91"/>
      <c r="H3100" s="92" t="s">
        <v>239</v>
      </c>
      <c r="I3100" s="92" t="s">
        <v>251</v>
      </c>
      <c r="J3100" s="99" t="s">
        <v>252</v>
      </c>
    </row>
    <row r="3101" spans="1:10">
      <c r="A3101" s="84"/>
      <c r="B3101" s="89" t="s">
        <v>531</v>
      </c>
      <c r="C3101" s="90" t="s">
        <v>532</v>
      </c>
      <c r="D3101" s="91"/>
      <c r="E3101" s="91"/>
      <c r="F3101" s="91"/>
      <c r="G3101" s="91"/>
      <c r="H3101" s="92">
        <v>1</v>
      </c>
      <c r="I3101" s="92">
        <v>25.37</v>
      </c>
      <c r="J3101" s="99">
        <f>+ROUND(H3101*I3101,2)</f>
        <v>25.37</v>
      </c>
    </row>
    <row r="3102" spans="1:10">
      <c r="A3102" s="84"/>
      <c r="B3102" s="93" t="s">
        <v>253</v>
      </c>
      <c r="C3102" s="94" t="s">
        <v>254</v>
      </c>
      <c r="D3102" s="95"/>
      <c r="E3102" s="95"/>
      <c r="F3102" s="95"/>
      <c r="G3102" s="95"/>
      <c r="H3102" s="96">
        <v>9</v>
      </c>
      <c r="I3102" s="96">
        <v>21.04</v>
      </c>
      <c r="J3102" s="271">
        <f>+ROUND(H3102*I3102,2)</f>
        <v>189.36</v>
      </c>
    </row>
    <row r="3103" spans="1:10">
      <c r="A3103" s="84"/>
      <c r="B3103" s="93" t="s">
        <v>231</v>
      </c>
      <c r="C3103" s="94"/>
      <c r="D3103" s="95"/>
      <c r="E3103" s="95"/>
      <c r="F3103" s="95"/>
      <c r="G3103" s="95"/>
      <c r="H3103" s="96"/>
      <c r="I3103" s="96"/>
      <c r="J3103" s="271"/>
    </row>
    <row r="3104" spans="1:10">
      <c r="A3104" s="84"/>
      <c r="B3104" s="93" t="s">
        <v>231</v>
      </c>
      <c r="C3104" s="94"/>
      <c r="D3104" s="95"/>
      <c r="E3104" s="95"/>
      <c r="F3104" s="95"/>
      <c r="G3104" s="95"/>
      <c r="H3104" s="96"/>
      <c r="I3104" s="96"/>
      <c r="J3104" s="271"/>
    </row>
    <row r="3105" spans="1:10">
      <c r="A3105" s="84"/>
      <c r="B3105" s="93" t="s">
        <v>231</v>
      </c>
      <c r="C3105" s="94"/>
      <c r="D3105" s="95"/>
      <c r="E3105" s="95"/>
      <c r="F3105" s="95"/>
      <c r="G3105" s="95"/>
      <c r="H3105" s="96"/>
      <c r="I3105" s="96"/>
      <c r="J3105" s="271"/>
    </row>
    <row r="3106" spans="1:10">
      <c r="A3106" s="84"/>
      <c r="B3106" s="93" t="s">
        <v>231</v>
      </c>
      <c r="C3106" s="94"/>
      <c r="D3106" s="95"/>
      <c r="E3106" s="95"/>
      <c r="F3106" s="95"/>
      <c r="G3106" s="95"/>
      <c r="H3106" s="96"/>
      <c r="I3106" s="96"/>
      <c r="J3106" s="271"/>
    </row>
    <row r="3107" spans="1:10">
      <c r="A3107" s="84"/>
      <c r="B3107" s="93" t="s">
        <v>231</v>
      </c>
      <c r="C3107" s="94"/>
      <c r="D3107" s="95"/>
      <c r="E3107" s="95"/>
      <c r="F3107" s="95"/>
      <c r="G3107" s="95"/>
      <c r="H3107" s="96"/>
      <c r="I3107" s="96"/>
      <c r="J3107" s="271"/>
    </row>
    <row r="3108" spans="1:10">
      <c r="A3108" s="84"/>
      <c r="B3108" s="89"/>
      <c r="C3108" s="97"/>
      <c r="D3108" s="91"/>
      <c r="E3108" s="91"/>
      <c r="F3108" s="91"/>
      <c r="G3108" s="91" t="s">
        <v>255</v>
      </c>
      <c r="H3108" s="91"/>
      <c r="I3108" s="91"/>
      <c r="J3108" s="99">
        <f>+SUBTOTAL(9,J3101:J3107)</f>
        <v>214.73000000000002</v>
      </c>
    </row>
    <row r="3109" spans="1:10">
      <c r="A3109" s="84"/>
      <c r="B3109" s="89"/>
      <c r="C3109" s="97"/>
      <c r="D3109" s="91"/>
      <c r="E3109" s="91"/>
      <c r="F3109" s="91" t="s">
        <v>256</v>
      </c>
      <c r="G3109" s="91"/>
      <c r="H3109" s="91"/>
      <c r="I3109" s="91">
        <v>0</v>
      </c>
      <c r="J3109" s="99">
        <f>+ROUND(I3109*J3108,2)</f>
        <v>0</v>
      </c>
    </row>
    <row r="3110" spans="1:10">
      <c r="A3110" s="84"/>
      <c r="B3110" s="89"/>
      <c r="C3110" s="97"/>
      <c r="D3110" s="91"/>
      <c r="E3110" s="91"/>
      <c r="F3110" s="91" t="s">
        <v>257</v>
      </c>
      <c r="G3110" s="91"/>
      <c r="H3110" s="91"/>
      <c r="I3110" s="91"/>
      <c r="J3110" s="99">
        <f>+SUBTOTAL(9,J3101:J3109)</f>
        <v>214.73000000000002</v>
      </c>
    </row>
    <row r="3111" spans="1:10">
      <c r="A3111" s="84"/>
      <c r="B3111" s="98"/>
      <c r="C3111" s="97"/>
      <c r="D3111" s="91"/>
      <c r="E3111" s="91"/>
      <c r="F3111" s="91"/>
      <c r="G3111" s="91" t="s">
        <v>258</v>
      </c>
      <c r="H3111" s="91"/>
      <c r="I3111" s="91"/>
      <c r="J3111" s="275">
        <f>+SUBTOTAL(9,J3092:J3110)</f>
        <v>270.56</v>
      </c>
    </row>
    <row r="3112" spans="1:10">
      <c r="A3112" s="84"/>
      <c r="B3112" s="98"/>
      <c r="C3112" s="97" t="s">
        <v>259</v>
      </c>
      <c r="D3112" s="91">
        <v>3.8381500000000002</v>
      </c>
      <c r="E3112" s="91"/>
      <c r="F3112" s="91"/>
      <c r="G3112" s="91" t="s">
        <v>260</v>
      </c>
      <c r="H3112" s="91"/>
      <c r="I3112" s="91"/>
      <c r="J3112" s="275">
        <f>+ROUND(J3111/D3112,2)</f>
        <v>70.489999999999995</v>
      </c>
    </row>
    <row r="3113" spans="1:10">
      <c r="A3113" s="84"/>
      <c r="B3113" s="89" t="s">
        <v>228</v>
      </c>
      <c r="C3113" s="90" t="s">
        <v>261</v>
      </c>
      <c r="D3113" s="91"/>
      <c r="E3113" s="91"/>
      <c r="F3113" s="91"/>
      <c r="G3113" s="92" t="s">
        <v>230</v>
      </c>
      <c r="H3113" s="92" t="s">
        <v>262</v>
      </c>
      <c r="I3113" s="92" t="s">
        <v>263</v>
      </c>
      <c r="J3113" s="99" t="s">
        <v>264</v>
      </c>
    </row>
    <row r="3114" spans="1:10">
      <c r="A3114" s="84"/>
      <c r="B3114" s="89" t="s">
        <v>537</v>
      </c>
      <c r="C3114" s="90" t="s">
        <v>538</v>
      </c>
      <c r="D3114" s="91"/>
      <c r="E3114" s="91"/>
      <c r="F3114" s="91"/>
      <c r="G3114" s="92" t="s">
        <v>234</v>
      </c>
      <c r="H3114" s="92">
        <v>30</v>
      </c>
      <c r="I3114" s="92">
        <v>0.58109999999999995</v>
      </c>
      <c r="J3114" s="99">
        <f t="shared" ref="J3114:J3119" si="9">+ROUND(H3114*I3114,2)</f>
        <v>17.43</v>
      </c>
    </row>
    <row r="3115" spans="1:10">
      <c r="A3115" s="84"/>
      <c r="B3115" s="93" t="s">
        <v>328</v>
      </c>
      <c r="C3115" s="94" t="s">
        <v>329</v>
      </c>
      <c r="D3115" s="95"/>
      <c r="E3115" s="95"/>
      <c r="F3115" s="95"/>
      <c r="G3115" s="96" t="s">
        <v>234</v>
      </c>
      <c r="H3115" s="96">
        <v>103.06</v>
      </c>
      <c r="I3115" s="96">
        <v>0.68813000000000002</v>
      </c>
      <c r="J3115" s="271">
        <f t="shared" si="9"/>
        <v>70.92</v>
      </c>
    </row>
    <row r="3116" spans="1:10">
      <c r="A3116" s="84"/>
      <c r="B3116" s="93" t="s">
        <v>545</v>
      </c>
      <c r="C3116" s="94" t="s">
        <v>546</v>
      </c>
      <c r="D3116" s="95"/>
      <c r="E3116" s="95"/>
      <c r="F3116" s="95"/>
      <c r="G3116" s="96" t="s">
        <v>332</v>
      </c>
      <c r="H3116" s="96">
        <v>0.62</v>
      </c>
      <c r="I3116" s="96">
        <v>366.92977000000002</v>
      </c>
      <c r="J3116" s="271">
        <f t="shared" si="9"/>
        <v>227.5</v>
      </c>
    </row>
    <row r="3117" spans="1:10">
      <c r="A3117" s="84"/>
      <c r="B3117" s="93" t="s">
        <v>549</v>
      </c>
      <c r="C3117" s="94" t="s">
        <v>550</v>
      </c>
      <c r="D3117" s="95"/>
      <c r="E3117" s="95"/>
      <c r="F3117" s="95"/>
      <c r="G3117" s="96" t="s">
        <v>270</v>
      </c>
      <c r="H3117" s="96">
        <v>1.75</v>
      </c>
      <c r="I3117" s="96">
        <v>0.87165000000000004</v>
      </c>
      <c r="J3117" s="271">
        <f t="shared" si="9"/>
        <v>1.53</v>
      </c>
    </row>
    <row r="3118" spans="1:10">
      <c r="A3118" s="84"/>
      <c r="B3118" s="93" t="s">
        <v>343</v>
      </c>
      <c r="C3118" s="94" t="s">
        <v>344</v>
      </c>
      <c r="D3118" s="95"/>
      <c r="E3118" s="95"/>
      <c r="F3118" s="95"/>
      <c r="G3118" s="96" t="s">
        <v>270</v>
      </c>
      <c r="H3118" s="96">
        <v>1.75</v>
      </c>
      <c r="I3118" s="96">
        <v>1.0322</v>
      </c>
      <c r="J3118" s="271">
        <f t="shared" si="9"/>
        <v>1.81</v>
      </c>
    </row>
    <row r="3119" spans="1:10">
      <c r="A3119" s="84"/>
      <c r="B3119" s="93" t="s">
        <v>553</v>
      </c>
      <c r="C3119" s="94" t="s">
        <v>554</v>
      </c>
      <c r="D3119" s="95"/>
      <c r="E3119" s="95"/>
      <c r="F3119" s="95"/>
      <c r="G3119" s="96" t="s">
        <v>270</v>
      </c>
      <c r="H3119" s="96">
        <v>33.81</v>
      </c>
      <c r="I3119" s="96">
        <v>0.36692999999999998</v>
      </c>
      <c r="J3119" s="271">
        <f t="shared" si="9"/>
        <v>12.41</v>
      </c>
    </row>
    <row r="3120" spans="1:10">
      <c r="A3120" s="84"/>
      <c r="B3120" s="93" t="s">
        <v>231</v>
      </c>
      <c r="C3120" s="94"/>
      <c r="D3120" s="95"/>
      <c r="E3120" s="95"/>
      <c r="F3120" s="95"/>
      <c r="G3120" s="96"/>
      <c r="H3120" s="96"/>
      <c r="I3120" s="96"/>
      <c r="J3120" s="271"/>
    </row>
    <row r="3121" spans="1:10">
      <c r="A3121" s="84"/>
      <c r="B3121" s="89"/>
      <c r="C3121" s="97"/>
      <c r="D3121" s="91"/>
      <c r="E3121" s="91"/>
      <c r="F3121" s="91"/>
      <c r="G3121" s="91" t="s">
        <v>275</v>
      </c>
      <c r="H3121" s="91"/>
      <c r="I3121" s="91"/>
      <c r="J3121" s="99">
        <f>+SUBTOTAL(9,J3114:J3120)</f>
        <v>331.6</v>
      </c>
    </row>
    <row r="3122" spans="1:10">
      <c r="A3122" s="84"/>
      <c r="B3122" s="89" t="s">
        <v>228</v>
      </c>
      <c r="C3122" s="90" t="s">
        <v>276</v>
      </c>
      <c r="D3122" s="91"/>
      <c r="E3122" s="91"/>
      <c r="F3122" s="91"/>
      <c r="G3122" s="92" t="s">
        <v>230</v>
      </c>
      <c r="H3122" s="92" t="s">
        <v>262</v>
      </c>
      <c r="I3122" s="92" t="s">
        <v>263</v>
      </c>
      <c r="J3122" s="99" t="s">
        <v>264</v>
      </c>
    </row>
    <row r="3123" spans="1:10">
      <c r="A3123" s="84"/>
      <c r="B3123" s="89" t="s">
        <v>231</v>
      </c>
      <c r="C3123" s="90"/>
      <c r="D3123" s="91"/>
      <c r="E3123" s="91"/>
      <c r="F3123" s="91"/>
      <c r="G3123" s="92"/>
      <c r="H3123" s="92"/>
      <c r="I3123" s="92"/>
      <c r="J3123" s="99"/>
    </row>
    <row r="3124" spans="1:10">
      <c r="A3124" s="84"/>
      <c r="B3124" s="93" t="s">
        <v>231</v>
      </c>
      <c r="C3124" s="94"/>
      <c r="D3124" s="95"/>
      <c r="E3124" s="95"/>
      <c r="F3124" s="95"/>
      <c r="G3124" s="96"/>
      <c r="H3124" s="96"/>
      <c r="I3124" s="96"/>
      <c r="J3124" s="271"/>
    </row>
    <row r="3125" spans="1:10">
      <c r="A3125" s="84"/>
      <c r="B3125" s="93" t="s">
        <v>231</v>
      </c>
      <c r="C3125" s="94"/>
      <c r="D3125" s="95"/>
      <c r="E3125" s="95"/>
      <c r="F3125" s="95"/>
      <c r="G3125" s="96"/>
      <c r="H3125" s="96"/>
      <c r="I3125" s="96"/>
      <c r="J3125" s="271"/>
    </row>
    <row r="3126" spans="1:10">
      <c r="A3126" s="84"/>
      <c r="B3126" s="93" t="s">
        <v>231</v>
      </c>
      <c r="C3126" s="94"/>
      <c r="D3126" s="95"/>
      <c r="E3126" s="95"/>
      <c r="F3126" s="95"/>
      <c r="G3126" s="96"/>
      <c r="H3126" s="96"/>
      <c r="I3126" s="96"/>
      <c r="J3126" s="271"/>
    </row>
    <row r="3127" spans="1:10">
      <c r="A3127" s="84"/>
      <c r="B3127" s="93" t="s">
        <v>231</v>
      </c>
      <c r="C3127" s="94"/>
      <c r="D3127" s="95"/>
      <c r="E3127" s="95"/>
      <c r="F3127" s="95"/>
      <c r="G3127" s="96"/>
      <c r="H3127" s="96"/>
      <c r="I3127" s="96"/>
      <c r="J3127" s="271"/>
    </row>
    <row r="3128" spans="1:10">
      <c r="A3128" s="84"/>
      <c r="B3128" s="89"/>
      <c r="C3128" s="97"/>
      <c r="D3128" s="91"/>
      <c r="E3128" s="91"/>
      <c r="F3128" s="91"/>
      <c r="G3128" s="91" t="s">
        <v>279</v>
      </c>
      <c r="H3128" s="91"/>
      <c r="I3128" s="91"/>
      <c r="J3128" s="99">
        <f>+SUBTOTAL(9,J3123:J3127)</f>
        <v>0</v>
      </c>
    </row>
    <row r="3129" spans="1:10">
      <c r="A3129" s="84"/>
      <c r="B3129" s="89" t="s">
        <v>228</v>
      </c>
      <c r="C3129" s="90" t="s">
        <v>280</v>
      </c>
      <c r="D3129" s="92" t="s">
        <v>281</v>
      </c>
      <c r="E3129" s="92" t="s">
        <v>282</v>
      </c>
      <c r="F3129" s="92" t="s">
        <v>283</v>
      </c>
      <c r="G3129" s="92" t="s">
        <v>284</v>
      </c>
      <c r="H3129" s="92" t="s">
        <v>285</v>
      </c>
      <c r="I3129" s="92" t="s">
        <v>263</v>
      </c>
      <c r="J3129" s="99" t="s">
        <v>286</v>
      </c>
    </row>
    <row r="3130" spans="1:10">
      <c r="A3130" s="84"/>
      <c r="B3130" s="89" t="s">
        <v>557</v>
      </c>
      <c r="C3130" s="90" t="s">
        <v>558</v>
      </c>
      <c r="D3130" s="92" t="s">
        <v>289</v>
      </c>
      <c r="E3130" s="92">
        <v>0</v>
      </c>
      <c r="F3130" s="92">
        <v>124</v>
      </c>
      <c r="G3130" s="92">
        <v>124</v>
      </c>
      <c r="H3130" s="92">
        <v>0.79</v>
      </c>
      <c r="I3130" s="92">
        <v>0.87165000000000004</v>
      </c>
      <c r="J3130" s="99">
        <f>+ROUND(G3130*H3130*I3130,2)</f>
        <v>85.39</v>
      </c>
    </row>
    <row r="3131" spans="1:10">
      <c r="A3131" s="84"/>
      <c r="B3131" s="93" t="s">
        <v>353</v>
      </c>
      <c r="C3131" s="94" t="s">
        <v>354</v>
      </c>
      <c r="D3131" s="96" t="s">
        <v>289</v>
      </c>
      <c r="E3131" s="96">
        <v>0</v>
      </c>
      <c r="F3131" s="96">
        <v>147</v>
      </c>
      <c r="G3131" s="96">
        <v>147</v>
      </c>
      <c r="H3131" s="96">
        <v>0.79</v>
      </c>
      <c r="I3131" s="96">
        <v>1.0322</v>
      </c>
      <c r="J3131" s="271">
        <f>+ROUND(G3131*H3131*I3131,2)</f>
        <v>119.87</v>
      </c>
    </row>
    <row r="3132" spans="1:10">
      <c r="A3132" s="84"/>
      <c r="B3132" s="93" t="s">
        <v>561</v>
      </c>
      <c r="C3132" s="94" t="s">
        <v>562</v>
      </c>
      <c r="D3132" s="96" t="s">
        <v>289</v>
      </c>
      <c r="E3132" s="96">
        <v>0</v>
      </c>
      <c r="F3132" s="96">
        <v>56.58</v>
      </c>
      <c r="G3132" s="96">
        <v>56.58</v>
      </c>
      <c r="H3132" s="96">
        <v>0.74</v>
      </c>
      <c r="I3132" s="96">
        <v>0.36692999999999998</v>
      </c>
      <c r="J3132" s="271">
        <f>+ROUND(G3132*H3132*I3132,2)</f>
        <v>15.36</v>
      </c>
    </row>
    <row r="3133" spans="1:10">
      <c r="A3133" s="84"/>
      <c r="B3133" s="93" t="s">
        <v>231</v>
      </c>
      <c r="C3133" s="94"/>
      <c r="D3133" s="96"/>
      <c r="E3133" s="96"/>
      <c r="F3133" s="96"/>
      <c r="G3133" s="96"/>
      <c r="H3133" s="96"/>
      <c r="I3133" s="96"/>
      <c r="J3133" s="271"/>
    </row>
    <row r="3134" spans="1:10">
      <c r="A3134" s="84"/>
      <c r="B3134" s="93" t="s">
        <v>231</v>
      </c>
      <c r="C3134" s="94"/>
      <c r="D3134" s="96"/>
      <c r="E3134" s="96"/>
      <c r="F3134" s="96"/>
      <c r="G3134" s="96"/>
      <c r="H3134" s="96"/>
      <c r="I3134" s="96"/>
      <c r="J3134" s="271"/>
    </row>
    <row r="3135" spans="1:10">
      <c r="A3135" s="84"/>
      <c r="B3135" s="93" t="s">
        <v>231</v>
      </c>
      <c r="C3135" s="94"/>
      <c r="D3135" s="96"/>
      <c r="E3135" s="96"/>
      <c r="F3135" s="96"/>
      <c r="G3135" s="96"/>
      <c r="H3135" s="96"/>
      <c r="I3135" s="96"/>
      <c r="J3135" s="271"/>
    </row>
    <row r="3136" spans="1:10">
      <c r="A3136" s="84"/>
      <c r="B3136" s="93" t="s">
        <v>231</v>
      </c>
      <c r="C3136" s="94"/>
      <c r="D3136" s="96"/>
      <c r="E3136" s="96"/>
      <c r="F3136" s="96"/>
      <c r="G3136" s="96"/>
      <c r="H3136" s="96"/>
      <c r="I3136" s="96"/>
      <c r="J3136" s="271"/>
    </row>
    <row r="3137" spans="1:10">
      <c r="A3137" s="84"/>
      <c r="B3137" s="89"/>
      <c r="C3137" s="97"/>
      <c r="D3137" s="91"/>
      <c r="E3137" s="91"/>
      <c r="F3137" s="91"/>
      <c r="G3137" s="91" t="s">
        <v>290</v>
      </c>
      <c r="H3137" s="91"/>
      <c r="I3137" s="91"/>
      <c r="J3137" s="99">
        <f>+SUBTOTAL(9,J3130:J3136)</f>
        <v>220.62</v>
      </c>
    </row>
    <row r="3138" spans="1:10">
      <c r="A3138" s="84"/>
      <c r="B3138" s="89" t="s">
        <v>291</v>
      </c>
      <c r="C3138" s="97"/>
      <c r="D3138" s="91"/>
      <c r="E3138" s="91"/>
      <c r="F3138" s="91"/>
      <c r="G3138" s="91"/>
      <c r="H3138" s="91"/>
      <c r="I3138" s="91"/>
      <c r="J3138" s="99">
        <f>+SUBTOTAL(9,J3112:J3136)</f>
        <v>622.70999999999992</v>
      </c>
    </row>
    <row r="3139" spans="1:10">
      <c r="A3139" s="84"/>
      <c r="B3139" s="89" t="s">
        <v>292</v>
      </c>
      <c r="C3139" s="97"/>
      <c r="D3139" s="91">
        <v>0</v>
      </c>
      <c r="E3139" s="91"/>
      <c r="F3139" s="91"/>
      <c r="G3139" s="91"/>
      <c r="H3139" s="91"/>
      <c r="I3139" s="91"/>
      <c r="J3139" s="99">
        <f>+ROUND(J3138*D3139/100,2)</f>
        <v>0</v>
      </c>
    </row>
    <row r="3140" spans="1:10" ht="14.4" thickBot="1">
      <c r="A3140" s="84"/>
      <c r="B3140" s="89" t="s">
        <v>293</v>
      </c>
      <c r="C3140" s="97"/>
      <c r="D3140" s="91"/>
      <c r="E3140" s="91"/>
      <c r="F3140" s="91"/>
      <c r="G3140" s="91"/>
      <c r="H3140" s="91"/>
      <c r="I3140" s="91"/>
      <c r="J3140" s="99">
        <f>+J3138+ J3139</f>
        <v>622.70999999999992</v>
      </c>
    </row>
    <row r="3141" spans="1:10">
      <c r="A3141" s="84"/>
      <c r="B3141" s="85" t="s">
        <v>294</v>
      </c>
      <c r="C3141" s="86"/>
      <c r="D3141" s="88"/>
      <c r="E3141" s="88"/>
      <c r="F3141" s="88" t="s">
        <v>295</v>
      </c>
      <c r="G3141" s="88"/>
      <c r="H3141" s="88"/>
      <c r="I3141" s="88" t="s">
        <v>296</v>
      </c>
      <c r="J3141" s="270"/>
    </row>
    <row r="3142" spans="1:10">
      <c r="A3142" s="84"/>
      <c r="B3142" s="93" t="s">
        <v>297</v>
      </c>
      <c r="C3142" s="84"/>
      <c r="D3142" s="95"/>
      <c r="E3142" s="95"/>
      <c r="F3142" s="95" t="s">
        <v>298</v>
      </c>
      <c r="G3142" s="95"/>
      <c r="H3142" s="95"/>
      <c r="I3142" s="95"/>
      <c r="J3142" s="276"/>
    </row>
    <row r="3143" spans="1:10">
      <c r="A3143" s="84"/>
      <c r="B3143" s="93" t="s">
        <v>299</v>
      </c>
      <c r="C3143" s="84"/>
      <c r="D3143" s="95"/>
      <c r="E3143" s="95"/>
      <c r="F3143" s="95" t="s">
        <v>300</v>
      </c>
      <c r="G3143" s="95"/>
      <c r="H3143" s="95"/>
      <c r="I3143" s="95"/>
      <c r="J3143" s="276"/>
    </row>
    <row r="3144" spans="1:10" ht="14.4" thickBot="1">
      <c r="A3144" s="84"/>
      <c r="B3144" s="100" t="s">
        <v>301</v>
      </c>
      <c r="C3144" s="84"/>
      <c r="D3144" s="95"/>
      <c r="E3144" s="95"/>
      <c r="F3144" s="95"/>
      <c r="G3144" s="95"/>
      <c r="H3144" s="95"/>
      <c r="I3144" s="95"/>
      <c r="J3144" s="277"/>
    </row>
    <row r="3145" spans="1:10">
      <c r="A3145" s="84"/>
      <c r="B3145" s="86"/>
      <c r="C3145" s="86"/>
      <c r="D3145" s="88"/>
      <c r="E3145" s="88"/>
      <c r="F3145" s="88"/>
      <c r="G3145" s="88"/>
      <c r="H3145" s="88"/>
      <c r="I3145" s="88"/>
      <c r="J3145" s="88"/>
    </row>
    <row r="3146" spans="1:10" ht="14.4" thickBot="1">
      <c r="A3146" s="84"/>
      <c r="B3146" s="84"/>
      <c r="C3146" s="84"/>
      <c r="D3146" s="95"/>
      <c r="E3146" s="95"/>
      <c r="F3146" s="95"/>
      <c r="G3146" s="95"/>
      <c r="H3146" s="95"/>
      <c r="I3146" s="95"/>
      <c r="J3146" s="95"/>
    </row>
    <row r="3147" spans="1:10">
      <c r="A3147" s="84"/>
      <c r="B3147" s="85"/>
      <c r="C3147" s="86"/>
      <c r="D3147" s="87" t="s">
        <v>227</v>
      </c>
      <c r="E3147" s="87"/>
      <c r="F3147" s="87"/>
      <c r="G3147" s="88"/>
      <c r="H3147" s="88"/>
      <c r="I3147" s="88"/>
      <c r="J3147" s="270"/>
    </row>
    <row r="3148" spans="1:10">
      <c r="A3148" s="84"/>
      <c r="B3148" s="89" t="s">
        <v>228</v>
      </c>
      <c r="C3148" s="90" t="s">
        <v>92</v>
      </c>
      <c r="D3148" s="91"/>
      <c r="E3148" s="91"/>
      <c r="F3148" s="91"/>
      <c r="G3148" s="91"/>
      <c r="H3148" s="92" t="s">
        <v>229</v>
      </c>
      <c r="I3148" s="91"/>
      <c r="J3148" s="99" t="s">
        <v>230</v>
      </c>
    </row>
    <row r="3149" spans="1:10">
      <c r="A3149" s="84"/>
      <c r="B3149" s="93" t="s">
        <v>769</v>
      </c>
      <c r="C3149" s="94" t="s">
        <v>790</v>
      </c>
      <c r="D3149" s="95"/>
      <c r="E3149" s="95"/>
      <c r="F3149" s="95"/>
      <c r="G3149" s="95"/>
      <c r="H3149" s="96" t="s">
        <v>233</v>
      </c>
      <c r="I3149" s="95"/>
      <c r="J3149" s="271" t="s">
        <v>267</v>
      </c>
    </row>
    <row r="3150" spans="1:10">
      <c r="A3150" s="84"/>
      <c r="B3150" s="89"/>
      <c r="C3150" s="90"/>
      <c r="D3150" s="91"/>
      <c r="E3150" s="92"/>
      <c r="F3150" s="92" t="s">
        <v>235</v>
      </c>
      <c r="G3150" s="92"/>
      <c r="H3150" s="92" t="s">
        <v>236</v>
      </c>
      <c r="I3150" s="92"/>
      <c r="J3150" s="99" t="s">
        <v>237</v>
      </c>
    </row>
    <row r="3151" spans="1:10">
      <c r="A3151" s="84"/>
      <c r="B3151" s="93" t="s">
        <v>228</v>
      </c>
      <c r="C3151" s="94" t="s">
        <v>238</v>
      </c>
      <c r="D3151" s="95"/>
      <c r="E3151" s="96" t="s">
        <v>239</v>
      </c>
      <c r="F3151" s="92" t="s">
        <v>240</v>
      </c>
      <c r="G3151" s="92" t="s">
        <v>241</v>
      </c>
      <c r="H3151" s="92" t="s">
        <v>240</v>
      </c>
      <c r="I3151" s="272" t="s">
        <v>241</v>
      </c>
      <c r="J3151" s="271" t="s">
        <v>242</v>
      </c>
    </row>
    <row r="3152" spans="1:10">
      <c r="A3152" s="84"/>
      <c r="B3152" s="273" t="s">
        <v>641</v>
      </c>
      <c r="C3152" s="90" t="s">
        <v>642</v>
      </c>
      <c r="D3152" s="91"/>
      <c r="E3152" s="92">
        <v>2</v>
      </c>
      <c r="F3152" s="92">
        <v>1</v>
      </c>
      <c r="G3152" s="92">
        <v>0</v>
      </c>
      <c r="H3152" s="92">
        <v>0.61</v>
      </c>
      <c r="I3152" s="92">
        <v>0.41</v>
      </c>
      <c r="J3152" s="99">
        <f>+ROUND(E3152* ((F3152*H3152) + (G3152*I3152)),2)</f>
        <v>1.22</v>
      </c>
    </row>
    <row r="3153" spans="1:10">
      <c r="A3153" s="84"/>
      <c r="B3153" s="274" t="s">
        <v>776</v>
      </c>
      <c r="C3153" s="94" t="s">
        <v>777</v>
      </c>
      <c r="D3153" s="95"/>
      <c r="E3153" s="96">
        <v>1</v>
      </c>
      <c r="F3153" s="96">
        <v>1</v>
      </c>
      <c r="G3153" s="96">
        <v>0</v>
      </c>
      <c r="H3153" s="96">
        <v>3.69</v>
      </c>
      <c r="I3153" s="96">
        <v>2.2999999999999998</v>
      </c>
      <c r="J3153" s="271">
        <f>+ROUND(E3153* ((F3153*H3153) + (G3153*I3153)),2)</f>
        <v>3.69</v>
      </c>
    </row>
    <row r="3154" spans="1:10">
      <c r="A3154" s="84"/>
      <c r="B3154" s="274" t="s">
        <v>645</v>
      </c>
      <c r="C3154" s="94" t="s">
        <v>646</v>
      </c>
      <c r="D3154" s="95"/>
      <c r="E3154" s="96">
        <v>1</v>
      </c>
      <c r="F3154" s="96">
        <v>1</v>
      </c>
      <c r="G3154" s="96">
        <v>0</v>
      </c>
      <c r="H3154" s="96">
        <v>0.59</v>
      </c>
      <c r="I3154" s="96">
        <v>0.41</v>
      </c>
      <c r="J3154" s="271">
        <f>+ROUND(E3154* ((F3154*H3154) + (G3154*I3154)),2)</f>
        <v>0.59</v>
      </c>
    </row>
    <row r="3155" spans="1:10">
      <c r="A3155" s="84"/>
      <c r="B3155" s="274" t="s">
        <v>429</v>
      </c>
      <c r="C3155" s="94" t="s">
        <v>430</v>
      </c>
      <c r="D3155" s="95"/>
      <c r="E3155" s="96">
        <v>1</v>
      </c>
      <c r="F3155" s="96">
        <v>1</v>
      </c>
      <c r="G3155" s="96">
        <v>0</v>
      </c>
      <c r="H3155" s="96">
        <v>10.18</v>
      </c>
      <c r="I3155" s="96">
        <v>0.48</v>
      </c>
      <c r="J3155" s="271">
        <f>+ROUND(E3155* ((F3155*H3155) + (G3155*I3155)),2)</f>
        <v>10.18</v>
      </c>
    </row>
    <row r="3156" spans="1:10">
      <c r="A3156" s="84"/>
      <c r="B3156" s="93" t="s">
        <v>231</v>
      </c>
      <c r="C3156" s="94"/>
      <c r="D3156" s="95"/>
      <c r="E3156" s="96"/>
      <c r="F3156" s="96"/>
      <c r="G3156" s="96"/>
      <c r="H3156" s="96"/>
      <c r="I3156" s="96"/>
      <c r="J3156" s="271"/>
    </row>
    <row r="3157" spans="1:10">
      <c r="A3157" s="84"/>
      <c r="B3157" s="93" t="s">
        <v>231</v>
      </c>
      <c r="C3157" s="94"/>
      <c r="D3157" s="95"/>
      <c r="E3157" s="96"/>
      <c r="F3157" s="96"/>
      <c r="G3157" s="96"/>
      <c r="H3157" s="96"/>
      <c r="I3157" s="96"/>
      <c r="J3157" s="271"/>
    </row>
    <row r="3158" spans="1:10">
      <c r="A3158" s="84"/>
      <c r="B3158" s="93" t="s">
        <v>231</v>
      </c>
      <c r="C3158" s="94"/>
      <c r="D3158" s="95"/>
      <c r="E3158" s="96"/>
      <c r="F3158" s="96"/>
      <c r="G3158" s="96"/>
      <c r="H3158" s="96"/>
      <c r="I3158" s="96"/>
      <c r="J3158" s="271"/>
    </row>
    <row r="3159" spans="1:10">
      <c r="A3159" s="84"/>
      <c r="B3159" s="89"/>
      <c r="C3159" s="97"/>
      <c r="D3159" s="91"/>
      <c r="E3159" s="91"/>
      <c r="F3159" s="91"/>
      <c r="G3159" s="91" t="s">
        <v>249</v>
      </c>
      <c r="H3159" s="91"/>
      <c r="I3159" s="91"/>
      <c r="J3159" s="99">
        <f>+SUBTOTAL(9,J3152:J3158)</f>
        <v>15.68</v>
      </c>
    </row>
    <row r="3160" spans="1:10">
      <c r="A3160" s="84"/>
      <c r="B3160" s="89" t="s">
        <v>228</v>
      </c>
      <c r="C3160" s="90" t="s">
        <v>250</v>
      </c>
      <c r="D3160" s="91"/>
      <c r="E3160" s="91"/>
      <c r="F3160" s="91"/>
      <c r="G3160" s="91"/>
      <c r="H3160" s="92" t="s">
        <v>239</v>
      </c>
      <c r="I3160" s="92" t="s">
        <v>251</v>
      </c>
      <c r="J3160" s="99" t="s">
        <v>252</v>
      </c>
    </row>
    <row r="3161" spans="1:10">
      <c r="A3161" s="84"/>
      <c r="B3161" s="89" t="s">
        <v>253</v>
      </c>
      <c r="C3161" s="90" t="s">
        <v>254</v>
      </c>
      <c r="D3161" s="91"/>
      <c r="E3161" s="91"/>
      <c r="F3161" s="91"/>
      <c r="G3161" s="91"/>
      <c r="H3161" s="92">
        <v>4</v>
      </c>
      <c r="I3161" s="92">
        <v>21.04</v>
      </c>
      <c r="J3161" s="99">
        <f>+ROUND(H3161*I3161,2)</f>
        <v>84.16</v>
      </c>
    </row>
    <row r="3162" spans="1:10">
      <c r="A3162" s="84"/>
      <c r="B3162" s="93" t="s">
        <v>231</v>
      </c>
      <c r="C3162" s="94"/>
      <c r="D3162" s="95"/>
      <c r="E3162" s="95"/>
      <c r="F3162" s="95"/>
      <c r="G3162" s="95"/>
      <c r="H3162" s="96"/>
      <c r="I3162" s="96"/>
      <c r="J3162" s="271"/>
    </row>
    <row r="3163" spans="1:10">
      <c r="A3163" s="84"/>
      <c r="B3163" s="93" t="s">
        <v>231</v>
      </c>
      <c r="C3163" s="94"/>
      <c r="D3163" s="95"/>
      <c r="E3163" s="95"/>
      <c r="F3163" s="95"/>
      <c r="G3163" s="95"/>
      <c r="H3163" s="96"/>
      <c r="I3163" s="96"/>
      <c r="J3163" s="271"/>
    </row>
    <row r="3164" spans="1:10">
      <c r="A3164" s="84"/>
      <c r="B3164" s="93" t="s">
        <v>231</v>
      </c>
      <c r="C3164" s="94"/>
      <c r="D3164" s="95"/>
      <c r="E3164" s="95"/>
      <c r="F3164" s="95"/>
      <c r="G3164" s="95"/>
      <c r="H3164" s="96"/>
      <c r="I3164" s="96"/>
      <c r="J3164" s="271"/>
    </row>
    <row r="3165" spans="1:10">
      <c r="A3165" s="84"/>
      <c r="B3165" s="93" t="s">
        <v>231</v>
      </c>
      <c r="C3165" s="94"/>
      <c r="D3165" s="95"/>
      <c r="E3165" s="95"/>
      <c r="F3165" s="95"/>
      <c r="G3165" s="95"/>
      <c r="H3165" s="96"/>
      <c r="I3165" s="96"/>
      <c r="J3165" s="271"/>
    </row>
    <row r="3166" spans="1:10">
      <c r="A3166" s="84"/>
      <c r="B3166" s="93" t="s">
        <v>231</v>
      </c>
      <c r="C3166" s="94"/>
      <c r="D3166" s="95"/>
      <c r="E3166" s="95"/>
      <c r="F3166" s="95"/>
      <c r="G3166" s="95"/>
      <c r="H3166" s="96"/>
      <c r="I3166" s="96"/>
      <c r="J3166" s="271"/>
    </row>
    <row r="3167" spans="1:10">
      <c r="A3167" s="84"/>
      <c r="B3167" s="93" t="s">
        <v>231</v>
      </c>
      <c r="C3167" s="94"/>
      <c r="D3167" s="95"/>
      <c r="E3167" s="95"/>
      <c r="F3167" s="95"/>
      <c r="G3167" s="95"/>
      <c r="H3167" s="96"/>
      <c r="I3167" s="96"/>
      <c r="J3167" s="271"/>
    </row>
    <row r="3168" spans="1:10">
      <c r="A3168" s="84"/>
      <c r="B3168" s="89"/>
      <c r="C3168" s="97"/>
      <c r="D3168" s="91"/>
      <c r="E3168" s="91"/>
      <c r="F3168" s="91"/>
      <c r="G3168" s="91" t="s">
        <v>255</v>
      </c>
      <c r="H3168" s="91"/>
      <c r="I3168" s="91"/>
      <c r="J3168" s="99">
        <f>+SUBTOTAL(9,J3161:J3167)</f>
        <v>84.16</v>
      </c>
    </row>
    <row r="3169" spans="1:10">
      <c r="A3169" s="84"/>
      <c r="B3169" s="89"/>
      <c r="C3169" s="97"/>
      <c r="D3169" s="91"/>
      <c r="E3169" s="91"/>
      <c r="F3169" s="91" t="s">
        <v>256</v>
      </c>
      <c r="G3169" s="91"/>
      <c r="H3169" s="91"/>
      <c r="I3169" s="91">
        <v>0</v>
      </c>
      <c r="J3169" s="99">
        <f>+ROUND(I3169*J3168,2)</f>
        <v>0</v>
      </c>
    </row>
    <row r="3170" spans="1:10">
      <c r="A3170" s="84"/>
      <c r="B3170" s="89"/>
      <c r="C3170" s="97"/>
      <c r="D3170" s="91"/>
      <c r="E3170" s="91"/>
      <c r="F3170" s="91" t="s">
        <v>257</v>
      </c>
      <c r="G3170" s="91"/>
      <c r="H3170" s="91"/>
      <c r="I3170" s="91"/>
      <c r="J3170" s="99">
        <f>+SUBTOTAL(9,J3161:J3169)</f>
        <v>84.16</v>
      </c>
    </row>
    <row r="3171" spans="1:10">
      <c r="A3171" s="84"/>
      <c r="B3171" s="98"/>
      <c r="C3171" s="97"/>
      <c r="D3171" s="91"/>
      <c r="E3171" s="91"/>
      <c r="F3171" s="91"/>
      <c r="G3171" s="91" t="s">
        <v>258</v>
      </c>
      <c r="H3171" s="91"/>
      <c r="I3171" s="91"/>
      <c r="J3171" s="275">
        <f>+SUBTOTAL(9,J3152:J3170)</f>
        <v>99.84</v>
      </c>
    </row>
    <row r="3172" spans="1:10">
      <c r="A3172" s="84"/>
      <c r="B3172" s="98"/>
      <c r="C3172" s="97" t="s">
        <v>259</v>
      </c>
      <c r="D3172" s="91">
        <v>151.04</v>
      </c>
      <c r="E3172" s="91"/>
      <c r="F3172" s="91"/>
      <c r="G3172" s="91" t="s">
        <v>260</v>
      </c>
      <c r="H3172" s="91"/>
      <c r="I3172" s="91"/>
      <c r="J3172" s="275">
        <f>+ROUND(J3171/D3172,2)</f>
        <v>0.66</v>
      </c>
    </row>
    <row r="3173" spans="1:10">
      <c r="A3173" s="84"/>
      <c r="B3173" s="89" t="s">
        <v>228</v>
      </c>
      <c r="C3173" s="90" t="s">
        <v>261</v>
      </c>
      <c r="D3173" s="91"/>
      <c r="E3173" s="91"/>
      <c r="F3173" s="91"/>
      <c r="G3173" s="92" t="s">
        <v>230</v>
      </c>
      <c r="H3173" s="92" t="s">
        <v>262</v>
      </c>
      <c r="I3173" s="92" t="s">
        <v>263</v>
      </c>
      <c r="J3173" s="99" t="s">
        <v>264</v>
      </c>
    </row>
    <row r="3174" spans="1:10">
      <c r="A3174" s="84"/>
      <c r="B3174" s="89" t="s">
        <v>231</v>
      </c>
      <c r="C3174" s="90"/>
      <c r="D3174" s="91"/>
      <c r="E3174" s="91"/>
      <c r="F3174" s="91"/>
      <c r="G3174" s="92"/>
      <c r="H3174" s="92"/>
      <c r="I3174" s="92"/>
      <c r="J3174" s="99"/>
    </row>
    <row r="3175" spans="1:10">
      <c r="A3175" s="84"/>
      <c r="B3175" s="93" t="s">
        <v>231</v>
      </c>
      <c r="C3175" s="94"/>
      <c r="D3175" s="95"/>
      <c r="E3175" s="95"/>
      <c r="F3175" s="95"/>
      <c r="G3175" s="96"/>
      <c r="H3175" s="96"/>
      <c r="I3175" s="96"/>
      <c r="J3175" s="271"/>
    </row>
    <row r="3176" spans="1:10">
      <c r="A3176" s="84"/>
      <c r="B3176" s="93" t="s">
        <v>231</v>
      </c>
      <c r="C3176" s="94"/>
      <c r="D3176" s="95"/>
      <c r="E3176" s="95"/>
      <c r="F3176" s="95"/>
      <c r="G3176" s="96"/>
      <c r="H3176" s="96"/>
      <c r="I3176" s="96"/>
      <c r="J3176" s="271"/>
    </row>
    <row r="3177" spans="1:10">
      <c r="A3177" s="84"/>
      <c r="B3177" s="93" t="s">
        <v>231</v>
      </c>
      <c r="C3177" s="94"/>
      <c r="D3177" s="95"/>
      <c r="E3177" s="95"/>
      <c r="F3177" s="95"/>
      <c r="G3177" s="96"/>
      <c r="H3177" s="96"/>
      <c r="I3177" s="96"/>
      <c r="J3177" s="271"/>
    </row>
    <row r="3178" spans="1:10">
      <c r="A3178" s="84"/>
      <c r="B3178" s="93" t="s">
        <v>231</v>
      </c>
      <c r="C3178" s="94"/>
      <c r="D3178" s="95"/>
      <c r="E3178" s="95"/>
      <c r="F3178" s="95"/>
      <c r="G3178" s="96"/>
      <c r="H3178" s="96"/>
      <c r="I3178" s="96"/>
      <c r="J3178" s="271"/>
    </row>
    <row r="3179" spans="1:10">
      <c r="A3179" s="84"/>
      <c r="B3179" s="93" t="s">
        <v>231</v>
      </c>
      <c r="C3179" s="94"/>
      <c r="D3179" s="95"/>
      <c r="E3179" s="95"/>
      <c r="F3179" s="95"/>
      <c r="G3179" s="96"/>
      <c r="H3179" s="96"/>
      <c r="I3179" s="96"/>
      <c r="J3179" s="271"/>
    </row>
    <row r="3180" spans="1:10">
      <c r="A3180" s="84"/>
      <c r="B3180" s="93" t="s">
        <v>231</v>
      </c>
      <c r="C3180" s="94"/>
      <c r="D3180" s="95"/>
      <c r="E3180" s="95"/>
      <c r="F3180" s="95"/>
      <c r="G3180" s="96"/>
      <c r="H3180" s="96"/>
      <c r="I3180" s="96"/>
      <c r="J3180" s="271"/>
    </row>
    <row r="3181" spans="1:10">
      <c r="A3181" s="84"/>
      <c r="B3181" s="89"/>
      <c r="C3181" s="97"/>
      <c r="D3181" s="91"/>
      <c r="E3181" s="91"/>
      <c r="F3181" s="91"/>
      <c r="G3181" s="91" t="s">
        <v>275</v>
      </c>
      <c r="H3181" s="91"/>
      <c r="I3181" s="91"/>
      <c r="J3181" s="99">
        <f>+SUBTOTAL(9,J3174:J3180)</f>
        <v>0</v>
      </c>
    </row>
    <row r="3182" spans="1:10">
      <c r="A3182" s="84"/>
      <c r="B3182" s="89" t="s">
        <v>228</v>
      </c>
      <c r="C3182" s="90" t="s">
        <v>276</v>
      </c>
      <c r="D3182" s="91"/>
      <c r="E3182" s="91"/>
      <c r="F3182" s="91"/>
      <c r="G3182" s="92" t="s">
        <v>230</v>
      </c>
      <c r="H3182" s="92" t="s">
        <v>262</v>
      </c>
      <c r="I3182" s="92" t="s">
        <v>263</v>
      </c>
      <c r="J3182" s="99" t="s">
        <v>264</v>
      </c>
    </row>
    <row r="3183" spans="1:10">
      <c r="A3183" s="84"/>
      <c r="B3183" s="89" t="s">
        <v>778</v>
      </c>
      <c r="C3183" s="90" t="s">
        <v>779</v>
      </c>
      <c r="D3183" s="91"/>
      <c r="E3183" s="91"/>
      <c r="F3183" s="91"/>
      <c r="G3183" s="92" t="s">
        <v>332</v>
      </c>
      <c r="H3183" s="92">
        <v>13.69</v>
      </c>
      <c r="I3183" s="92">
        <v>1.43771</v>
      </c>
      <c r="J3183" s="99">
        <f>+ROUND(H3183*I3183,2)</f>
        <v>19.68</v>
      </c>
    </row>
    <row r="3184" spans="1:10">
      <c r="A3184" s="84"/>
      <c r="B3184" s="93" t="s">
        <v>780</v>
      </c>
      <c r="C3184" s="94" t="s">
        <v>781</v>
      </c>
      <c r="D3184" s="95"/>
      <c r="E3184" s="95"/>
      <c r="F3184" s="95"/>
      <c r="G3184" s="96" t="s">
        <v>234</v>
      </c>
      <c r="H3184" s="96">
        <v>622.09</v>
      </c>
      <c r="I3184" s="96">
        <v>2.5409999999999999E-2</v>
      </c>
      <c r="J3184" s="271">
        <f>+ROUND(H3184*I3184,2)</f>
        <v>15.81</v>
      </c>
    </row>
    <row r="3185" spans="1:10">
      <c r="A3185" s="84"/>
      <c r="B3185" s="93" t="s">
        <v>231</v>
      </c>
      <c r="C3185" s="94"/>
      <c r="D3185" s="95"/>
      <c r="E3185" s="95"/>
      <c r="F3185" s="95"/>
      <c r="G3185" s="96"/>
      <c r="H3185" s="96"/>
      <c r="I3185" s="96"/>
      <c r="J3185" s="271"/>
    </row>
    <row r="3186" spans="1:10">
      <c r="A3186" s="84"/>
      <c r="B3186" s="93" t="s">
        <v>231</v>
      </c>
      <c r="C3186" s="94"/>
      <c r="D3186" s="95"/>
      <c r="E3186" s="95"/>
      <c r="F3186" s="95"/>
      <c r="G3186" s="96"/>
      <c r="H3186" s="96"/>
      <c r="I3186" s="96"/>
      <c r="J3186" s="271"/>
    </row>
    <row r="3187" spans="1:10">
      <c r="A3187" s="84"/>
      <c r="B3187" s="93" t="s">
        <v>231</v>
      </c>
      <c r="C3187" s="94"/>
      <c r="D3187" s="95"/>
      <c r="E3187" s="95"/>
      <c r="F3187" s="95"/>
      <c r="G3187" s="96"/>
      <c r="H3187" s="96"/>
      <c r="I3187" s="96"/>
      <c r="J3187" s="271"/>
    </row>
    <row r="3188" spans="1:10">
      <c r="A3188" s="84"/>
      <c r="B3188" s="89"/>
      <c r="C3188" s="97"/>
      <c r="D3188" s="91"/>
      <c r="E3188" s="91"/>
      <c r="F3188" s="91"/>
      <c r="G3188" s="91" t="s">
        <v>279</v>
      </c>
      <c r="H3188" s="91"/>
      <c r="I3188" s="91"/>
      <c r="J3188" s="99">
        <f>+SUBTOTAL(9,J3183:J3187)</f>
        <v>35.49</v>
      </c>
    </row>
    <row r="3189" spans="1:10">
      <c r="A3189" s="84"/>
      <c r="B3189" s="89" t="s">
        <v>228</v>
      </c>
      <c r="C3189" s="90" t="s">
        <v>280</v>
      </c>
      <c r="D3189" s="92" t="s">
        <v>281</v>
      </c>
      <c r="E3189" s="92" t="s">
        <v>282</v>
      </c>
      <c r="F3189" s="92" t="s">
        <v>283</v>
      </c>
      <c r="G3189" s="92" t="s">
        <v>284</v>
      </c>
      <c r="H3189" s="92" t="s">
        <v>285</v>
      </c>
      <c r="I3189" s="92" t="s">
        <v>263</v>
      </c>
      <c r="J3189" s="99" t="s">
        <v>286</v>
      </c>
    </row>
    <row r="3190" spans="1:10">
      <c r="A3190" s="84"/>
      <c r="B3190" s="89" t="s">
        <v>231</v>
      </c>
      <c r="C3190" s="90"/>
      <c r="D3190" s="92"/>
      <c r="E3190" s="92"/>
      <c r="F3190" s="92"/>
      <c r="G3190" s="92"/>
      <c r="H3190" s="92"/>
      <c r="I3190" s="92"/>
      <c r="J3190" s="99"/>
    </row>
    <row r="3191" spans="1:10">
      <c r="A3191" s="84"/>
      <c r="B3191" s="93" t="s">
        <v>231</v>
      </c>
      <c r="C3191" s="94"/>
      <c r="D3191" s="96"/>
      <c r="E3191" s="96"/>
      <c r="F3191" s="96"/>
      <c r="G3191" s="96"/>
      <c r="H3191" s="96"/>
      <c r="I3191" s="96"/>
      <c r="J3191" s="271"/>
    </row>
    <row r="3192" spans="1:10">
      <c r="A3192" s="84"/>
      <c r="B3192" s="93" t="s">
        <v>231</v>
      </c>
      <c r="C3192" s="94"/>
      <c r="D3192" s="96"/>
      <c r="E3192" s="96"/>
      <c r="F3192" s="96"/>
      <c r="G3192" s="96"/>
      <c r="H3192" s="96"/>
      <c r="I3192" s="96"/>
      <c r="J3192" s="271"/>
    </row>
    <row r="3193" spans="1:10">
      <c r="A3193" s="84"/>
      <c r="B3193" s="93" t="s">
        <v>231</v>
      </c>
      <c r="C3193" s="94"/>
      <c r="D3193" s="96"/>
      <c r="E3193" s="96"/>
      <c r="F3193" s="96"/>
      <c r="G3193" s="96"/>
      <c r="H3193" s="96"/>
      <c r="I3193" s="96"/>
      <c r="J3193" s="271"/>
    </row>
    <row r="3194" spans="1:10">
      <c r="A3194" s="84"/>
      <c r="B3194" s="93" t="s">
        <v>231</v>
      </c>
      <c r="C3194" s="94"/>
      <c r="D3194" s="96"/>
      <c r="E3194" s="96"/>
      <c r="F3194" s="96"/>
      <c r="G3194" s="96"/>
      <c r="H3194" s="96"/>
      <c r="I3194" s="96"/>
      <c r="J3194" s="271"/>
    </row>
    <row r="3195" spans="1:10">
      <c r="A3195" s="84"/>
      <c r="B3195" s="93" t="s">
        <v>231</v>
      </c>
      <c r="C3195" s="94"/>
      <c r="D3195" s="96"/>
      <c r="E3195" s="96"/>
      <c r="F3195" s="96"/>
      <c r="G3195" s="96"/>
      <c r="H3195" s="96"/>
      <c r="I3195" s="96"/>
      <c r="J3195" s="271"/>
    </row>
    <row r="3196" spans="1:10">
      <c r="A3196" s="84"/>
      <c r="B3196" s="93" t="s">
        <v>231</v>
      </c>
      <c r="C3196" s="94"/>
      <c r="D3196" s="96"/>
      <c r="E3196" s="96"/>
      <c r="F3196" s="96"/>
      <c r="G3196" s="96"/>
      <c r="H3196" s="96"/>
      <c r="I3196" s="96"/>
      <c r="J3196" s="271"/>
    </row>
    <row r="3197" spans="1:10">
      <c r="A3197" s="84"/>
      <c r="B3197" s="89"/>
      <c r="C3197" s="97"/>
      <c r="D3197" s="91"/>
      <c r="E3197" s="91"/>
      <c r="F3197" s="91"/>
      <c r="G3197" s="91" t="s">
        <v>290</v>
      </c>
      <c r="H3197" s="91"/>
      <c r="I3197" s="91"/>
      <c r="J3197" s="99">
        <f>+SUBTOTAL(9,J3190:J3196)</f>
        <v>0</v>
      </c>
    </row>
    <row r="3198" spans="1:10">
      <c r="A3198" s="84"/>
      <c r="B3198" s="89" t="s">
        <v>291</v>
      </c>
      <c r="C3198" s="97"/>
      <c r="D3198" s="91"/>
      <c r="E3198" s="91"/>
      <c r="F3198" s="91"/>
      <c r="G3198" s="91"/>
      <c r="H3198" s="91"/>
      <c r="I3198" s="91"/>
      <c r="J3198" s="99">
        <f>+SUBTOTAL(9,J3172:J3196)</f>
        <v>36.15</v>
      </c>
    </row>
    <row r="3199" spans="1:10">
      <c r="A3199" s="84"/>
      <c r="B3199" s="89" t="s">
        <v>292</v>
      </c>
      <c r="C3199" s="97"/>
      <c r="D3199" s="91">
        <v>0</v>
      </c>
      <c r="E3199" s="91"/>
      <c r="F3199" s="91"/>
      <c r="G3199" s="91"/>
      <c r="H3199" s="91"/>
      <c r="I3199" s="91"/>
      <c r="J3199" s="99">
        <f>+ROUND(J3198*D3199/100,2)</f>
        <v>0</v>
      </c>
    </row>
    <row r="3200" spans="1:10" ht="14.4" thickBot="1">
      <c r="A3200" s="84"/>
      <c r="B3200" s="89" t="s">
        <v>293</v>
      </c>
      <c r="C3200" s="97"/>
      <c r="D3200" s="91"/>
      <c r="E3200" s="91"/>
      <c r="F3200" s="91"/>
      <c r="G3200" s="91"/>
      <c r="H3200" s="91"/>
      <c r="I3200" s="91"/>
      <c r="J3200" s="99">
        <f>+J3198+ J3199</f>
        <v>36.15</v>
      </c>
    </row>
    <row r="3201" spans="1:10">
      <c r="A3201" s="84"/>
      <c r="B3201" s="85" t="s">
        <v>294</v>
      </c>
      <c r="C3201" s="86"/>
      <c r="D3201" s="88"/>
      <c r="E3201" s="88"/>
      <c r="F3201" s="88" t="s">
        <v>295</v>
      </c>
      <c r="G3201" s="88"/>
      <c r="H3201" s="88"/>
      <c r="I3201" s="88" t="s">
        <v>296</v>
      </c>
      <c r="J3201" s="270"/>
    </row>
    <row r="3202" spans="1:10">
      <c r="A3202" s="84"/>
      <c r="B3202" s="93" t="s">
        <v>297</v>
      </c>
      <c r="C3202" s="84"/>
      <c r="D3202" s="95"/>
      <c r="E3202" s="95"/>
      <c r="F3202" s="95" t="s">
        <v>298</v>
      </c>
      <c r="G3202" s="95"/>
      <c r="H3202" s="95"/>
      <c r="I3202" s="95"/>
      <c r="J3202" s="276"/>
    </row>
    <row r="3203" spans="1:10">
      <c r="A3203" s="84"/>
      <c r="B3203" s="93" t="s">
        <v>299</v>
      </c>
      <c r="C3203" s="84"/>
      <c r="D3203" s="95"/>
      <c r="E3203" s="95"/>
      <c r="F3203" s="95" t="s">
        <v>300</v>
      </c>
      <c r="G3203" s="95"/>
      <c r="H3203" s="95"/>
      <c r="I3203" s="95"/>
      <c r="J3203" s="276"/>
    </row>
    <row r="3204" spans="1:10" ht="14.4" thickBot="1">
      <c r="A3204" s="84"/>
      <c r="B3204" s="100" t="s">
        <v>301</v>
      </c>
      <c r="C3204" s="84"/>
      <c r="D3204" s="95"/>
      <c r="E3204" s="95"/>
      <c r="F3204" s="95"/>
      <c r="G3204" s="95"/>
      <c r="H3204" s="95"/>
      <c r="I3204" s="95"/>
      <c r="J3204" s="277"/>
    </row>
    <row r="3205" spans="1:10">
      <c r="A3205" s="84"/>
      <c r="B3205" s="86"/>
      <c r="C3205" s="86"/>
      <c r="D3205" s="88"/>
      <c r="E3205" s="88"/>
      <c r="F3205" s="88"/>
      <c r="G3205" s="88"/>
      <c r="H3205" s="88"/>
      <c r="I3205" s="88"/>
      <c r="J3205" s="88"/>
    </row>
    <row r="3206" spans="1:10" ht="14.4" thickBot="1">
      <c r="A3206" s="84"/>
      <c r="B3206" s="84"/>
      <c r="C3206" s="84"/>
      <c r="D3206" s="95"/>
      <c r="E3206" s="95"/>
      <c r="F3206" s="95"/>
      <c r="G3206" s="95"/>
      <c r="H3206" s="95"/>
      <c r="I3206" s="95"/>
      <c r="J3206" s="95"/>
    </row>
    <row r="3207" spans="1:10">
      <c r="A3207" s="84"/>
      <c r="B3207" s="85"/>
      <c r="C3207" s="86"/>
      <c r="D3207" s="87" t="s">
        <v>227</v>
      </c>
      <c r="E3207" s="87"/>
      <c r="F3207" s="87"/>
      <c r="G3207" s="88"/>
      <c r="H3207" s="88"/>
      <c r="I3207" s="88"/>
      <c r="J3207" s="270"/>
    </row>
    <row r="3208" spans="1:10">
      <c r="A3208" s="84"/>
      <c r="B3208" s="89" t="s">
        <v>228</v>
      </c>
      <c r="C3208" s="90" t="s">
        <v>92</v>
      </c>
      <c r="D3208" s="91"/>
      <c r="E3208" s="91"/>
      <c r="F3208" s="91"/>
      <c r="G3208" s="91"/>
      <c r="H3208" s="92" t="s">
        <v>229</v>
      </c>
      <c r="I3208" s="91"/>
      <c r="J3208" s="99" t="s">
        <v>230</v>
      </c>
    </row>
    <row r="3209" spans="1:10">
      <c r="A3209" s="84"/>
      <c r="B3209" s="93" t="s">
        <v>231</v>
      </c>
      <c r="C3209" s="94" t="s">
        <v>791</v>
      </c>
      <c r="D3209" s="95"/>
      <c r="E3209" s="95"/>
      <c r="F3209" s="95"/>
      <c r="G3209" s="95"/>
      <c r="H3209" s="96" t="s">
        <v>233</v>
      </c>
      <c r="I3209" s="95"/>
      <c r="J3209" s="271" t="s">
        <v>182</v>
      </c>
    </row>
    <row r="3210" spans="1:10">
      <c r="A3210" s="84"/>
      <c r="B3210" s="89"/>
      <c r="C3210" s="90"/>
      <c r="D3210" s="91"/>
      <c r="E3210" s="92"/>
      <c r="F3210" s="92" t="s">
        <v>235</v>
      </c>
      <c r="G3210" s="92"/>
      <c r="H3210" s="92" t="s">
        <v>236</v>
      </c>
      <c r="I3210" s="92"/>
      <c r="J3210" s="99" t="s">
        <v>237</v>
      </c>
    </row>
    <row r="3211" spans="1:10">
      <c r="A3211" s="84"/>
      <c r="B3211" s="93" t="s">
        <v>228</v>
      </c>
      <c r="C3211" s="94" t="s">
        <v>238</v>
      </c>
      <c r="D3211" s="95"/>
      <c r="E3211" s="96" t="s">
        <v>239</v>
      </c>
      <c r="F3211" s="92" t="s">
        <v>240</v>
      </c>
      <c r="G3211" s="92" t="s">
        <v>241</v>
      </c>
      <c r="H3211" s="92" t="s">
        <v>240</v>
      </c>
      <c r="I3211" s="272" t="s">
        <v>241</v>
      </c>
      <c r="J3211" s="271" t="s">
        <v>242</v>
      </c>
    </row>
    <row r="3212" spans="1:10">
      <c r="A3212" s="84"/>
      <c r="B3212" s="273" t="s">
        <v>792</v>
      </c>
      <c r="C3212" s="90" t="s">
        <v>793</v>
      </c>
      <c r="D3212" s="91"/>
      <c r="E3212" s="92">
        <v>1</v>
      </c>
      <c r="F3212" s="92">
        <v>0.3</v>
      </c>
      <c r="G3212" s="92">
        <v>0.7</v>
      </c>
      <c r="H3212" s="92">
        <v>0.21</v>
      </c>
      <c r="I3212" s="92">
        <v>0.14000000000000001</v>
      </c>
      <c r="J3212" s="99">
        <f>+ROUND(E3212* ((F3212*H3212) + (G3212*I3212)),2)</f>
        <v>0.16</v>
      </c>
    </row>
    <row r="3213" spans="1:10">
      <c r="A3213" s="84"/>
      <c r="B3213" s="274" t="s">
        <v>453</v>
      </c>
      <c r="C3213" s="94" t="s">
        <v>454</v>
      </c>
      <c r="D3213" s="95"/>
      <c r="E3213" s="96">
        <v>1</v>
      </c>
      <c r="F3213" s="96">
        <v>0.3</v>
      </c>
      <c r="G3213" s="96">
        <v>0.7</v>
      </c>
      <c r="H3213" s="96">
        <v>0.21</v>
      </c>
      <c r="I3213" s="96">
        <v>0.14000000000000001</v>
      </c>
      <c r="J3213" s="271">
        <f>+ROUND(E3213* ((F3213*H3213) + (G3213*I3213)),2)</f>
        <v>0.16</v>
      </c>
    </row>
    <row r="3214" spans="1:10">
      <c r="A3214" s="84"/>
      <c r="B3214" s="274" t="s">
        <v>427</v>
      </c>
      <c r="C3214" s="94" t="s">
        <v>428</v>
      </c>
      <c r="D3214" s="95"/>
      <c r="E3214" s="96">
        <v>1</v>
      </c>
      <c r="F3214" s="96">
        <v>0.2</v>
      </c>
      <c r="G3214" s="96">
        <v>0.8</v>
      </c>
      <c r="H3214" s="96">
        <v>152.22</v>
      </c>
      <c r="I3214" s="96">
        <v>58.52</v>
      </c>
      <c r="J3214" s="271">
        <f>+ROUND(E3214* ((F3214*H3214) + (G3214*I3214)),2)</f>
        <v>77.260000000000005</v>
      </c>
    </row>
    <row r="3215" spans="1:10">
      <c r="A3215" s="84"/>
      <c r="B3215" s="93" t="s">
        <v>231</v>
      </c>
      <c r="C3215" s="94"/>
      <c r="D3215" s="95"/>
      <c r="E3215" s="96"/>
      <c r="F3215" s="96"/>
      <c r="G3215" s="96"/>
      <c r="H3215" s="96"/>
      <c r="I3215" s="96"/>
      <c r="J3215" s="271"/>
    </row>
    <row r="3216" spans="1:10">
      <c r="A3216" s="84"/>
      <c r="B3216" s="93" t="s">
        <v>231</v>
      </c>
      <c r="C3216" s="94"/>
      <c r="D3216" s="95"/>
      <c r="E3216" s="96"/>
      <c r="F3216" s="96"/>
      <c r="G3216" s="96"/>
      <c r="H3216" s="96"/>
      <c r="I3216" s="96"/>
      <c r="J3216" s="271"/>
    </row>
    <row r="3217" spans="1:10">
      <c r="A3217" s="84"/>
      <c r="B3217" s="93" t="s">
        <v>231</v>
      </c>
      <c r="C3217" s="94"/>
      <c r="D3217" s="95"/>
      <c r="E3217" s="96"/>
      <c r="F3217" s="96"/>
      <c r="G3217" s="96"/>
      <c r="H3217" s="96"/>
      <c r="I3217" s="96"/>
      <c r="J3217" s="271"/>
    </row>
    <row r="3218" spans="1:10">
      <c r="A3218" s="84"/>
      <c r="B3218" s="93" t="s">
        <v>231</v>
      </c>
      <c r="C3218" s="94"/>
      <c r="D3218" s="95"/>
      <c r="E3218" s="96"/>
      <c r="F3218" s="96"/>
      <c r="G3218" s="96"/>
      <c r="H3218" s="96"/>
      <c r="I3218" s="96"/>
      <c r="J3218" s="271"/>
    </row>
    <row r="3219" spans="1:10">
      <c r="A3219" s="84"/>
      <c r="B3219" s="89"/>
      <c r="C3219" s="97"/>
      <c r="D3219" s="91"/>
      <c r="E3219" s="91"/>
      <c r="F3219" s="91"/>
      <c r="G3219" s="91" t="s">
        <v>249</v>
      </c>
      <c r="H3219" s="91"/>
      <c r="I3219" s="91"/>
      <c r="J3219" s="99">
        <f>+SUBTOTAL(9,J3212:J3218)</f>
        <v>77.58</v>
      </c>
    </row>
    <row r="3220" spans="1:10">
      <c r="A3220" s="84"/>
      <c r="B3220" s="89" t="s">
        <v>228</v>
      </c>
      <c r="C3220" s="90" t="s">
        <v>250</v>
      </c>
      <c r="D3220" s="91"/>
      <c r="E3220" s="91"/>
      <c r="F3220" s="91"/>
      <c r="G3220" s="91"/>
      <c r="H3220" s="92" t="s">
        <v>239</v>
      </c>
      <c r="I3220" s="92" t="s">
        <v>251</v>
      </c>
      <c r="J3220" s="99" t="s">
        <v>252</v>
      </c>
    </row>
    <row r="3221" spans="1:10">
      <c r="A3221" s="84"/>
      <c r="B3221" s="89" t="s">
        <v>461</v>
      </c>
      <c r="C3221" s="90" t="s">
        <v>462</v>
      </c>
      <c r="D3221" s="91"/>
      <c r="E3221" s="91"/>
      <c r="F3221" s="91"/>
      <c r="G3221" s="91"/>
      <c r="H3221" s="92">
        <v>5</v>
      </c>
      <c r="I3221" s="92">
        <v>22.84</v>
      </c>
      <c r="J3221" s="99">
        <f>+ROUND(H3221*I3221,2)</f>
        <v>114.2</v>
      </c>
    </row>
    <row r="3222" spans="1:10">
      <c r="A3222" s="84"/>
      <c r="B3222" s="93" t="s">
        <v>794</v>
      </c>
      <c r="C3222" s="94" t="s">
        <v>795</v>
      </c>
      <c r="D3222" s="95"/>
      <c r="E3222" s="95"/>
      <c r="F3222" s="95"/>
      <c r="G3222" s="95"/>
      <c r="H3222" s="96">
        <v>1</v>
      </c>
      <c r="I3222" s="96">
        <v>25.53</v>
      </c>
      <c r="J3222" s="271">
        <f>+ROUND(H3222*I3222,2)</f>
        <v>25.53</v>
      </c>
    </row>
    <row r="3223" spans="1:10">
      <c r="A3223" s="84"/>
      <c r="B3223" s="93" t="s">
        <v>531</v>
      </c>
      <c r="C3223" s="94" t="s">
        <v>532</v>
      </c>
      <c r="D3223" s="95"/>
      <c r="E3223" s="95"/>
      <c r="F3223" s="95"/>
      <c r="G3223" s="95"/>
      <c r="H3223" s="96">
        <v>1</v>
      </c>
      <c r="I3223" s="96">
        <v>25.37</v>
      </c>
      <c r="J3223" s="271">
        <f>+ROUND(H3223*I3223,2)</f>
        <v>25.37</v>
      </c>
    </row>
    <row r="3224" spans="1:10">
      <c r="A3224" s="84"/>
      <c r="B3224" s="93" t="s">
        <v>488</v>
      </c>
      <c r="C3224" s="94" t="s">
        <v>489</v>
      </c>
      <c r="D3224" s="95"/>
      <c r="E3224" s="95"/>
      <c r="F3224" s="95"/>
      <c r="G3224" s="95"/>
      <c r="H3224" s="96">
        <v>2</v>
      </c>
      <c r="I3224" s="96">
        <v>31.71</v>
      </c>
      <c r="J3224" s="271">
        <f>+ROUND(H3224*I3224,2)</f>
        <v>63.42</v>
      </c>
    </row>
    <row r="3225" spans="1:10">
      <c r="A3225" s="84"/>
      <c r="B3225" s="93" t="s">
        <v>231</v>
      </c>
      <c r="C3225" s="94"/>
      <c r="D3225" s="95"/>
      <c r="E3225" s="95"/>
      <c r="F3225" s="95"/>
      <c r="G3225" s="95"/>
      <c r="H3225" s="96"/>
      <c r="I3225" s="96"/>
      <c r="J3225" s="271"/>
    </row>
    <row r="3226" spans="1:10">
      <c r="A3226" s="84"/>
      <c r="B3226" s="93" t="s">
        <v>231</v>
      </c>
      <c r="C3226" s="94"/>
      <c r="D3226" s="95"/>
      <c r="E3226" s="95"/>
      <c r="F3226" s="95"/>
      <c r="G3226" s="95"/>
      <c r="H3226" s="96"/>
      <c r="I3226" s="96"/>
      <c r="J3226" s="271"/>
    </row>
    <row r="3227" spans="1:10">
      <c r="A3227" s="84"/>
      <c r="B3227" s="93" t="s">
        <v>231</v>
      </c>
      <c r="C3227" s="94"/>
      <c r="D3227" s="95"/>
      <c r="E3227" s="95"/>
      <c r="F3227" s="95"/>
      <c r="G3227" s="95"/>
      <c r="H3227" s="96"/>
      <c r="I3227" s="96"/>
      <c r="J3227" s="271"/>
    </row>
    <row r="3228" spans="1:10">
      <c r="A3228" s="84"/>
      <c r="B3228" s="89"/>
      <c r="C3228" s="97"/>
      <c r="D3228" s="91"/>
      <c r="E3228" s="91"/>
      <c r="F3228" s="91"/>
      <c r="G3228" s="91" t="s">
        <v>255</v>
      </c>
      <c r="H3228" s="91"/>
      <c r="I3228" s="91"/>
      <c r="J3228" s="99">
        <f>+SUBTOTAL(9,J3221:J3227)</f>
        <v>228.52000000000004</v>
      </c>
    </row>
    <row r="3229" spans="1:10">
      <c r="A3229" s="84"/>
      <c r="B3229" s="89"/>
      <c r="C3229" s="97"/>
      <c r="D3229" s="91"/>
      <c r="E3229" s="91"/>
      <c r="F3229" s="91" t="s">
        <v>256</v>
      </c>
      <c r="G3229" s="91"/>
      <c r="H3229" s="91"/>
      <c r="I3229" s="91">
        <v>0</v>
      </c>
      <c r="J3229" s="99">
        <f>+ROUND(I3229*J3228,2)</f>
        <v>0</v>
      </c>
    </row>
    <row r="3230" spans="1:10">
      <c r="A3230" s="84"/>
      <c r="B3230" s="89"/>
      <c r="C3230" s="97"/>
      <c r="D3230" s="91"/>
      <c r="E3230" s="91"/>
      <c r="F3230" s="91" t="s">
        <v>257</v>
      </c>
      <c r="G3230" s="91"/>
      <c r="H3230" s="91"/>
      <c r="I3230" s="91"/>
      <c r="J3230" s="99">
        <f>+SUBTOTAL(9,J3221:J3229)</f>
        <v>228.52000000000004</v>
      </c>
    </row>
    <row r="3231" spans="1:10">
      <c r="A3231" s="84"/>
      <c r="B3231" s="98"/>
      <c r="C3231" s="97"/>
      <c r="D3231" s="91"/>
      <c r="E3231" s="91"/>
      <c r="F3231" s="91"/>
      <c r="G3231" s="91" t="s">
        <v>258</v>
      </c>
      <c r="H3231" s="91"/>
      <c r="I3231" s="91"/>
      <c r="J3231" s="275">
        <f>+SUBTOTAL(9,J3212:J3230)</f>
        <v>306.10000000000002</v>
      </c>
    </row>
    <row r="3232" spans="1:10">
      <c r="A3232" s="84"/>
      <c r="B3232" s="98"/>
      <c r="C3232" s="97" t="s">
        <v>259</v>
      </c>
      <c r="D3232" s="91">
        <v>3.2849999999999997E-2</v>
      </c>
      <c r="E3232" s="91"/>
      <c r="F3232" s="91"/>
      <c r="G3232" s="91" t="s">
        <v>260</v>
      </c>
      <c r="H3232" s="91"/>
      <c r="I3232" s="91"/>
      <c r="J3232" s="275">
        <f>+ROUND(J3231/D3232,2)</f>
        <v>9318.11</v>
      </c>
    </row>
    <row r="3233" spans="1:10">
      <c r="A3233" s="84"/>
      <c r="B3233" s="89" t="s">
        <v>228</v>
      </c>
      <c r="C3233" s="90" t="s">
        <v>261</v>
      </c>
      <c r="D3233" s="91"/>
      <c r="E3233" s="91"/>
      <c r="F3233" s="91"/>
      <c r="G3233" s="92" t="s">
        <v>230</v>
      </c>
      <c r="H3233" s="92" t="s">
        <v>262</v>
      </c>
      <c r="I3233" s="92" t="s">
        <v>263</v>
      </c>
      <c r="J3233" s="99" t="s">
        <v>264</v>
      </c>
    </row>
    <row r="3234" spans="1:10">
      <c r="A3234" s="84"/>
      <c r="B3234" s="89" t="s">
        <v>796</v>
      </c>
      <c r="C3234" s="90" t="s">
        <v>797</v>
      </c>
      <c r="D3234" s="91"/>
      <c r="E3234" s="91"/>
      <c r="F3234" s="91"/>
      <c r="G3234" s="92" t="s">
        <v>267</v>
      </c>
      <c r="H3234" s="92">
        <v>3.44</v>
      </c>
      <c r="I3234" s="92">
        <v>11.414099999999999</v>
      </c>
      <c r="J3234" s="99">
        <f>+ROUND(H3234*I3234,2)</f>
        <v>39.26</v>
      </c>
    </row>
    <row r="3235" spans="1:10">
      <c r="A3235" s="84"/>
      <c r="B3235" s="93" t="s">
        <v>798</v>
      </c>
      <c r="C3235" s="94" t="s">
        <v>799</v>
      </c>
      <c r="D3235" s="95"/>
      <c r="E3235" s="95"/>
      <c r="F3235" s="95"/>
      <c r="G3235" s="96" t="s">
        <v>800</v>
      </c>
      <c r="H3235" s="96">
        <v>51.12</v>
      </c>
      <c r="I3235" s="96">
        <v>1</v>
      </c>
      <c r="J3235" s="271">
        <f>+ROUND(H3235*I3235,2)</f>
        <v>51.12</v>
      </c>
    </row>
    <row r="3236" spans="1:10">
      <c r="A3236" s="84"/>
      <c r="B3236" s="93" t="s">
        <v>669</v>
      </c>
      <c r="C3236" s="94" t="s">
        <v>670</v>
      </c>
      <c r="D3236" s="95"/>
      <c r="E3236" s="95"/>
      <c r="F3236" s="95"/>
      <c r="G3236" s="96" t="s">
        <v>332</v>
      </c>
      <c r="H3236" s="96">
        <v>4.79</v>
      </c>
      <c r="I3236" s="96">
        <v>34</v>
      </c>
      <c r="J3236" s="271">
        <f>+ROUND(H3236*I3236,2)</f>
        <v>162.86000000000001</v>
      </c>
    </row>
    <row r="3237" spans="1:10">
      <c r="A3237" s="84"/>
      <c r="B3237" s="93" t="s">
        <v>801</v>
      </c>
      <c r="C3237" s="94" t="s">
        <v>802</v>
      </c>
      <c r="D3237" s="95"/>
      <c r="E3237" s="95"/>
      <c r="F3237" s="95"/>
      <c r="G3237" s="96" t="s">
        <v>337</v>
      </c>
      <c r="H3237" s="96">
        <v>11.13</v>
      </c>
      <c r="I3237" s="96">
        <v>12.9359</v>
      </c>
      <c r="J3237" s="271">
        <f>+ROUND(H3237*I3237,2)</f>
        <v>143.97999999999999</v>
      </c>
    </row>
    <row r="3238" spans="1:10">
      <c r="A3238" s="84"/>
      <c r="B3238" s="93" t="s">
        <v>803</v>
      </c>
      <c r="C3238" s="94" t="s">
        <v>804</v>
      </c>
      <c r="D3238" s="95"/>
      <c r="E3238" s="95"/>
      <c r="F3238" s="95"/>
      <c r="G3238" s="96" t="s">
        <v>337</v>
      </c>
      <c r="H3238" s="96">
        <v>27.42</v>
      </c>
      <c r="I3238" s="96">
        <v>6.0875000000000004</v>
      </c>
      <c r="J3238" s="271">
        <f>+ROUND(H3238*I3238,2)</f>
        <v>166.92</v>
      </c>
    </row>
    <row r="3239" spans="1:10">
      <c r="A3239" s="84"/>
      <c r="B3239" s="93" t="s">
        <v>231</v>
      </c>
      <c r="C3239" s="94"/>
      <c r="D3239" s="95"/>
      <c r="E3239" s="95"/>
      <c r="F3239" s="95"/>
      <c r="G3239" s="96"/>
      <c r="H3239" s="96"/>
      <c r="I3239" s="96"/>
      <c r="J3239" s="271"/>
    </row>
    <row r="3240" spans="1:10">
      <c r="A3240" s="84"/>
      <c r="B3240" s="93" t="s">
        <v>231</v>
      </c>
      <c r="C3240" s="94"/>
      <c r="D3240" s="95"/>
      <c r="E3240" s="95"/>
      <c r="F3240" s="95"/>
      <c r="G3240" s="96"/>
      <c r="H3240" s="96"/>
      <c r="I3240" s="96"/>
      <c r="J3240" s="271"/>
    </row>
    <row r="3241" spans="1:10">
      <c r="A3241" s="84"/>
      <c r="B3241" s="89"/>
      <c r="C3241" s="97"/>
      <c r="D3241" s="91"/>
      <c r="E3241" s="91"/>
      <c r="F3241" s="91"/>
      <c r="G3241" s="91" t="s">
        <v>275</v>
      </c>
      <c r="H3241" s="91"/>
      <c r="I3241" s="91"/>
      <c r="J3241" s="99">
        <f>+SUBTOTAL(9,J3234:J3240)</f>
        <v>564.14</v>
      </c>
    </row>
    <row r="3242" spans="1:10">
      <c r="A3242" s="84"/>
      <c r="B3242" s="89" t="s">
        <v>228</v>
      </c>
      <c r="C3242" s="90" t="s">
        <v>276</v>
      </c>
      <c r="D3242" s="91"/>
      <c r="E3242" s="91"/>
      <c r="F3242" s="91"/>
      <c r="G3242" s="92" t="s">
        <v>230</v>
      </c>
      <c r="H3242" s="92" t="s">
        <v>262</v>
      </c>
      <c r="I3242" s="92" t="s">
        <v>263</v>
      </c>
      <c r="J3242" s="99" t="s">
        <v>264</v>
      </c>
    </row>
    <row r="3243" spans="1:10">
      <c r="A3243" s="84"/>
      <c r="B3243" s="89" t="s">
        <v>231</v>
      </c>
      <c r="C3243" s="90"/>
      <c r="D3243" s="91"/>
      <c r="E3243" s="91"/>
      <c r="F3243" s="91"/>
      <c r="G3243" s="92"/>
      <c r="H3243" s="92"/>
      <c r="I3243" s="92"/>
      <c r="J3243" s="99"/>
    </row>
    <row r="3244" spans="1:10">
      <c r="A3244" s="84"/>
      <c r="B3244" s="93" t="s">
        <v>231</v>
      </c>
      <c r="C3244" s="94"/>
      <c r="D3244" s="95"/>
      <c r="E3244" s="95"/>
      <c r="F3244" s="95"/>
      <c r="G3244" s="96"/>
      <c r="H3244" s="96"/>
      <c r="I3244" s="96"/>
      <c r="J3244" s="271"/>
    </row>
    <row r="3245" spans="1:10">
      <c r="A3245" s="84"/>
      <c r="B3245" s="93" t="s">
        <v>231</v>
      </c>
      <c r="C3245" s="94"/>
      <c r="D3245" s="95"/>
      <c r="E3245" s="95"/>
      <c r="F3245" s="95"/>
      <c r="G3245" s="96"/>
      <c r="H3245" s="96"/>
      <c r="I3245" s="96"/>
      <c r="J3245" s="271"/>
    </row>
    <row r="3246" spans="1:10">
      <c r="A3246" s="84"/>
      <c r="B3246" s="93" t="s">
        <v>231</v>
      </c>
      <c r="C3246" s="94"/>
      <c r="D3246" s="95"/>
      <c r="E3246" s="95"/>
      <c r="F3246" s="95"/>
      <c r="G3246" s="96"/>
      <c r="H3246" s="96"/>
      <c r="I3246" s="96"/>
      <c r="J3246" s="271"/>
    </row>
    <row r="3247" spans="1:10">
      <c r="A3247" s="84"/>
      <c r="B3247" s="93" t="s">
        <v>231</v>
      </c>
      <c r="C3247" s="94"/>
      <c r="D3247" s="95"/>
      <c r="E3247" s="95"/>
      <c r="F3247" s="95"/>
      <c r="G3247" s="96"/>
      <c r="H3247" s="96"/>
      <c r="I3247" s="96"/>
      <c r="J3247" s="271"/>
    </row>
    <row r="3248" spans="1:10">
      <c r="A3248" s="84"/>
      <c r="B3248" s="89"/>
      <c r="C3248" s="97"/>
      <c r="D3248" s="91"/>
      <c r="E3248" s="91"/>
      <c r="F3248" s="91"/>
      <c r="G3248" s="91" t="s">
        <v>279</v>
      </c>
      <c r="H3248" s="91"/>
      <c r="I3248" s="91"/>
      <c r="J3248" s="99">
        <f>+SUBTOTAL(9,J3243:J3247)</f>
        <v>0</v>
      </c>
    </row>
    <row r="3249" spans="1:10">
      <c r="A3249" s="84"/>
      <c r="B3249" s="89" t="s">
        <v>228</v>
      </c>
      <c r="C3249" s="90" t="s">
        <v>280</v>
      </c>
      <c r="D3249" s="92" t="s">
        <v>281</v>
      </c>
      <c r="E3249" s="92" t="s">
        <v>282</v>
      </c>
      <c r="F3249" s="92" t="s">
        <v>283</v>
      </c>
      <c r="G3249" s="92" t="s">
        <v>284</v>
      </c>
      <c r="H3249" s="92" t="s">
        <v>285</v>
      </c>
      <c r="I3249" s="92" t="s">
        <v>263</v>
      </c>
      <c r="J3249" s="99" t="s">
        <v>286</v>
      </c>
    </row>
    <row r="3250" spans="1:10">
      <c r="A3250" s="84"/>
      <c r="B3250" s="89" t="s">
        <v>231</v>
      </c>
      <c r="C3250" s="90"/>
      <c r="D3250" s="92"/>
      <c r="E3250" s="92"/>
      <c r="F3250" s="92"/>
      <c r="G3250" s="92"/>
      <c r="H3250" s="92"/>
      <c r="I3250" s="92"/>
      <c r="J3250" s="99"/>
    </row>
    <row r="3251" spans="1:10">
      <c r="A3251" s="84"/>
      <c r="B3251" s="93" t="s">
        <v>231</v>
      </c>
      <c r="C3251" s="94"/>
      <c r="D3251" s="96"/>
      <c r="E3251" s="96"/>
      <c r="F3251" s="96"/>
      <c r="G3251" s="96"/>
      <c r="H3251" s="96"/>
      <c r="I3251" s="96"/>
      <c r="J3251" s="271"/>
    </row>
    <row r="3252" spans="1:10">
      <c r="A3252" s="84"/>
      <c r="B3252" s="93" t="s">
        <v>231</v>
      </c>
      <c r="C3252" s="94"/>
      <c r="D3252" s="96"/>
      <c r="E3252" s="96"/>
      <c r="F3252" s="96"/>
      <c r="G3252" s="96"/>
      <c r="H3252" s="96"/>
      <c r="I3252" s="96"/>
      <c r="J3252" s="271"/>
    </row>
    <row r="3253" spans="1:10">
      <c r="A3253" s="84"/>
      <c r="B3253" s="93" t="s">
        <v>231</v>
      </c>
      <c r="C3253" s="94"/>
      <c r="D3253" s="96"/>
      <c r="E3253" s="96"/>
      <c r="F3253" s="96"/>
      <c r="G3253" s="96"/>
      <c r="H3253" s="96"/>
      <c r="I3253" s="96"/>
      <c r="J3253" s="271"/>
    </row>
    <row r="3254" spans="1:10">
      <c r="A3254" s="84"/>
      <c r="B3254" s="93" t="s">
        <v>231</v>
      </c>
      <c r="C3254" s="94"/>
      <c r="D3254" s="96"/>
      <c r="E3254" s="96"/>
      <c r="F3254" s="96"/>
      <c r="G3254" s="96"/>
      <c r="H3254" s="96"/>
      <c r="I3254" s="96"/>
      <c r="J3254" s="271"/>
    </row>
    <row r="3255" spans="1:10">
      <c r="A3255" s="84"/>
      <c r="B3255" s="93" t="s">
        <v>231</v>
      </c>
      <c r="C3255" s="94"/>
      <c r="D3255" s="96"/>
      <c r="E3255" s="96"/>
      <c r="F3255" s="96"/>
      <c r="G3255" s="96"/>
      <c r="H3255" s="96"/>
      <c r="I3255" s="96"/>
      <c r="J3255" s="271"/>
    </row>
    <row r="3256" spans="1:10">
      <c r="A3256" s="84"/>
      <c r="B3256" s="93" t="s">
        <v>231</v>
      </c>
      <c r="C3256" s="94"/>
      <c r="D3256" s="96"/>
      <c r="E3256" s="96"/>
      <c r="F3256" s="96"/>
      <c r="G3256" s="96"/>
      <c r="H3256" s="96"/>
      <c r="I3256" s="96"/>
      <c r="J3256" s="271"/>
    </row>
    <row r="3257" spans="1:10">
      <c r="A3257" s="84"/>
      <c r="B3257" s="89"/>
      <c r="C3257" s="97"/>
      <c r="D3257" s="91"/>
      <c r="E3257" s="91"/>
      <c r="F3257" s="91"/>
      <c r="G3257" s="91" t="s">
        <v>290</v>
      </c>
      <c r="H3257" s="91"/>
      <c r="I3257" s="91"/>
      <c r="J3257" s="99">
        <f>+SUBTOTAL(9,J3250:J3256)</f>
        <v>0</v>
      </c>
    </row>
    <row r="3258" spans="1:10">
      <c r="A3258" s="84"/>
      <c r="B3258" s="89" t="s">
        <v>291</v>
      </c>
      <c r="C3258" s="97"/>
      <c r="D3258" s="91"/>
      <c r="E3258" s="91"/>
      <c r="F3258" s="91"/>
      <c r="G3258" s="91"/>
      <c r="H3258" s="91"/>
      <c r="I3258" s="91"/>
      <c r="J3258" s="99">
        <f>+SUBTOTAL(9,J3232:J3256)</f>
        <v>9882.2500000000018</v>
      </c>
    </row>
    <row r="3259" spans="1:10">
      <c r="A3259" s="84"/>
      <c r="B3259" s="89" t="s">
        <v>292</v>
      </c>
      <c r="C3259" s="97"/>
      <c r="D3259" s="91">
        <v>0</v>
      </c>
      <c r="E3259" s="91"/>
      <c r="F3259" s="91"/>
      <c r="G3259" s="91"/>
      <c r="H3259" s="91"/>
      <c r="I3259" s="91"/>
      <c r="J3259" s="99">
        <f>+ROUND(J3258*D3259/100,2)</f>
        <v>0</v>
      </c>
    </row>
    <row r="3260" spans="1:10" ht="14.4" thickBot="1">
      <c r="A3260" s="84"/>
      <c r="B3260" s="89" t="s">
        <v>293</v>
      </c>
      <c r="C3260" s="97"/>
      <c r="D3260" s="91"/>
      <c r="E3260" s="91"/>
      <c r="F3260" s="91"/>
      <c r="G3260" s="91"/>
      <c r="H3260" s="91"/>
      <c r="I3260" s="91"/>
      <c r="J3260" s="99">
        <f>+J3258+ J3259</f>
        <v>9882.2500000000018</v>
      </c>
    </row>
    <row r="3261" spans="1:10">
      <c r="A3261" s="84"/>
      <c r="B3261" s="85" t="s">
        <v>294</v>
      </c>
      <c r="C3261" s="86"/>
      <c r="D3261" s="88"/>
      <c r="E3261" s="88"/>
      <c r="F3261" s="88" t="s">
        <v>295</v>
      </c>
      <c r="G3261" s="88"/>
      <c r="H3261" s="88"/>
      <c r="I3261" s="88" t="s">
        <v>518</v>
      </c>
      <c r="J3261" s="270"/>
    </row>
    <row r="3262" spans="1:10">
      <c r="A3262" s="84"/>
      <c r="B3262" s="93" t="s">
        <v>297</v>
      </c>
      <c r="C3262" s="84"/>
      <c r="D3262" s="95"/>
      <c r="E3262" s="95"/>
      <c r="F3262" s="95" t="s">
        <v>298</v>
      </c>
      <c r="G3262" s="95"/>
      <c r="H3262" s="95"/>
      <c r="I3262" s="95"/>
      <c r="J3262" s="276"/>
    </row>
    <row r="3263" spans="1:10">
      <c r="A3263" s="84"/>
      <c r="B3263" s="93" t="s">
        <v>299</v>
      </c>
      <c r="C3263" s="84"/>
      <c r="D3263" s="95"/>
      <c r="E3263" s="95"/>
      <c r="F3263" s="95" t="s">
        <v>300</v>
      </c>
      <c r="G3263" s="95"/>
      <c r="H3263" s="95"/>
      <c r="I3263" s="95"/>
      <c r="J3263" s="276"/>
    </row>
    <row r="3264" spans="1:10" ht="14.4" thickBot="1">
      <c r="A3264" s="84"/>
      <c r="B3264" s="100" t="s">
        <v>301</v>
      </c>
      <c r="C3264" s="84"/>
      <c r="D3264" s="95"/>
      <c r="E3264" s="95"/>
      <c r="F3264" s="95"/>
      <c r="G3264" s="95"/>
      <c r="H3264" s="95"/>
      <c r="I3264" s="95"/>
      <c r="J3264" s="277"/>
    </row>
    <row r="3265" spans="1:10">
      <c r="A3265" s="84"/>
      <c r="B3265" s="86"/>
      <c r="C3265" s="86"/>
      <c r="D3265" s="88"/>
      <c r="E3265" s="88"/>
      <c r="F3265" s="88"/>
      <c r="G3265" s="88"/>
      <c r="H3265" s="88"/>
      <c r="I3265" s="88"/>
      <c r="J3265" s="88"/>
    </row>
    <row r="3266" spans="1:10" ht="14.4" thickBot="1">
      <c r="A3266" s="84"/>
      <c r="B3266" s="84"/>
      <c r="C3266" s="84"/>
      <c r="D3266" s="95"/>
      <c r="E3266" s="95"/>
      <c r="F3266" s="95"/>
      <c r="G3266" s="95"/>
      <c r="H3266" s="95"/>
      <c r="I3266" s="95"/>
      <c r="J3266" s="95"/>
    </row>
    <row r="3267" spans="1:10">
      <c r="A3267" s="84"/>
      <c r="B3267" s="85"/>
      <c r="C3267" s="86"/>
      <c r="D3267" s="87" t="s">
        <v>227</v>
      </c>
      <c r="E3267" s="87"/>
      <c r="F3267" s="87"/>
      <c r="G3267" s="88"/>
      <c r="H3267" s="88"/>
      <c r="I3267" s="88"/>
      <c r="J3267" s="270"/>
    </row>
    <row r="3268" spans="1:10">
      <c r="A3268" s="84"/>
      <c r="B3268" s="89" t="s">
        <v>228</v>
      </c>
      <c r="C3268" s="90" t="s">
        <v>92</v>
      </c>
      <c r="D3268" s="91"/>
      <c r="E3268" s="91"/>
      <c r="F3268" s="91"/>
      <c r="G3268" s="91"/>
      <c r="H3268" s="92" t="s">
        <v>229</v>
      </c>
      <c r="I3268" s="91"/>
      <c r="J3268" s="99" t="s">
        <v>230</v>
      </c>
    </row>
    <row r="3269" spans="1:10">
      <c r="A3269" s="84"/>
      <c r="B3269" s="93" t="s">
        <v>231</v>
      </c>
      <c r="C3269" s="94" t="s">
        <v>805</v>
      </c>
      <c r="D3269" s="95"/>
      <c r="E3269" s="95"/>
      <c r="F3269" s="95"/>
      <c r="G3269" s="95"/>
      <c r="H3269" s="96" t="s">
        <v>233</v>
      </c>
      <c r="I3269" s="95"/>
      <c r="J3269" s="271" t="s">
        <v>182</v>
      </c>
    </row>
    <row r="3270" spans="1:10">
      <c r="A3270" s="84"/>
      <c r="B3270" s="89"/>
      <c r="C3270" s="90"/>
      <c r="D3270" s="91"/>
      <c r="E3270" s="92"/>
      <c r="F3270" s="92" t="s">
        <v>235</v>
      </c>
      <c r="G3270" s="92"/>
      <c r="H3270" s="92" t="s">
        <v>236</v>
      </c>
      <c r="I3270" s="92"/>
      <c r="J3270" s="99" t="s">
        <v>237</v>
      </c>
    </row>
    <row r="3271" spans="1:10">
      <c r="A3271" s="84"/>
      <c r="B3271" s="93" t="s">
        <v>228</v>
      </c>
      <c r="C3271" s="94" t="s">
        <v>238</v>
      </c>
      <c r="D3271" s="95"/>
      <c r="E3271" s="96" t="s">
        <v>239</v>
      </c>
      <c r="F3271" s="92" t="s">
        <v>240</v>
      </c>
      <c r="G3271" s="92" t="s">
        <v>241</v>
      </c>
      <c r="H3271" s="92" t="s">
        <v>240</v>
      </c>
      <c r="I3271" s="272" t="s">
        <v>241</v>
      </c>
      <c r="J3271" s="271" t="s">
        <v>242</v>
      </c>
    </row>
    <row r="3272" spans="1:10">
      <c r="A3272" s="84"/>
      <c r="B3272" s="273" t="s">
        <v>806</v>
      </c>
      <c r="C3272" s="90" t="s">
        <v>807</v>
      </c>
      <c r="D3272" s="91"/>
      <c r="E3272" s="92">
        <v>1</v>
      </c>
      <c r="F3272" s="92">
        <v>0.2</v>
      </c>
      <c r="G3272" s="92">
        <v>0.8</v>
      </c>
      <c r="H3272" s="92">
        <v>411.91</v>
      </c>
      <c r="I3272" s="92">
        <v>140.69999999999999</v>
      </c>
      <c r="J3272" s="99">
        <f>+ROUND(E3272* ((F3272*H3272) + (G3272*I3272)),2)</f>
        <v>194.94</v>
      </c>
    </row>
    <row r="3273" spans="1:10">
      <c r="A3273" s="84"/>
      <c r="B3273" s="274" t="s">
        <v>808</v>
      </c>
      <c r="C3273" s="94" t="s">
        <v>809</v>
      </c>
      <c r="D3273" s="95"/>
      <c r="E3273" s="96">
        <v>1</v>
      </c>
      <c r="F3273" s="96">
        <v>0.4</v>
      </c>
      <c r="G3273" s="96">
        <v>0.6</v>
      </c>
      <c r="H3273" s="96">
        <v>115.32</v>
      </c>
      <c r="I3273" s="96">
        <v>54.75</v>
      </c>
      <c r="J3273" s="271">
        <f>+ROUND(E3273* ((F3273*H3273) + (G3273*I3273)),2)</f>
        <v>78.98</v>
      </c>
    </row>
    <row r="3274" spans="1:10">
      <c r="A3274" s="84"/>
      <c r="B3274" s="93" t="s">
        <v>231</v>
      </c>
      <c r="C3274" s="94"/>
      <c r="D3274" s="95"/>
      <c r="E3274" s="96"/>
      <c r="F3274" s="96"/>
      <c r="G3274" s="96"/>
      <c r="H3274" s="96"/>
      <c r="I3274" s="96"/>
      <c r="J3274" s="271"/>
    </row>
    <row r="3275" spans="1:10">
      <c r="A3275" s="84"/>
      <c r="B3275" s="93" t="s">
        <v>231</v>
      </c>
      <c r="C3275" s="94"/>
      <c r="D3275" s="95"/>
      <c r="E3275" s="96"/>
      <c r="F3275" s="96"/>
      <c r="G3275" s="96"/>
      <c r="H3275" s="96"/>
      <c r="I3275" s="96"/>
      <c r="J3275" s="271"/>
    </row>
    <row r="3276" spans="1:10">
      <c r="A3276" s="84"/>
      <c r="B3276" s="93" t="s">
        <v>231</v>
      </c>
      <c r="C3276" s="94"/>
      <c r="D3276" s="95"/>
      <c r="E3276" s="96"/>
      <c r="F3276" s="96"/>
      <c r="G3276" s="96"/>
      <c r="H3276" s="96"/>
      <c r="I3276" s="96"/>
      <c r="J3276" s="271"/>
    </row>
    <row r="3277" spans="1:10">
      <c r="A3277" s="84"/>
      <c r="B3277" s="93" t="s">
        <v>231</v>
      </c>
      <c r="C3277" s="94"/>
      <c r="D3277" s="95"/>
      <c r="E3277" s="96"/>
      <c r="F3277" s="96"/>
      <c r="G3277" s="96"/>
      <c r="H3277" s="96"/>
      <c r="I3277" s="96"/>
      <c r="J3277" s="271"/>
    </row>
    <row r="3278" spans="1:10">
      <c r="A3278" s="84"/>
      <c r="B3278" s="93" t="s">
        <v>231</v>
      </c>
      <c r="C3278" s="94"/>
      <c r="D3278" s="95"/>
      <c r="E3278" s="96"/>
      <c r="F3278" s="96"/>
      <c r="G3278" s="96"/>
      <c r="H3278" s="96"/>
      <c r="I3278" s="96"/>
      <c r="J3278" s="271"/>
    </row>
    <row r="3279" spans="1:10">
      <c r="A3279" s="84"/>
      <c r="B3279" s="89"/>
      <c r="C3279" s="97"/>
      <c r="D3279" s="91"/>
      <c r="E3279" s="91"/>
      <c r="F3279" s="91"/>
      <c r="G3279" s="91" t="s">
        <v>249</v>
      </c>
      <c r="H3279" s="91"/>
      <c r="I3279" s="91"/>
      <c r="J3279" s="99">
        <f>+SUBTOTAL(9,J3272:J3278)</f>
        <v>273.92</v>
      </c>
    </row>
    <row r="3280" spans="1:10">
      <c r="A3280" s="84"/>
      <c r="B3280" s="89" t="s">
        <v>228</v>
      </c>
      <c r="C3280" s="90" t="s">
        <v>250</v>
      </c>
      <c r="D3280" s="91"/>
      <c r="E3280" s="91"/>
      <c r="F3280" s="91"/>
      <c r="G3280" s="91"/>
      <c r="H3280" s="92" t="s">
        <v>239</v>
      </c>
      <c r="I3280" s="92" t="s">
        <v>251</v>
      </c>
      <c r="J3280" s="99" t="s">
        <v>252</v>
      </c>
    </row>
    <row r="3281" spans="1:10">
      <c r="A3281" s="84"/>
      <c r="B3281" s="89" t="s">
        <v>461</v>
      </c>
      <c r="C3281" s="90" t="s">
        <v>462</v>
      </c>
      <c r="D3281" s="91"/>
      <c r="E3281" s="91"/>
      <c r="F3281" s="91"/>
      <c r="G3281" s="91"/>
      <c r="H3281" s="92">
        <v>3</v>
      </c>
      <c r="I3281" s="92">
        <v>22.84</v>
      </c>
      <c r="J3281" s="99">
        <f>+ROUND(H3281*I3281,2)</f>
        <v>68.52</v>
      </c>
    </row>
    <row r="3282" spans="1:10">
      <c r="A3282" s="84"/>
      <c r="B3282" s="93" t="s">
        <v>810</v>
      </c>
      <c r="C3282" s="94" t="s">
        <v>811</v>
      </c>
      <c r="D3282" s="95"/>
      <c r="E3282" s="95"/>
      <c r="F3282" s="95"/>
      <c r="G3282" s="95"/>
      <c r="H3282" s="96">
        <v>3</v>
      </c>
      <c r="I3282" s="96">
        <v>28.9</v>
      </c>
      <c r="J3282" s="271">
        <f>+ROUND(H3282*I3282,2)</f>
        <v>86.7</v>
      </c>
    </row>
    <row r="3283" spans="1:10">
      <c r="A3283" s="84"/>
      <c r="B3283" s="93" t="s">
        <v>231</v>
      </c>
      <c r="C3283" s="94"/>
      <c r="D3283" s="95"/>
      <c r="E3283" s="95"/>
      <c r="F3283" s="95"/>
      <c r="G3283" s="95"/>
      <c r="H3283" s="96"/>
      <c r="I3283" s="96"/>
      <c r="J3283" s="271"/>
    </row>
    <row r="3284" spans="1:10">
      <c r="A3284" s="84"/>
      <c r="B3284" s="93" t="s">
        <v>231</v>
      </c>
      <c r="C3284" s="94"/>
      <c r="D3284" s="95"/>
      <c r="E3284" s="95"/>
      <c r="F3284" s="95"/>
      <c r="G3284" s="95"/>
      <c r="H3284" s="96"/>
      <c r="I3284" s="96"/>
      <c r="J3284" s="271"/>
    </row>
    <row r="3285" spans="1:10">
      <c r="A3285" s="84"/>
      <c r="B3285" s="93" t="s">
        <v>231</v>
      </c>
      <c r="C3285" s="94"/>
      <c r="D3285" s="95"/>
      <c r="E3285" s="95"/>
      <c r="F3285" s="95"/>
      <c r="G3285" s="95"/>
      <c r="H3285" s="96"/>
      <c r="I3285" s="96"/>
      <c r="J3285" s="271"/>
    </row>
    <row r="3286" spans="1:10">
      <c r="A3286" s="84"/>
      <c r="B3286" s="93" t="s">
        <v>231</v>
      </c>
      <c r="C3286" s="94"/>
      <c r="D3286" s="95"/>
      <c r="E3286" s="95"/>
      <c r="F3286" s="95"/>
      <c r="G3286" s="95"/>
      <c r="H3286" s="96"/>
      <c r="I3286" s="96"/>
      <c r="J3286" s="271"/>
    </row>
    <row r="3287" spans="1:10">
      <c r="A3287" s="84"/>
      <c r="B3287" s="93" t="s">
        <v>231</v>
      </c>
      <c r="C3287" s="94"/>
      <c r="D3287" s="95"/>
      <c r="E3287" s="95"/>
      <c r="F3287" s="95"/>
      <c r="G3287" s="95"/>
      <c r="H3287" s="96"/>
      <c r="I3287" s="96"/>
      <c r="J3287" s="271"/>
    </row>
    <row r="3288" spans="1:10">
      <c r="A3288" s="84"/>
      <c r="B3288" s="89"/>
      <c r="C3288" s="97"/>
      <c r="D3288" s="91"/>
      <c r="E3288" s="91"/>
      <c r="F3288" s="91"/>
      <c r="G3288" s="91" t="s">
        <v>255</v>
      </c>
      <c r="H3288" s="91"/>
      <c r="I3288" s="91"/>
      <c r="J3288" s="99">
        <f>+SUBTOTAL(9,J3281:J3287)</f>
        <v>155.22</v>
      </c>
    </row>
    <row r="3289" spans="1:10">
      <c r="A3289" s="84"/>
      <c r="B3289" s="89"/>
      <c r="C3289" s="97"/>
      <c r="D3289" s="91"/>
      <c r="E3289" s="91"/>
      <c r="F3289" s="91" t="s">
        <v>256</v>
      </c>
      <c r="G3289" s="91"/>
      <c r="H3289" s="91"/>
      <c r="I3289" s="91">
        <v>0</v>
      </c>
      <c r="J3289" s="99">
        <f>+ROUND(I3289*J3288,2)</f>
        <v>0</v>
      </c>
    </row>
    <row r="3290" spans="1:10">
      <c r="A3290" s="84"/>
      <c r="B3290" s="89"/>
      <c r="C3290" s="97"/>
      <c r="D3290" s="91"/>
      <c r="E3290" s="91"/>
      <c r="F3290" s="91" t="s">
        <v>257</v>
      </c>
      <c r="G3290" s="91"/>
      <c r="H3290" s="91"/>
      <c r="I3290" s="91"/>
      <c r="J3290" s="99">
        <f>+SUBTOTAL(9,J3281:J3289)</f>
        <v>155.22</v>
      </c>
    </row>
    <row r="3291" spans="1:10">
      <c r="A3291" s="84"/>
      <c r="B3291" s="98"/>
      <c r="C3291" s="97"/>
      <c r="D3291" s="91"/>
      <c r="E3291" s="91"/>
      <c r="F3291" s="91"/>
      <c r="G3291" s="91" t="s">
        <v>258</v>
      </c>
      <c r="H3291" s="91"/>
      <c r="I3291" s="91"/>
      <c r="J3291" s="275">
        <f>+SUBTOTAL(9,J3272:J3290)</f>
        <v>429.14</v>
      </c>
    </row>
    <row r="3292" spans="1:10">
      <c r="A3292" s="84"/>
      <c r="B3292" s="98"/>
      <c r="C3292" s="97" t="s">
        <v>259</v>
      </c>
      <c r="D3292" s="91">
        <v>3.2849999999999997E-2</v>
      </c>
      <c r="E3292" s="91"/>
      <c r="F3292" s="91"/>
      <c r="G3292" s="91" t="s">
        <v>260</v>
      </c>
      <c r="H3292" s="91"/>
      <c r="I3292" s="91"/>
      <c r="J3292" s="275">
        <f>+ROUND(J3291/D3292,2)</f>
        <v>13063.62</v>
      </c>
    </row>
    <row r="3293" spans="1:10">
      <c r="A3293" s="84"/>
      <c r="B3293" s="89" t="s">
        <v>228</v>
      </c>
      <c r="C3293" s="90" t="s">
        <v>261</v>
      </c>
      <c r="D3293" s="91"/>
      <c r="E3293" s="91"/>
      <c r="F3293" s="91"/>
      <c r="G3293" s="92" t="s">
        <v>230</v>
      </c>
      <c r="H3293" s="92" t="s">
        <v>262</v>
      </c>
      <c r="I3293" s="92" t="s">
        <v>263</v>
      </c>
      <c r="J3293" s="99" t="s">
        <v>264</v>
      </c>
    </row>
    <row r="3294" spans="1:10">
      <c r="A3294" s="84"/>
      <c r="B3294" s="89" t="s">
        <v>812</v>
      </c>
      <c r="C3294" s="90" t="s">
        <v>813</v>
      </c>
      <c r="D3294" s="91"/>
      <c r="E3294" s="91"/>
      <c r="F3294" s="91"/>
      <c r="G3294" s="92" t="s">
        <v>267</v>
      </c>
      <c r="H3294" s="92">
        <v>3612.76</v>
      </c>
      <c r="I3294" s="92">
        <v>0.5</v>
      </c>
      <c r="J3294" s="99">
        <f>+ROUND(H3294*I3294,2)</f>
        <v>1806.38</v>
      </c>
    </row>
    <row r="3295" spans="1:10">
      <c r="A3295" s="84"/>
      <c r="B3295" s="93" t="s">
        <v>814</v>
      </c>
      <c r="C3295" s="94" t="s">
        <v>815</v>
      </c>
      <c r="D3295" s="95"/>
      <c r="E3295" s="95"/>
      <c r="F3295" s="95"/>
      <c r="G3295" s="96" t="s">
        <v>800</v>
      </c>
      <c r="H3295" s="96">
        <v>180.64</v>
      </c>
      <c r="I3295" s="96">
        <v>1</v>
      </c>
      <c r="J3295" s="271">
        <f>+ROUND(H3295*I3295,2)</f>
        <v>180.64</v>
      </c>
    </row>
    <row r="3296" spans="1:10">
      <c r="A3296" s="84"/>
      <c r="B3296" s="93" t="s">
        <v>231</v>
      </c>
      <c r="C3296" s="94"/>
      <c r="D3296" s="95"/>
      <c r="E3296" s="95"/>
      <c r="F3296" s="95"/>
      <c r="G3296" s="96"/>
      <c r="H3296" s="96"/>
      <c r="I3296" s="96"/>
      <c r="J3296" s="271"/>
    </row>
    <row r="3297" spans="1:10">
      <c r="A3297" s="84"/>
      <c r="B3297" s="93" t="s">
        <v>231</v>
      </c>
      <c r="C3297" s="94"/>
      <c r="D3297" s="95"/>
      <c r="E3297" s="95"/>
      <c r="F3297" s="95"/>
      <c r="G3297" s="96"/>
      <c r="H3297" s="96"/>
      <c r="I3297" s="96"/>
      <c r="J3297" s="271"/>
    </row>
    <row r="3298" spans="1:10">
      <c r="A3298" s="84"/>
      <c r="B3298" s="93" t="s">
        <v>231</v>
      </c>
      <c r="C3298" s="94"/>
      <c r="D3298" s="95"/>
      <c r="E3298" s="95"/>
      <c r="F3298" s="95"/>
      <c r="G3298" s="96"/>
      <c r="H3298" s="96"/>
      <c r="I3298" s="96"/>
      <c r="J3298" s="271"/>
    </row>
    <row r="3299" spans="1:10">
      <c r="A3299" s="84"/>
      <c r="B3299" s="93" t="s">
        <v>231</v>
      </c>
      <c r="C3299" s="94"/>
      <c r="D3299" s="95"/>
      <c r="E3299" s="95"/>
      <c r="F3299" s="95"/>
      <c r="G3299" s="96"/>
      <c r="H3299" s="96"/>
      <c r="I3299" s="96"/>
      <c r="J3299" s="271"/>
    </row>
    <row r="3300" spans="1:10">
      <c r="A3300" s="84"/>
      <c r="B3300" s="93" t="s">
        <v>231</v>
      </c>
      <c r="C3300" s="94"/>
      <c r="D3300" s="95"/>
      <c r="E3300" s="95"/>
      <c r="F3300" s="95"/>
      <c r="G3300" s="96"/>
      <c r="H3300" s="96"/>
      <c r="I3300" s="96"/>
      <c r="J3300" s="271"/>
    </row>
    <row r="3301" spans="1:10">
      <c r="A3301" s="84"/>
      <c r="B3301" s="89"/>
      <c r="C3301" s="97"/>
      <c r="D3301" s="91"/>
      <c r="E3301" s="91"/>
      <c r="F3301" s="91"/>
      <c r="G3301" s="91" t="s">
        <v>275</v>
      </c>
      <c r="H3301" s="91"/>
      <c r="I3301" s="91"/>
      <c r="J3301" s="99">
        <f>+SUBTOTAL(9,J3294:J3300)</f>
        <v>1987.02</v>
      </c>
    </row>
    <row r="3302" spans="1:10">
      <c r="A3302" s="84"/>
      <c r="B3302" s="89" t="s">
        <v>228</v>
      </c>
      <c r="C3302" s="90" t="s">
        <v>276</v>
      </c>
      <c r="D3302" s="91"/>
      <c r="E3302" s="91"/>
      <c r="F3302" s="91"/>
      <c r="G3302" s="92" t="s">
        <v>230</v>
      </c>
      <c r="H3302" s="92" t="s">
        <v>262</v>
      </c>
      <c r="I3302" s="92" t="s">
        <v>263</v>
      </c>
      <c r="J3302" s="99" t="s">
        <v>264</v>
      </c>
    </row>
    <row r="3303" spans="1:10">
      <c r="A3303" s="84"/>
      <c r="B3303" s="89" t="s">
        <v>231</v>
      </c>
      <c r="C3303" s="90"/>
      <c r="D3303" s="91"/>
      <c r="E3303" s="91"/>
      <c r="F3303" s="91"/>
      <c r="G3303" s="92"/>
      <c r="H3303" s="92"/>
      <c r="I3303" s="92"/>
      <c r="J3303" s="99"/>
    </row>
    <row r="3304" spans="1:10">
      <c r="A3304" s="84"/>
      <c r="B3304" s="93" t="s">
        <v>231</v>
      </c>
      <c r="C3304" s="94"/>
      <c r="D3304" s="95"/>
      <c r="E3304" s="95"/>
      <c r="F3304" s="95"/>
      <c r="G3304" s="96"/>
      <c r="H3304" s="96"/>
      <c r="I3304" s="96"/>
      <c r="J3304" s="271"/>
    </row>
    <row r="3305" spans="1:10">
      <c r="A3305" s="84"/>
      <c r="B3305" s="93" t="s">
        <v>231</v>
      </c>
      <c r="C3305" s="94"/>
      <c r="D3305" s="95"/>
      <c r="E3305" s="95"/>
      <c r="F3305" s="95"/>
      <c r="G3305" s="96"/>
      <c r="H3305" s="96"/>
      <c r="I3305" s="96"/>
      <c r="J3305" s="271"/>
    </row>
    <row r="3306" spans="1:10">
      <c r="A3306" s="84"/>
      <c r="B3306" s="93" t="s">
        <v>231</v>
      </c>
      <c r="C3306" s="94"/>
      <c r="D3306" s="95"/>
      <c r="E3306" s="95"/>
      <c r="F3306" s="95"/>
      <c r="G3306" s="96"/>
      <c r="H3306" s="96"/>
      <c r="I3306" s="96"/>
      <c r="J3306" s="271"/>
    </row>
    <row r="3307" spans="1:10">
      <c r="A3307" s="84"/>
      <c r="B3307" s="93" t="s">
        <v>231</v>
      </c>
      <c r="C3307" s="94"/>
      <c r="D3307" s="95"/>
      <c r="E3307" s="95"/>
      <c r="F3307" s="95"/>
      <c r="G3307" s="96"/>
      <c r="H3307" s="96"/>
      <c r="I3307" s="96"/>
      <c r="J3307" s="271"/>
    </row>
    <row r="3308" spans="1:10">
      <c r="A3308" s="84"/>
      <c r="B3308" s="89"/>
      <c r="C3308" s="97"/>
      <c r="D3308" s="91"/>
      <c r="E3308" s="91"/>
      <c r="F3308" s="91"/>
      <c r="G3308" s="91" t="s">
        <v>279</v>
      </c>
      <c r="H3308" s="91"/>
      <c r="I3308" s="91"/>
      <c r="J3308" s="99">
        <f>+SUBTOTAL(9,J3303:J3307)</f>
        <v>0</v>
      </c>
    </row>
    <row r="3309" spans="1:10">
      <c r="A3309" s="84"/>
      <c r="B3309" s="89" t="s">
        <v>228</v>
      </c>
      <c r="C3309" s="90" t="s">
        <v>280</v>
      </c>
      <c r="D3309" s="92" t="s">
        <v>281</v>
      </c>
      <c r="E3309" s="92" t="s">
        <v>282</v>
      </c>
      <c r="F3309" s="92" t="s">
        <v>283</v>
      </c>
      <c r="G3309" s="92" t="s">
        <v>284</v>
      </c>
      <c r="H3309" s="92" t="s">
        <v>285</v>
      </c>
      <c r="I3309" s="92" t="s">
        <v>263</v>
      </c>
      <c r="J3309" s="99" t="s">
        <v>286</v>
      </c>
    </row>
    <row r="3310" spans="1:10">
      <c r="A3310" s="84"/>
      <c r="B3310" s="89" t="s">
        <v>231</v>
      </c>
      <c r="C3310" s="90"/>
      <c r="D3310" s="92"/>
      <c r="E3310" s="92"/>
      <c r="F3310" s="92"/>
      <c r="G3310" s="92"/>
      <c r="H3310" s="92"/>
      <c r="I3310" s="92"/>
      <c r="J3310" s="99"/>
    </row>
    <row r="3311" spans="1:10">
      <c r="A3311" s="84"/>
      <c r="B3311" s="93" t="s">
        <v>231</v>
      </c>
      <c r="C3311" s="94"/>
      <c r="D3311" s="96"/>
      <c r="E3311" s="96"/>
      <c r="F3311" s="96"/>
      <c r="G3311" s="96"/>
      <c r="H3311" s="96"/>
      <c r="I3311" s="96"/>
      <c r="J3311" s="271"/>
    </row>
    <row r="3312" spans="1:10">
      <c r="A3312" s="84"/>
      <c r="B3312" s="93" t="s">
        <v>231</v>
      </c>
      <c r="C3312" s="94"/>
      <c r="D3312" s="96"/>
      <c r="E3312" s="96"/>
      <c r="F3312" s="96"/>
      <c r="G3312" s="96"/>
      <c r="H3312" s="96"/>
      <c r="I3312" s="96"/>
      <c r="J3312" s="271"/>
    </row>
    <row r="3313" spans="1:10">
      <c r="A3313" s="84"/>
      <c r="B3313" s="93" t="s">
        <v>231</v>
      </c>
      <c r="C3313" s="94"/>
      <c r="D3313" s="96"/>
      <c r="E3313" s="96"/>
      <c r="F3313" s="96"/>
      <c r="G3313" s="96"/>
      <c r="H3313" s="96"/>
      <c r="I3313" s="96"/>
      <c r="J3313" s="271"/>
    </row>
    <row r="3314" spans="1:10">
      <c r="A3314" s="84"/>
      <c r="B3314" s="93" t="s">
        <v>231</v>
      </c>
      <c r="C3314" s="94"/>
      <c r="D3314" s="96"/>
      <c r="E3314" s="96"/>
      <c r="F3314" s="96"/>
      <c r="G3314" s="96"/>
      <c r="H3314" s="96"/>
      <c r="I3314" s="96"/>
      <c r="J3314" s="271"/>
    </row>
    <row r="3315" spans="1:10">
      <c r="A3315" s="84"/>
      <c r="B3315" s="93" t="s">
        <v>231</v>
      </c>
      <c r="C3315" s="94"/>
      <c r="D3315" s="96"/>
      <c r="E3315" s="96"/>
      <c r="F3315" s="96"/>
      <c r="G3315" s="96"/>
      <c r="H3315" s="96"/>
      <c r="I3315" s="96"/>
      <c r="J3315" s="271"/>
    </row>
    <row r="3316" spans="1:10">
      <c r="A3316" s="84"/>
      <c r="B3316" s="93" t="s">
        <v>231</v>
      </c>
      <c r="C3316" s="94"/>
      <c r="D3316" s="96"/>
      <c r="E3316" s="96"/>
      <c r="F3316" s="96"/>
      <c r="G3316" s="96"/>
      <c r="H3316" s="96"/>
      <c r="I3316" s="96"/>
      <c r="J3316" s="271"/>
    </row>
    <row r="3317" spans="1:10">
      <c r="A3317" s="84"/>
      <c r="B3317" s="89"/>
      <c r="C3317" s="97"/>
      <c r="D3317" s="91"/>
      <c r="E3317" s="91"/>
      <c r="F3317" s="91"/>
      <c r="G3317" s="91" t="s">
        <v>290</v>
      </c>
      <c r="H3317" s="91"/>
      <c r="I3317" s="91"/>
      <c r="J3317" s="99">
        <f>+SUBTOTAL(9,J3310:J3316)</f>
        <v>0</v>
      </c>
    </row>
    <row r="3318" spans="1:10">
      <c r="A3318" s="84"/>
      <c r="B3318" s="89" t="s">
        <v>291</v>
      </c>
      <c r="C3318" s="97"/>
      <c r="D3318" s="91"/>
      <c r="E3318" s="91"/>
      <c r="F3318" s="91"/>
      <c r="G3318" s="91"/>
      <c r="H3318" s="91"/>
      <c r="I3318" s="91"/>
      <c r="J3318" s="99">
        <f>+SUBTOTAL(9,J3292:J3316)</f>
        <v>15050.64</v>
      </c>
    </row>
    <row r="3319" spans="1:10">
      <c r="A3319" s="84"/>
      <c r="B3319" s="89" t="s">
        <v>292</v>
      </c>
      <c r="C3319" s="97"/>
      <c r="D3319" s="91">
        <v>0</v>
      </c>
      <c r="E3319" s="91"/>
      <c r="F3319" s="91"/>
      <c r="G3319" s="91"/>
      <c r="H3319" s="91"/>
      <c r="I3319" s="91"/>
      <c r="J3319" s="99">
        <f>+ROUND(J3318*D3319/100,2)</f>
        <v>0</v>
      </c>
    </row>
    <row r="3320" spans="1:10" ht="14.4" thickBot="1">
      <c r="A3320" s="84"/>
      <c r="B3320" s="89" t="s">
        <v>293</v>
      </c>
      <c r="C3320" s="97"/>
      <c r="D3320" s="91"/>
      <c r="E3320" s="91"/>
      <c r="F3320" s="91"/>
      <c r="G3320" s="91"/>
      <c r="H3320" s="91"/>
      <c r="I3320" s="91"/>
      <c r="J3320" s="99">
        <f>+J3318+ J3319</f>
        <v>15050.64</v>
      </c>
    </row>
    <row r="3321" spans="1:10">
      <c r="A3321" s="84"/>
      <c r="B3321" s="85" t="s">
        <v>294</v>
      </c>
      <c r="C3321" s="86"/>
      <c r="D3321" s="88"/>
      <c r="E3321" s="88"/>
      <c r="F3321" s="88" t="s">
        <v>295</v>
      </c>
      <c r="G3321" s="88"/>
      <c r="H3321" s="88"/>
      <c r="I3321" s="88" t="s">
        <v>518</v>
      </c>
      <c r="J3321" s="270"/>
    </row>
    <row r="3322" spans="1:10">
      <c r="A3322" s="84"/>
      <c r="B3322" s="93" t="s">
        <v>297</v>
      </c>
      <c r="C3322" s="84"/>
      <c r="D3322" s="95"/>
      <c r="E3322" s="95"/>
      <c r="F3322" s="95" t="s">
        <v>298</v>
      </c>
      <c r="G3322" s="95"/>
      <c r="H3322" s="95"/>
      <c r="I3322" s="95"/>
      <c r="J3322" s="276"/>
    </row>
    <row r="3323" spans="1:10">
      <c r="A3323" s="84"/>
      <c r="B3323" s="93" t="s">
        <v>299</v>
      </c>
      <c r="C3323" s="84"/>
      <c r="D3323" s="95"/>
      <c r="E3323" s="95"/>
      <c r="F3323" s="95" t="s">
        <v>300</v>
      </c>
      <c r="G3323" s="95"/>
      <c r="H3323" s="95"/>
      <c r="I3323" s="95"/>
      <c r="J3323" s="276"/>
    </row>
    <row r="3324" spans="1:10" ht="14.4" thickBot="1">
      <c r="A3324" s="84"/>
      <c r="B3324" s="100" t="s">
        <v>301</v>
      </c>
      <c r="C3324" s="84"/>
      <c r="D3324" s="95"/>
      <c r="E3324" s="95"/>
      <c r="F3324" s="95"/>
      <c r="G3324" s="95"/>
      <c r="H3324" s="95"/>
      <c r="I3324" s="95"/>
      <c r="J3324" s="277"/>
    </row>
    <row r="3325" spans="1:10">
      <c r="A3325" s="84"/>
      <c r="B3325" s="86"/>
      <c r="C3325" s="86"/>
      <c r="D3325" s="88"/>
      <c r="E3325" s="88"/>
      <c r="F3325" s="88"/>
      <c r="G3325" s="88"/>
      <c r="H3325" s="88"/>
      <c r="I3325" s="88"/>
      <c r="J3325" s="88"/>
    </row>
    <row r="3326" spans="1:10">
      <c r="A3326" s="84"/>
      <c r="B3326" s="84"/>
      <c r="C3326" s="84"/>
      <c r="D3326" s="95"/>
      <c r="E3326" s="95"/>
      <c r="F3326" s="95"/>
      <c r="G3326" s="95"/>
      <c r="H3326" s="95"/>
      <c r="I3326" s="95"/>
      <c r="J3326" s="95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2EE24-92E3-4115-8246-0133C61C71DA}">
  <sheetPr>
    <tabColor rgb="FF00B050"/>
  </sheetPr>
  <dimension ref="A1:AZ353"/>
  <sheetViews>
    <sheetView showGridLines="0" zoomScale="80" zoomScaleNormal="80" workbookViewId="0"/>
  </sheetViews>
  <sheetFormatPr defaultRowHeight="13.8" outlineLevelRow="3"/>
  <cols>
    <col min="1" max="1" width="3.625" customWidth="1"/>
    <col min="3" max="3" width="109" customWidth="1"/>
    <col min="5" max="5" width="16.125" customWidth="1"/>
    <col min="6" max="9" width="15.75" customWidth="1"/>
    <col min="10" max="34" width="15.75" bestFit="1" customWidth="1"/>
    <col min="35" max="35" width="15.75" customWidth="1"/>
    <col min="37" max="37" width="14.75" bestFit="1" customWidth="1"/>
  </cols>
  <sheetData>
    <row r="1" spans="2:35" s="1" customFormat="1" ht="18">
      <c r="B1" s="103"/>
      <c r="C1" s="104"/>
    </row>
    <row r="2" spans="2:35" s="1" customFormat="1">
      <c r="C2" s="34"/>
    </row>
    <row r="3" spans="2:35" s="1" customFormat="1">
      <c r="C3" s="34"/>
      <c r="F3"/>
    </row>
    <row r="4" spans="2:35" s="1" customFormat="1">
      <c r="C4" s="34"/>
      <c r="F4"/>
    </row>
    <row r="5" spans="2:35" s="1" customFormat="1">
      <c r="B5" s="105"/>
      <c r="C5" s="106"/>
      <c r="D5" s="105"/>
    </row>
    <row r="6" spans="2:35" s="1" customFormat="1">
      <c r="C6" s="34"/>
    </row>
    <row r="7" spans="2:35" s="1" customFormat="1" ht="49.95" customHeight="1">
      <c r="B7" s="359" t="s">
        <v>0</v>
      </c>
      <c r="C7" s="360"/>
      <c r="D7" s="361"/>
    </row>
    <row r="8" spans="2:35" s="1" customFormat="1" ht="15.6">
      <c r="B8" s="107" t="s">
        <v>1</v>
      </c>
      <c r="C8" s="108"/>
      <c r="D8" s="109"/>
    </row>
    <row r="9" spans="2:35" s="1" customFormat="1" ht="15.6">
      <c r="B9" s="110" t="s">
        <v>2</v>
      </c>
      <c r="C9" s="111"/>
      <c r="D9" s="112"/>
    </row>
    <row r="10" spans="2:35" s="1" customFormat="1" ht="15.6">
      <c r="B10" s="113"/>
      <c r="C10" s="114"/>
      <c r="D10" s="113"/>
    </row>
    <row r="11" spans="2:35" s="1" customFormat="1" ht="18">
      <c r="B11" s="115" t="s">
        <v>816</v>
      </c>
      <c r="C11" s="116"/>
      <c r="D11" s="117"/>
    </row>
    <row r="12" spans="2:35" s="1" customFormat="1" ht="18">
      <c r="B12" s="118" t="s">
        <v>1016</v>
      </c>
      <c r="C12" s="119"/>
      <c r="D12" s="120"/>
    </row>
    <row r="13" spans="2:35" s="1" customFormat="1" ht="18">
      <c r="B13" s="121" t="s">
        <v>4</v>
      </c>
      <c r="C13" s="122"/>
      <c r="D13" s="123"/>
    </row>
    <row r="14" spans="2:35" s="1" customFormat="1">
      <c r="E14" s="1">
        <v>2024</v>
      </c>
      <c r="F14" s="1">
        <f>E14+1</f>
        <v>2025</v>
      </c>
      <c r="G14" s="1">
        <f t="shared" ref="G14:AH14" si="0">F14+1</f>
        <v>2026</v>
      </c>
      <c r="H14" s="1">
        <f t="shared" si="0"/>
        <v>2027</v>
      </c>
      <c r="I14" s="1">
        <f t="shared" si="0"/>
        <v>2028</v>
      </c>
      <c r="J14" s="1">
        <f t="shared" si="0"/>
        <v>2029</v>
      </c>
      <c r="K14" s="1">
        <f t="shared" si="0"/>
        <v>2030</v>
      </c>
      <c r="L14" s="1">
        <f t="shared" si="0"/>
        <v>2031</v>
      </c>
      <c r="M14" s="1">
        <f t="shared" si="0"/>
        <v>2032</v>
      </c>
      <c r="N14" s="1">
        <f t="shared" si="0"/>
        <v>2033</v>
      </c>
      <c r="O14" s="1">
        <f t="shared" si="0"/>
        <v>2034</v>
      </c>
      <c r="P14" s="1">
        <f t="shared" si="0"/>
        <v>2035</v>
      </c>
      <c r="Q14" s="1">
        <f t="shared" si="0"/>
        <v>2036</v>
      </c>
      <c r="R14" s="1">
        <f t="shared" si="0"/>
        <v>2037</v>
      </c>
      <c r="S14" s="1">
        <f t="shared" si="0"/>
        <v>2038</v>
      </c>
      <c r="T14" s="1">
        <f t="shared" si="0"/>
        <v>2039</v>
      </c>
      <c r="U14" s="1">
        <f t="shared" si="0"/>
        <v>2040</v>
      </c>
      <c r="V14" s="1">
        <f t="shared" si="0"/>
        <v>2041</v>
      </c>
      <c r="W14" s="1">
        <f t="shared" si="0"/>
        <v>2042</v>
      </c>
      <c r="X14" s="1">
        <f t="shared" si="0"/>
        <v>2043</v>
      </c>
      <c r="Y14" s="1">
        <f t="shared" si="0"/>
        <v>2044</v>
      </c>
      <c r="Z14" s="1">
        <f t="shared" si="0"/>
        <v>2045</v>
      </c>
      <c r="AA14" s="1">
        <f t="shared" si="0"/>
        <v>2046</v>
      </c>
      <c r="AB14" s="1">
        <f t="shared" si="0"/>
        <v>2047</v>
      </c>
      <c r="AC14" s="1">
        <f t="shared" si="0"/>
        <v>2048</v>
      </c>
      <c r="AD14" s="1">
        <f t="shared" si="0"/>
        <v>2049</v>
      </c>
      <c r="AE14" s="1">
        <f t="shared" si="0"/>
        <v>2050</v>
      </c>
      <c r="AF14" s="1">
        <f t="shared" si="0"/>
        <v>2051</v>
      </c>
      <c r="AG14" s="1">
        <f t="shared" si="0"/>
        <v>2052</v>
      </c>
      <c r="AH14" s="1">
        <f t="shared" si="0"/>
        <v>2053</v>
      </c>
    </row>
    <row r="15" spans="2:35" ht="14.4">
      <c r="B15" s="393" t="s">
        <v>36</v>
      </c>
      <c r="C15" s="393" t="s">
        <v>817</v>
      </c>
      <c r="D15" s="394" t="s">
        <v>89</v>
      </c>
      <c r="E15" s="397" t="s">
        <v>818</v>
      </c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  <c r="Q15" s="397"/>
      <c r="R15" s="397"/>
      <c r="S15" s="397"/>
      <c r="T15" s="397"/>
      <c r="U15" s="397"/>
      <c r="V15" s="397"/>
      <c r="W15" s="397"/>
      <c r="X15" s="397"/>
      <c r="Y15" s="397"/>
      <c r="Z15" s="397"/>
      <c r="AA15" s="397"/>
      <c r="AB15" s="397"/>
      <c r="AC15" s="397"/>
      <c r="AD15" s="397"/>
      <c r="AE15" s="397"/>
      <c r="AF15" s="397"/>
      <c r="AG15" s="397"/>
      <c r="AH15" s="397"/>
      <c r="AI15" s="3"/>
    </row>
    <row r="16" spans="2:35" ht="14.4">
      <c r="B16" s="393"/>
      <c r="C16" s="393"/>
      <c r="D16" s="395"/>
      <c r="E16" s="398">
        <v>1</v>
      </c>
      <c r="F16" s="398">
        <v>2</v>
      </c>
      <c r="G16" s="398">
        <v>3</v>
      </c>
      <c r="H16" s="398">
        <v>4</v>
      </c>
      <c r="I16" s="398">
        <v>5</v>
      </c>
      <c r="J16" s="398">
        <v>6</v>
      </c>
      <c r="K16" s="400">
        <v>7</v>
      </c>
      <c r="L16" s="400">
        <v>8</v>
      </c>
      <c r="M16" s="400">
        <v>9</v>
      </c>
      <c r="N16" s="400">
        <v>10</v>
      </c>
      <c r="O16" s="400">
        <v>11</v>
      </c>
      <c r="P16" s="400">
        <v>12</v>
      </c>
      <c r="Q16" s="400">
        <v>13</v>
      </c>
      <c r="R16" s="400">
        <v>14</v>
      </c>
      <c r="S16" s="400">
        <v>15</v>
      </c>
      <c r="T16" s="400">
        <v>16</v>
      </c>
      <c r="U16" s="400">
        <v>17</v>
      </c>
      <c r="V16" s="400">
        <v>18</v>
      </c>
      <c r="W16" s="400">
        <v>19</v>
      </c>
      <c r="X16" s="400">
        <v>20</v>
      </c>
      <c r="Y16" s="400">
        <v>21</v>
      </c>
      <c r="Z16" s="400">
        <v>22</v>
      </c>
      <c r="AA16" s="400">
        <v>23</v>
      </c>
      <c r="AB16" s="400">
        <v>24</v>
      </c>
      <c r="AC16" s="400">
        <v>25</v>
      </c>
      <c r="AD16" s="400">
        <v>26</v>
      </c>
      <c r="AE16" s="400">
        <v>27</v>
      </c>
      <c r="AF16" s="400">
        <v>28</v>
      </c>
      <c r="AG16" s="400">
        <v>29</v>
      </c>
      <c r="AH16" s="400">
        <v>30</v>
      </c>
      <c r="AI16" s="3"/>
    </row>
    <row r="17" spans="1:52" ht="14.4">
      <c r="B17" s="393"/>
      <c r="C17" s="393"/>
      <c r="D17" s="395"/>
      <c r="E17" s="399"/>
      <c r="F17" s="399"/>
      <c r="G17" s="399"/>
      <c r="H17" s="399"/>
      <c r="I17" s="399"/>
      <c r="J17" s="399"/>
      <c r="K17" s="400"/>
      <c r="L17" s="400"/>
      <c r="M17" s="400"/>
      <c r="N17" s="400"/>
      <c r="O17" s="400"/>
      <c r="P17" s="400"/>
      <c r="Q17" s="400"/>
      <c r="R17" s="400"/>
      <c r="S17" s="400"/>
      <c r="T17" s="400"/>
      <c r="U17" s="400"/>
      <c r="V17" s="400"/>
      <c r="W17" s="400"/>
      <c r="X17" s="400"/>
      <c r="Y17" s="400"/>
      <c r="Z17" s="400"/>
      <c r="AA17" s="400"/>
      <c r="AB17" s="400"/>
      <c r="AC17" s="400"/>
      <c r="AD17" s="400"/>
      <c r="AE17" s="400"/>
      <c r="AF17" s="400"/>
      <c r="AG17" s="400"/>
      <c r="AH17" s="400"/>
      <c r="AI17" s="3"/>
    </row>
    <row r="18" spans="1:52" ht="14.4">
      <c r="B18" s="393"/>
      <c r="C18" s="393"/>
      <c r="D18" s="396"/>
      <c r="E18" s="4">
        <v>12</v>
      </c>
      <c r="F18" s="4">
        <v>24</v>
      </c>
      <c r="G18" s="4">
        <v>36</v>
      </c>
      <c r="H18" s="4">
        <v>48</v>
      </c>
      <c r="I18" s="4">
        <v>60</v>
      </c>
      <c r="J18" s="4">
        <v>72</v>
      </c>
      <c r="K18" s="4">
        <v>84</v>
      </c>
      <c r="L18" s="4">
        <v>96</v>
      </c>
      <c r="M18" s="4">
        <v>108</v>
      </c>
      <c r="N18" s="4">
        <v>120</v>
      </c>
      <c r="O18" s="4">
        <v>132</v>
      </c>
      <c r="P18" s="4">
        <v>144</v>
      </c>
      <c r="Q18" s="4">
        <v>156</v>
      </c>
      <c r="R18" s="4">
        <v>168</v>
      </c>
      <c r="S18" s="4">
        <v>180</v>
      </c>
      <c r="T18" s="4">
        <v>192</v>
      </c>
      <c r="U18" s="4">
        <v>204</v>
      </c>
      <c r="V18" s="4">
        <v>216</v>
      </c>
      <c r="W18" s="4">
        <v>228</v>
      </c>
      <c r="X18" s="4">
        <v>240</v>
      </c>
      <c r="Y18" s="4">
        <v>252</v>
      </c>
      <c r="Z18" s="4">
        <v>264</v>
      </c>
      <c r="AA18" s="4">
        <v>276</v>
      </c>
      <c r="AB18" s="4">
        <v>288</v>
      </c>
      <c r="AC18" s="4">
        <v>300</v>
      </c>
      <c r="AD18" s="4">
        <v>312</v>
      </c>
      <c r="AE18" s="4">
        <v>324</v>
      </c>
      <c r="AF18" s="4">
        <v>336</v>
      </c>
      <c r="AG18" s="4">
        <v>348</v>
      </c>
      <c r="AH18" s="4">
        <v>360</v>
      </c>
      <c r="AI18" s="3"/>
    </row>
    <row r="19" spans="1:52" ht="14.4">
      <c r="B19" s="401" t="s">
        <v>819</v>
      </c>
      <c r="C19" s="402"/>
      <c r="D19" s="67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5"/>
    </row>
    <row r="20" spans="1:52" ht="14.4" outlineLevel="1">
      <c r="B20" s="403" t="s">
        <v>820</v>
      </c>
      <c r="C20" s="404"/>
      <c r="D20" s="6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7" t="s">
        <v>821</v>
      </c>
      <c r="AK20" s="9"/>
      <c r="AL20" s="9"/>
    </row>
    <row r="21" spans="1:52" ht="14.4" outlineLevel="2">
      <c r="B21" s="10">
        <v>1</v>
      </c>
      <c r="C21" s="11" t="s">
        <v>822</v>
      </c>
      <c r="D21" s="11" t="s">
        <v>823</v>
      </c>
      <c r="E21" s="128">
        <f t="shared" ref="E21:AI21" si="1">SUM(E22:E29)</f>
        <v>454.4</v>
      </c>
      <c r="F21" s="128">
        <f t="shared" si="1"/>
        <v>454.4</v>
      </c>
      <c r="G21" s="128">
        <f t="shared" si="1"/>
        <v>454.4</v>
      </c>
      <c r="H21" s="128">
        <f t="shared" si="1"/>
        <v>454.4</v>
      </c>
      <c r="I21" s="128">
        <f t="shared" si="1"/>
        <v>454.4</v>
      </c>
      <c r="J21" s="128">
        <f t="shared" si="1"/>
        <v>454.4</v>
      </c>
      <c r="K21" s="128">
        <f t="shared" si="1"/>
        <v>445.2</v>
      </c>
      <c r="L21" s="128">
        <f t="shared" si="1"/>
        <v>445.2</v>
      </c>
      <c r="M21" s="128">
        <f t="shared" si="1"/>
        <v>445.2</v>
      </c>
      <c r="N21" s="128">
        <f t="shared" si="1"/>
        <v>445.2</v>
      </c>
      <c r="O21" s="128">
        <f t="shared" si="1"/>
        <v>445.2</v>
      </c>
      <c r="P21" s="128">
        <f t="shared" si="1"/>
        <v>445.2</v>
      </c>
      <c r="Q21" s="128">
        <f t="shared" si="1"/>
        <v>445.2</v>
      </c>
      <c r="R21" s="128">
        <f t="shared" si="1"/>
        <v>445.2</v>
      </c>
      <c r="S21" s="128">
        <f t="shared" si="1"/>
        <v>445.2</v>
      </c>
      <c r="T21" s="128">
        <f t="shared" si="1"/>
        <v>445.2</v>
      </c>
      <c r="U21" s="128">
        <f t="shared" si="1"/>
        <v>445.2</v>
      </c>
      <c r="V21" s="128">
        <f t="shared" si="1"/>
        <v>445.2</v>
      </c>
      <c r="W21" s="128">
        <f t="shared" si="1"/>
        <v>445.2</v>
      </c>
      <c r="X21" s="128">
        <f t="shared" si="1"/>
        <v>445.2</v>
      </c>
      <c r="Y21" s="128">
        <f t="shared" si="1"/>
        <v>445.2</v>
      </c>
      <c r="Z21" s="128">
        <f t="shared" si="1"/>
        <v>445.2</v>
      </c>
      <c r="AA21" s="128">
        <f t="shared" si="1"/>
        <v>445.2</v>
      </c>
      <c r="AB21" s="128">
        <f t="shared" si="1"/>
        <v>445.2</v>
      </c>
      <c r="AC21" s="128">
        <f t="shared" si="1"/>
        <v>445.2</v>
      </c>
      <c r="AD21" s="128">
        <f t="shared" si="1"/>
        <v>445.2</v>
      </c>
      <c r="AE21" s="128">
        <f t="shared" si="1"/>
        <v>445.2</v>
      </c>
      <c r="AF21" s="128">
        <f t="shared" si="1"/>
        <v>445.2</v>
      </c>
      <c r="AG21" s="128">
        <f t="shared" si="1"/>
        <v>445.2</v>
      </c>
      <c r="AH21" s="128">
        <f t="shared" si="1"/>
        <v>445.2</v>
      </c>
      <c r="AI21" s="128">
        <f t="shared" si="1"/>
        <v>13411.199999999995</v>
      </c>
      <c r="AJ21" s="13"/>
      <c r="AK21" s="14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2" spans="1:52" ht="14.4" outlineLevel="3">
      <c r="A22" s="322"/>
      <c r="B22" s="286" t="s">
        <v>824</v>
      </c>
      <c r="C22" s="323" t="s">
        <v>825</v>
      </c>
      <c r="D22" s="323" t="s">
        <v>826</v>
      </c>
      <c r="E22" s="324">
        <f>(16.5-0)*2</f>
        <v>33</v>
      </c>
      <c r="F22" s="324">
        <f>E22</f>
        <v>33</v>
      </c>
      <c r="G22" s="324">
        <f t="shared" ref="G22:V22" si="2">F22</f>
        <v>33</v>
      </c>
      <c r="H22" s="324">
        <f t="shared" si="2"/>
        <v>33</v>
      </c>
      <c r="I22" s="324">
        <f t="shared" si="2"/>
        <v>33</v>
      </c>
      <c r="J22" s="324">
        <f t="shared" si="2"/>
        <v>33</v>
      </c>
      <c r="K22" s="324">
        <f t="shared" si="2"/>
        <v>33</v>
      </c>
      <c r="L22" s="324">
        <f t="shared" si="2"/>
        <v>33</v>
      </c>
      <c r="M22" s="324">
        <f t="shared" si="2"/>
        <v>33</v>
      </c>
      <c r="N22" s="324">
        <f t="shared" si="2"/>
        <v>33</v>
      </c>
      <c r="O22" s="324">
        <f t="shared" si="2"/>
        <v>33</v>
      </c>
      <c r="P22" s="324">
        <f t="shared" si="2"/>
        <v>33</v>
      </c>
      <c r="Q22" s="324">
        <f t="shared" si="2"/>
        <v>33</v>
      </c>
      <c r="R22" s="324">
        <f t="shared" si="2"/>
        <v>33</v>
      </c>
      <c r="S22" s="324">
        <f t="shared" si="2"/>
        <v>33</v>
      </c>
      <c r="T22" s="324">
        <f t="shared" si="2"/>
        <v>33</v>
      </c>
      <c r="U22" s="324">
        <f t="shared" si="2"/>
        <v>33</v>
      </c>
      <c r="V22" s="324">
        <f t="shared" si="2"/>
        <v>33</v>
      </c>
      <c r="W22" s="324">
        <f t="shared" ref="V22:AH29" si="3">V22</f>
        <v>33</v>
      </c>
      <c r="X22" s="324">
        <f t="shared" si="3"/>
        <v>33</v>
      </c>
      <c r="Y22" s="324">
        <f t="shared" si="3"/>
        <v>33</v>
      </c>
      <c r="Z22" s="324">
        <f t="shared" si="3"/>
        <v>33</v>
      </c>
      <c r="AA22" s="324">
        <f t="shared" si="3"/>
        <v>33</v>
      </c>
      <c r="AB22" s="324">
        <f t="shared" si="3"/>
        <v>33</v>
      </c>
      <c r="AC22" s="324">
        <f t="shared" si="3"/>
        <v>33</v>
      </c>
      <c r="AD22" s="324">
        <f t="shared" si="3"/>
        <v>33</v>
      </c>
      <c r="AE22" s="324">
        <f t="shared" si="3"/>
        <v>33</v>
      </c>
      <c r="AF22" s="324">
        <f t="shared" si="3"/>
        <v>33</v>
      </c>
      <c r="AG22" s="324">
        <f t="shared" si="3"/>
        <v>33</v>
      </c>
      <c r="AH22" s="324">
        <f t="shared" si="3"/>
        <v>33</v>
      </c>
      <c r="AI22" s="324">
        <f t="shared" ref="AI22:AI29" si="4">SUM(E22:AH22)</f>
        <v>990</v>
      </c>
      <c r="AJ22" s="15"/>
      <c r="AK22" s="13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</row>
    <row r="23" spans="1:52" ht="14.4" outlineLevel="3">
      <c r="A23" s="322"/>
      <c r="B23" s="286" t="s">
        <v>74</v>
      </c>
      <c r="C23" s="323" t="s">
        <v>827</v>
      </c>
      <c r="D23" s="323" t="s">
        <v>826</v>
      </c>
      <c r="E23" s="325">
        <f>(119.7-16.5)*2</f>
        <v>206.4</v>
      </c>
      <c r="F23" s="324">
        <f t="shared" ref="F23:U29" si="5">E23</f>
        <v>206.4</v>
      </c>
      <c r="G23" s="325">
        <f t="shared" si="5"/>
        <v>206.4</v>
      </c>
      <c r="H23" s="325">
        <f t="shared" si="5"/>
        <v>206.4</v>
      </c>
      <c r="I23" s="325">
        <f t="shared" si="5"/>
        <v>206.4</v>
      </c>
      <c r="J23" s="325">
        <f t="shared" si="5"/>
        <v>206.4</v>
      </c>
      <c r="K23" s="325">
        <f t="shared" si="5"/>
        <v>206.4</v>
      </c>
      <c r="L23" s="325">
        <f t="shared" si="5"/>
        <v>206.4</v>
      </c>
      <c r="M23" s="325">
        <f t="shared" si="5"/>
        <v>206.4</v>
      </c>
      <c r="N23" s="325">
        <f t="shared" si="5"/>
        <v>206.4</v>
      </c>
      <c r="O23" s="325">
        <f t="shared" si="5"/>
        <v>206.4</v>
      </c>
      <c r="P23" s="325">
        <f t="shared" si="5"/>
        <v>206.4</v>
      </c>
      <c r="Q23" s="325">
        <f t="shared" si="5"/>
        <v>206.4</v>
      </c>
      <c r="R23" s="325">
        <f t="shared" si="5"/>
        <v>206.4</v>
      </c>
      <c r="S23" s="325">
        <f t="shared" si="5"/>
        <v>206.4</v>
      </c>
      <c r="T23" s="325">
        <f t="shared" si="5"/>
        <v>206.4</v>
      </c>
      <c r="U23" s="325">
        <f t="shared" si="5"/>
        <v>206.4</v>
      </c>
      <c r="V23" s="325">
        <f t="shared" si="3"/>
        <v>206.4</v>
      </c>
      <c r="W23" s="325">
        <f t="shared" si="3"/>
        <v>206.4</v>
      </c>
      <c r="X23" s="325">
        <f t="shared" si="3"/>
        <v>206.4</v>
      </c>
      <c r="Y23" s="325">
        <f t="shared" si="3"/>
        <v>206.4</v>
      </c>
      <c r="Z23" s="325">
        <f t="shared" si="3"/>
        <v>206.4</v>
      </c>
      <c r="AA23" s="325">
        <f t="shared" si="3"/>
        <v>206.4</v>
      </c>
      <c r="AB23" s="325">
        <f t="shared" si="3"/>
        <v>206.4</v>
      </c>
      <c r="AC23" s="325">
        <f t="shared" si="3"/>
        <v>206.4</v>
      </c>
      <c r="AD23" s="325">
        <f t="shared" si="3"/>
        <v>206.4</v>
      </c>
      <c r="AE23" s="325">
        <f t="shared" si="3"/>
        <v>206.4</v>
      </c>
      <c r="AF23" s="325">
        <f t="shared" si="3"/>
        <v>206.4</v>
      </c>
      <c r="AG23" s="325">
        <f t="shared" si="3"/>
        <v>206.4</v>
      </c>
      <c r="AH23" s="325">
        <f t="shared" si="3"/>
        <v>206.4</v>
      </c>
      <c r="AI23" s="325">
        <f t="shared" si="4"/>
        <v>6191.9999999999973</v>
      </c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1:52" ht="14.4" outlineLevel="3">
      <c r="A24" s="322"/>
      <c r="B24" s="286" t="s">
        <v>76</v>
      </c>
      <c r="C24" s="323" t="s">
        <v>828</v>
      </c>
      <c r="D24" s="323" t="s">
        <v>826</v>
      </c>
      <c r="E24" s="325">
        <f>(139-119.7)*2</f>
        <v>38.599999999999994</v>
      </c>
      <c r="F24" s="324">
        <f t="shared" si="5"/>
        <v>38.599999999999994</v>
      </c>
      <c r="G24" s="325">
        <f t="shared" si="5"/>
        <v>38.599999999999994</v>
      </c>
      <c r="H24" s="325">
        <f t="shared" si="5"/>
        <v>38.599999999999994</v>
      </c>
      <c r="I24" s="325">
        <f t="shared" si="5"/>
        <v>38.599999999999994</v>
      </c>
      <c r="J24" s="325">
        <f t="shared" si="5"/>
        <v>38.599999999999994</v>
      </c>
      <c r="K24" s="325">
        <f t="shared" si="5"/>
        <v>38.599999999999994</v>
      </c>
      <c r="L24" s="325">
        <f t="shared" si="5"/>
        <v>38.599999999999994</v>
      </c>
      <c r="M24" s="325">
        <f t="shared" si="5"/>
        <v>38.599999999999994</v>
      </c>
      <c r="N24" s="325">
        <f t="shared" si="5"/>
        <v>38.599999999999994</v>
      </c>
      <c r="O24" s="325">
        <f t="shared" si="5"/>
        <v>38.599999999999994</v>
      </c>
      <c r="P24" s="325">
        <f t="shared" si="5"/>
        <v>38.599999999999994</v>
      </c>
      <c r="Q24" s="325">
        <f t="shared" si="5"/>
        <v>38.599999999999994</v>
      </c>
      <c r="R24" s="325">
        <f t="shared" si="5"/>
        <v>38.599999999999994</v>
      </c>
      <c r="S24" s="325">
        <f t="shared" si="5"/>
        <v>38.599999999999994</v>
      </c>
      <c r="T24" s="325">
        <f t="shared" si="5"/>
        <v>38.599999999999994</v>
      </c>
      <c r="U24" s="325">
        <f t="shared" si="5"/>
        <v>38.599999999999994</v>
      </c>
      <c r="V24" s="325">
        <f t="shared" si="3"/>
        <v>38.599999999999994</v>
      </c>
      <c r="W24" s="325">
        <f t="shared" si="3"/>
        <v>38.599999999999994</v>
      </c>
      <c r="X24" s="325">
        <f t="shared" si="3"/>
        <v>38.599999999999994</v>
      </c>
      <c r="Y24" s="325">
        <f t="shared" si="3"/>
        <v>38.599999999999994</v>
      </c>
      <c r="Z24" s="325">
        <f t="shared" si="3"/>
        <v>38.599999999999994</v>
      </c>
      <c r="AA24" s="325">
        <f t="shared" si="3"/>
        <v>38.599999999999994</v>
      </c>
      <c r="AB24" s="325">
        <f t="shared" si="3"/>
        <v>38.599999999999994</v>
      </c>
      <c r="AC24" s="325">
        <f t="shared" si="3"/>
        <v>38.599999999999994</v>
      </c>
      <c r="AD24" s="325">
        <f t="shared" si="3"/>
        <v>38.599999999999994</v>
      </c>
      <c r="AE24" s="325">
        <f t="shared" si="3"/>
        <v>38.599999999999994</v>
      </c>
      <c r="AF24" s="325">
        <f t="shared" si="3"/>
        <v>38.599999999999994</v>
      </c>
      <c r="AG24" s="325">
        <f t="shared" si="3"/>
        <v>38.599999999999994</v>
      </c>
      <c r="AH24" s="325">
        <f t="shared" si="3"/>
        <v>38.599999999999994</v>
      </c>
      <c r="AI24" s="325">
        <f t="shared" si="4"/>
        <v>1158</v>
      </c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</row>
    <row r="25" spans="1:52" ht="14.4" outlineLevel="3">
      <c r="A25" s="322"/>
      <c r="B25" s="286" t="s">
        <v>77</v>
      </c>
      <c r="C25" s="323" t="s">
        <v>829</v>
      </c>
      <c r="D25" s="323" t="s">
        <v>826</v>
      </c>
      <c r="E25" s="325">
        <f>(186.5-139)*2</f>
        <v>95</v>
      </c>
      <c r="F25" s="324">
        <f t="shared" si="5"/>
        <v>95</v>
      </c>
      <c r="G25" s="325">
        <f t="shared" si="5"/>
        <v>95</v>
      </c>
      <c r="H25" s="325">
        <f t="shared" si="5"/>
        <v>95</v>
      </c>
      <c r="I25" s="325">
        <f t="shared" si="5"/>
        <v>95</v>
      </c>
      <c r="J25" s="325">
        <f t="shared" si="5"/>
        <v>95</v>
      </c>
      <c r="K25" s="325">
        <f t="shared" si="5"/>
        <v>95</v>
      </c>
      <c r="L25" s="325">
        <f t="shared" si="5"/>
        <v>95</v>
      </c>
      <c r="M25" s="325">
        <f t="shared" si="5"/>
        <v>95</v>
      </c>
      <c r="N25" s="325">
        <f t="shared" si="5"/>
        <v>95</v>
      </c>
      <c r="O25" s="325">
        <f t="shared" si="5"/>
        <v>95</v>
      </c>
      <c r="P25" s="325">
        <f t="shared" si="5"/>
        <v>95</v>
      </c>
      <c r="Q25" s="325">
        <f t="shared" si="5"/>
        <v>95</v>
      </c>
      <c r="R25" s="325">
        <f t="shared" si="5"/>
        <v>95</v>
      </c>
      <c r="S25" s="325">
        <f t="shared" si="5"/>
        <v>95</v>
      </c>
      <c r="T25" s="325">
        <f t="shared" si="5"/>
        <v>95</v>
      </c>
      <c r="U25" s="325">
        <f t="shared" si="5"/>
        <v>95</v>
      </c>
      <c r="V25" s="325">
        <f t="shared" si="3"/>
        <v>95</v>
      </c>
      <c r="W25" s="325">
        <f t="shared" si="3"/>
        <v>95</v>
      </c>
      <c r="X25" s="325">
        <f t="shared" si="3"/>
        <v>95</v>
      </c>
      <c r="Y25" s="325">
        <f t="shared" si="3"/>
        <v>95</v>
      </c>
      <c r="Z25" s="325">
        <f t="shared" si="3"/>
        <v>95</v>
      </c>
      <c r="AA25" s="325">
        <f t="shared" si="3"/>
        <v>95</v>
      </c>
      <c r="AB25" s="325">
        <f t="shared" si="3"/>
        <v>95</v>
      </c>
      <c r="AC25" s="325">
        <f t="shared" si="3"/>
        <v>95</v>
      </c>
      <c r="AD25" s="325">
        <f t="shared" si="3"/>
        <v>95</v>
      </c>
      <c r="AE25" s="325">
        <f t="shared" si="3"/>
        <v>95</v>
      </c>
      <c r="AF25" s="325">
        <f t="shared" si="3"/>
        <v>95</v>
      </c>
      <c r="AG25" s="325">
        <f t="shared" si="3"/>
        <v>95</v>
      </c>
      <c r="AH25" s="325">
        <f t="shared" si="3"/>
        <v>95</v>
      </c>
      <c r="AI25" s="325">
        <f t="shared" si="4"/>
        <v>2850</v>
      </c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</row>
    <row r="26" spans="1:52" ht="14.4" outlineLevel="3">
      <c r="A26" s="322"/>
      <c r="B26" s="286" t="s">
        <v>78</v>
      </c>
      <c r="C26" s="323" t="s">
        <v>830</v>
      </c>
      <c r="D26" s="323" t="s">
        <v>826</v>
      </c>
      <c r="E26" s="325">
        <f>(209.9-186.5)*2</f>
        <v>46.800000000000011</v>
      </c>
      <c r="F26" s="324">
        <f t="shared" si="5"/>
        <v>46.800000000000011</v>
      </c>
      <c r="G26" s="325">
        <f t="shared" si="5"/>
        <v>46.800000000000011</v>
      </c>
      <c r="H26" s="325">
        <f t="shared" si="5"/>
        <v>46.800000000000011</v>
      </c>
      <c r="I26" s="325">
        <f t="shared" si="5"/>
        <v>46.800000000000011</v>
      </c>
      <c r="J26" s="325">
        <f t="shared" si="5"/>
        <v>46.800000000000011</v>
      </c>
      <c r="K26" s="325">
        <f t="shared" si="5"/>
        <v>46.800000000000011</v>
      </c>
      <c r="L26" s="325">
        <f t="shared" si="5"/>
        <v>46.800000000000011</v>
      </c>
      <c r="M26" s="325">
        <f t="shared" si="5"/>
        <v>46.800000000000011</v>
      </c>
      <c r="N26" s="325">
        <f t="shared" si="5"/>
        <v>46.800000000000011</v>
      </c>
      <c r="O26" s="325">
        <f t="shared" si="5"/>
        <v>46.800000000000011</v>
      </c>
      <c r="P26" s="325">
        <f t="shared" si="5"/>
        <v>46.800000000000011</v>
      </c>
      <c r="Q26" s="325">
        <f t="shared" si="5"/>
        <v>46.800000000000011</v>
      </c>
      <c r="R26" s="325">
        <f t="shared" si="5"/>
        <v>46.800000000000011</v>
      </c>
      <c r="S26" s="325">
        <f t="shared" si="5"/>
        <v>46.800000000000011</v>
      </c>
      <c r="T26" s="325">
        <f t="shared" si="5"/>
        <v>46.800000000000011</v>
      </c>
      <c r="U26" s="325">
        <f t="shared" si="5"/>
        <v>46.800000000000011</v>
      </c>
      <c r="V26" s="325">
        <f t="shared" si="3"/>
        <v>46.800000000000011</v>
      </c>
      <c r="W26" s="325">
        <f t="shared" si="3"/>
        <v>46.800000000000011</v>
      </c>
      <c r="X26" s="325">
        <f t="shared" si="3"/>
        <v>46.800000000000011</v>
      </c>
      <c r="Y26" s="325">
        <f t="shared" si="3"/>
        <v>46.800000000000011</v>
      </c>
      <c r="Z26" s="325">
        <f t="shared" si="3"/>
        <v>46.800000000000011</v>
      </c>
      <c r="AA26" s="325">
        <f t="shared" si="3"/>
        <v>46.800000000000011</v>
      </c>
      <c r="AB26" s="325">
        <f t="shared" si="3"/>
        <v>46.800000000000011</v>
      </c>
      <c r="AC26" s="325">
        <f t="shared" si="3"/>
        <v>46.800000000000011</v>
      </c>
      <c r="AD26" s="325">
        <f t="shared" si="3"/>
        <v>46.800000000000011</v>
      </c>
      <c r="AE26" s="325">
        <f t="shared" si="3"/>
        <v>46.800000000000011</v>
      </c>
      <c r="AF26" s="325">
        <f t="shared" si="3"/>
        <v>46.800000000000011</v>
      </c>
      <c r="AG26" s="325">
        <f t="shared" si="3"/>
        <v>46.800000000000011</v>
      </c>
      <c r="AH26" s="325">
        <f t="shared" si="3"/>
        <v>46.800000000000011</v>
      </c>
      <c r="AI26" s="325">
        <f t="shared" si="4"/>
        <v>1403.9999999999993</v>
      </c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</row>
    <row r="27" spans="1:52" ht="14.4" outlineLevel="3">
      <c r="A27" s="322" t="s">
        <v>831</v>
      </c>
      <c r="B27" s="326" t="s">
        <v>79</v>
      </c>
      <c r="C27" s="327" t="s">
        <v>832</v>
      </c>
      <c r="D27" s="327" t="s">
        <v>826</v>
      </c>
      <c r="E27" s="325">
        <f>(224.4-209.9)*2</f>
        <v>29</v>
      </c>
      <c r="F27" s="324">
        <f t="shared" si="5"/>
        <v>29</v>
      </c>
      <c r="G27" s="325">
        <f t="shared" si="5"/>
        <v>29</v>
      </c>
      <c r="H27" s="325">
        <f t="shared" si="5"/>
        <v>29</v>
      </c>
      <c r="I27" s="325">
        <f t="shared" si="5"/>
        <v>29</v>
      </c>
      <c r="J27" s="325">
        <f t="shared" si="5"/>
        <v>29</v>
      </c>
      <c r="K27" s="328">
        <f>(222.6-209.9)*2</f>
        <v>25.399999999999977</v>
      </c>
      <c r="L27" s="328">
        <f t="shared" si="5"/>
        <v>25.399999999999977</v>
      </c>
      <c r="M27" s="328">
        <f t="shared" si="5"/>
        <v>25.399999999999977</v>
      </c>
      <c r="N27" s="328">
        <f t="shared" si="5"/>
        <v>25.399999999999977</v>
      </c>
      <c r="O27" s="328">
        <f t="shared" si="5"/>
        <v>25.399999999999977</v>
      </c>
      <c r="P27" s="328">
        <f t="shared" si="5"/>
        <v>25.399999999999977</v>
      </c>
      <c r="Q27" s="328">
        <f t="shared" si="5"/>
        <v>25.399999999999977</v>
      </c>
      <c r="R27" s="328">
        <f t="shared" si="5"/>
        <v>25.399999999999977</v>
      </c>
      <c r="S27" s="328">
        <f t="shared" si="5"/>
        <v>25.399999999999977</v>
      </c>
      <c r="T27" s="328">
        <f t="shared" si="5"/>
        <v>25.399999999999977</v>
      </c>
      <c r="U27" s="328">
        <f t="shared" si="5"/>
        <v>25.399999999999977</v>
      </c>
      <c r="V27" s="328">
        <f t="shared" si="3"/>
        <v>25.399999999999977</v>
      </c>
      <c r="W27" s="328">
        <f t="shared" si="3"/>
        <v>25.399999999999977</v>
      </c>
      <c r="X27" s="328">
        <f t="shared" si="3"/>
        <v>25.399999999999977</v>
      </c>
      <c r="Y27" s="328">
        <f t="shared" si="3"/>
        <v>25.399999999999977</v>
      </c>
      <c r="Z27" s="328">
        <f t="shared" si="3"/>
        <v>25.399999999999977</v>
      </c>
      <c r="AA27" s="328">
        <f t="shared" si="3"/>
        <v>25.399999999999977</v>
      </c>
      <c r="AB27" s="328">
        <f t="shared" si="3"/>
        <v>25.399999999999977</v>
      </c>
      <c r="AC27" s="328">
        <f t="shared" si="3"/>
        <v>25.399999999999977</v>
      </c>
      <c r="AD27" s="328">
        <f t="shared" si="3"/>
        <v>25.399999999999977</v>
      </c>
      <c r="AE27" s="328">
        <f t="shared" si="3"/>
        <v>25.399999999999977</v>
      </c>
      <c r="AF27" s="328">
        <f t="shared" si="3"/>
        <v>25.399999999999977</v>
      </c>
      <c r="AG27" s="328">
        <f t="shared" si="3"/>
        <v>25.399999999999977</v>
      </c>
      <c r="AH27" s="328">
        <f t="shared" si="3"/>
        <v>25.399999999999977</v>
      </c>
      <c r="AI27" s="328">
        <f t="shared" si="4"/>
        <v>783.59999999999945</v>
      </c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</row>
    <row r="28" spans="1:52" ht="14.4" outlineLevel="3">
      <c r="A28" s="322" t="s">
        <v>831</v>
      </c>
      <c r="B28" s="326" t="s">
        <v>80</v>
      </c>
      <c r="C28" s="327" t="s">
        <v>833</v>
      </c>
      <c r="D28" s="327" t="s">
        <v>826</v>
      </c>
      <c r="E28" s="325">
        <f>(224.5-224.4)*2</f>
        <v>0.19999999999998863</v>
      </c>
      <c r="F28" s="324">
        <f t="shared" si="5"/>
        <v>0.19999999999998863</v>
      </c>
      <c r="G28" s="325">
        <f t="shared" si="5"/>
        <v>0.19999999999998863</v>
      </c>
      <c r="H28" s="325">
        <f t="shared" si="5"/>
        <v>0.19999999999998863</v>
      </c>
      <c r="I28" s="325">
        <f t="shared" si="5"/>
        <v>0.19999999999998863</v>
      </c>
      <c r="J28" s="325">
        <f t="shared" si="5"/>
        <v>0.19999999999998863</v>
      </c>
      <c r="K28" s="328">
        <f>J28*0</f>
        <v>0</v>
      </c>
      <c r="L28" s="328">
        <f t="shared" si="5"/>
        <v>0</v>
      </c>
      <c r="M28" s="328">
        <f t="shared" si="5"/>
        <v>0</v>
      </c>
      <c r="N28" s="328">
        <f t="shared" si="5"/>
        <v>0</v>
      </c>
      <c r="O28" s="328">
        <f t="shared" si="5"/>
        <v>0</v>
      </c>
      <c r="P28" s="328">
        <f t="shared" si="5"/>
        <v>0</v>
      </c>
      <c r="Q28" s="328">
        <f t="shared" si="5"/>
        <v>0</v>
      </c>
      <c r="R28" s="328">
        <f t="shared" si="5"/>
        <v>0</v>
      </c>
      <c r="S28" s="328">
        <f t="shared" si="5"/>
        <v>0</v>
      </c>
      <c r="T28" s="328">
        <f t="shared" si="5"/>
        <v>0</v>
      </c>
      <c r="U28" s="328">
        <f t="shared" si="5"/>
        <v>0</v>
      </c>
      <c r="V28" s="328">
        <f t="shared" si="3"/>
        <v>0</v>
      </c>
      <c r="W28" s="328">
        <f t="shared" si="3"/>
        <v>0</v>
      </c>
      <c r="X28" s="328">
        <f t="shared" si="3"/>
        <v>0</v>
      </c>
      <c r="Y28" s="328">
        <f t="shared" si="3"/>
        <v>0</v>
      </c>
      <c r="Z28" s="328">
        <f t="shared" si="3"/>
        <v>0</v>
      </c>
      <c r="AA28" s="328">
        <f t="shared" si="3"/>
        <v>0</v>
      </c>
      <c r="AB28" s="328">
        <f t="shared" si="3"/>
        <v>0</v>
      </c>
      <c r="AC28" s="328">
        <f t="shared" si="3"/>
        <v>0</v>
      </c>
      <c r="AD28" s="328">
        <f t="shared" si="3"/>
        <v>0</v>
      </c>
      <c r="AE28" s="328">
        <f t="shared" si="3"/>
        <v>0</v>
      </c>
      <c r="AF28" s="328">
        <f t="shared" si="3"/>
        <v>0</v>
      </c>
      <c r="AG28" s="328">
        <f t="shared" si="3"/>
        <v>0</v>
      </c>
      <c r="AH28" s="328">
        <f t="shared" si="3"/>
        <v>0</v>
      </c>
      <c r="AI28" s="328">
        <f t="shared" si="4"/>
        <v>1.1999999999999318</v>
      </c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</row>
    <row r="29" spans="1:52" ht="14.4" outlineLevel="3">
      <c r="A29" s="322" t="s">
        <v>831</v>
      </c>
      <c r="B29" s="326" t="s">
        <v>81</v>
      </c>
      <c r="C29" s="327" t="s">
        <v>1015</v>
      </c>
      <c r="D29" s="327" t="s">
        <v>826</v>
      </c>
      <c r="E29" s="325">
        <f>(227.2-224.5)*2</f>
        <v>5.3999999999999773</v>
      </c>
      <c r="F29" s="324">
        <f t="shared" si="5"/>
        <v>5.3999999999999773</v>
      </c>
      <c r="G29" s="325">
        <f t="shared" si="5"/>
        <v>5.3999999999999773</v>
      </c>
      <c r="H29" s="325">
        <f t="shared" si="5"/>
        <v>5.3999999999999773</v>
      </c>
      <c r="I29" s="325">
        <f t="shared" si="5"/>
        <v>5.3999999999999773</v>
      </c>
      <c r="J29" s="325">
        <f t="shared" si="5"/>
        <v>5.3999999999999773</v>
      </c>
      <c r="K29" s="328">
        <f>J29*0</f>
        <v>0</v>
      </c>
      <c r="L29" s="328">
        <f t="shared" si="5"/>
        <v>0</v>
      </c>
      <c r="M29" s="328">
        <f t="shared" si="5"/>
        <v>0</v>
      </c>
      <c r="N29" s="328">
        <f t="shared" si="5"/>
        <v>0</v>
      </c>
      <c r="O29" s="328">
        <f t="shared" si="5"/>
        <v>0</v>
      </c>
      <c r="P29" s="328">
        <f t="shared" si="5"/>
        <v>0</v>
      </c>
      <c r="Q29" s="328">
        <f t="shared" si="5"/>
        <v>0</v>
      </c>
      <c r="R29" s="328">
        <f t="shared" si="5"/>
        <v>0</v>
      </c>
      <c r="S29" s="328">
        <f t="shared" si="5"/>
        <v>0</v>
      </c>
      <c r="T29" s="328">
        <f t="shared" si="5"/>
        <v>0</v>
      </c>
      <c r="U29" s="328">
        <f t="shared" si="5"/>
        <v>0</v>
      </c>
      <c r="V29" s="328">
        <f t="shared" si="3"/>
        <v>0</v>
      </c>
      <c r="W29" s="328">
        <f t="shared" si="3"/>
        <v>0</v>
      </c>
      <c r="X29" s="328">
        <f t="shared" si="3"/>
        <v>0</v>
      </c>
      <c r="Y29" s="328">
        <f t="shared" si="3"/>
        <v>0</v>
      </c>
      <c r="Z29" s="328">
        <f t="shared" si="3"/>
        <v>0</v>
      </c>
      <c r="AA29" s="328">
        <f t="shared" si="3"/>
        <v>0</v>
      </c>
      <c r="AB29" s="328">
        <f t="shared" si="3"/>
        <v>0</v>
      </c>
      <c r="AC29" s="328">
        <f t="shared" si="3"/>
        <v>0</v>
      </c>
      <c r="AD29" s="328">
        <f t="shared" si="3"/>
        <v>0</v>
      </c>
      <c r="AE29" s="328">
        <f t="shared" si="3"/>
        <v>0</v>
      </c>
      <c r="AF29" s="328">
        <f t="shared" si="3"/>
        <v>0</v>
      </c>
      <c r="AG29" s="328">
        <f t="shared" si="3"/>
        <v>0</v>
      </c>
      <c r="AH29" s="328">
        <f t="shared" si="3"/>
        <v>0</v>
      </c>
      <c r="AI29" s="328">
        <f t="shared" si="4"/>
        <v>32.399999999999864</v>
      </c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</row>
    <row r="30" spans="1:52" ht="14.4" outlineLevel="1">
      <c r="B30" s="403" t="s">
        <v>820</v>
      </c>
      <c r="C30" s="404"/>
      <c r="D30" s="6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6"/>
      <c r="AI30" s="127" t="s">
        <v>821</v>
      </c>
      <c r="AK30" s="9"/>
      <c r="AL30" s="9"/>
    </row>
    <row r="31" spans="1:52" ht="14.4" outlineLevel="2">
      <c r="B31" s="10">
        <v>2</v>
      </c>
      <c r="C31" s="11" t="s">
        <v>834</v>
      </c>
      <c r="D31" s="11" t="s">
        <v>823</v>
      </c>
      <c r="E31" s="128">
        <f t="shared" ref="E31:AI31" si="6">SUM(E32:E39)</f>
        <v>5.5999999999999659</v>
      </c>
      <c r="F31" s="128">
        <f t="shared" si="6"/>
        <v>5.5999999999999659</v>
      </c>
      <c r="G31" s="128">
        <f t="shared" si="6"/>
        <v>5.5999999999999659</v>
      </c>
      <c r="H31" s="128">
        <f t="shared" si="6"/>
        <v>5.5999999999999659</v>
      </c>
      <c r="I31" s="128">
        <f t="shared" si="6"/>
        <v>5.5999999999999659</v>
      </c>
      <c r="J31" s="128">
        <f t="shared" si="6"/>
        <v>5.5999999999999659</v>
      </c>
      <c r="K31" s="128">
        <f t="shared" si="6"/>
        <v>0</v>
      </c>
      <c r="L31" s="128">
        <f t="shared" si="6"/>
        <v>0</v>
      </c>
      <c r="M31" s="128">
        <f t="shared" si="6"/>
        <v>0</v>
      </c>
      <c r="N31" s="128">
        <f t="shared" si="6"/>
        <v>0</v>
      </c>
      <c r="O31" s="128">
        <f t="shared" si="6"/>
        <v>0</v>
      </c>
      <c r="P31" s="128">
        <f t="shared" si="6"/>
        <v>0</v>
      </c>
      <c r="Q31" s="128">
        <f t="shared" si="6"/>
        <v>0</v>
      </c>
      <c r="R31" s="128">
        <f t="shared" si="6"/>
        <v>0</v>
      </c>
      <c r="S31" s="128">
        <f t="shared" si="6"/>
        <v>0</v>
      </c>
      <c r="T31" s="128">
        <f t="shared" si="6"/>
        <v>0</v>
      </c>
      <c r="U31" s="128">
        <f t="shared" si="6"/>
        <v>0</v>
      </c>
      <c r="V31" s="128">
        <f t="shared" si="6"/>
        <v>0</v>
      </c>
      <c r="W31" s="128">
        <f t="shared" si="6"/>
        <v>0</v>
      </c>
      <c r="X31" s="128">
        <f t="shared" si="6"/>
        <v>0</v>
      </c>
      <c r="Y31" s="128">
        <f t="shared" si="6"/>
        <v>0</v>
      </c>
      <c r="Z31" s="128">
        <f t="shared" si="6"/>
        <v>0</v>
      </c>
      <c r="AA31" s="128">
        <f t="shared" si="6"/>
        <v>0</v>
      </c>
      <c r="AB31" s="128">
        <f t="shared" si="6"/>
        <v>0</v>
      </c>
      <c r="AC31" s="128">
        <f t="shared" si="6"/>
        <v>0</v>
      </c>
      <c r="AD31" s="128">
        <f t="shared" si="6"/>
        <v>0</v>
      </c>
      <c r="AE31" s="128">
        <f t="shared" si="6"/>
        <v>0</v>
      </c>
      <c r="AF31" s="128">
        <f t="shared" si="6"/>
        <v>0</v>
      </c>
      <c r="AG31" s="128">
        <f t="shared" si="6"/>
        <v>0</v>
      </c>
      <c r="AH31" s="128">
        <f t="shared" si="6"/>
        <v>0</v>
      </c>
      <c r="AI31" s="128">
        <f t="shared" si="6"/>
        <v>33.599999999999795</v>
      </c>
      <c r="AJ31" s="13"/>
      <c r="AK31" s="14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</row>
    <row r="32" spans="1:52" ht="14.4" outlineLevel="3">
      <c r="A32" s="322"/>
      <c r="B32" s="286" t="s">
        <v>835</v>
      </c>
      <c r="C32" s="323" t="s">
        <v>825</v>
      </c>
      <c r="D32" s="323" t="s">
        <v>826</v>
      </c>
      <c r="E32" s="324"/>
      <c r="F32" s="324"/>
      <c r="G32" s="324"/>
      <c r="H32" s="324"/>
      <c r="I32" s="324"/>
      <c r="J32" s="324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4"/>
      <c r="W32" s="324"/>
      <c r="X32" s="324"/>
      <c r="Y32" s="324"/>
      <c r="Z32" s="324"/>
      <c r="AA32" s="324"/>
      <c r="AB32" s="324"/>
      <c r="AC32" s="324"/>
      <c r="AD32" s="324"/>
      <c r="AE32" s="324"/>
      <c r="AF32" s="324"/>
      <c r="AG32" s="324"/>
      <c r="AH32" s="324"/>
      <c r="AI32" s="324">
        <f t="shared" ref="AI32:AI39" si="7">SUM(E32:AH32)</f>
        <v>0</v>
      </c>
      <c r="AJ32" s="15"/>
      <c r="AK32" s="13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</row>
    <row r="33" spans="1:52" ht="14.4" outlineLevel="3">
      <c r="A33" s="322"/>
      <c r="B33" s="286" t="s">
        <v>199</v>
      </c>
      <c r="C33" s="323" t="s">
        <v>827</v>
      </c>
      <c r="D33" s="323" t="s">
        <v>826</v>
      </c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  <c r="P33" s="325"/>
      <c r="Q33" s="325"/>
      <c r="R33" s="325"/>
      <c r="S33" s="325"/>
      <c r="T33" s="325"/>
      <c r="U33" s="325"/>
      <c r="V33" s="325"/>
      <c r="W33" s="325"/>
      <c r="X33" s="325"/>
      <c r="Y33" s="325"/>
      <c r="Z33" s="325"/>
      <c r="AA33" s="325"/>
      <c r="AB33" s="325"/>
      <c r="AC33" s="325"/>
      <c r="AD33" s="325"/>
      <c r="AE33" s="325"/>
      <c r="AF33" s="325"/>
      <c r="AG33" s="325"/>
      <c r="AH33" s="325"/>
      <c r="AI33" s="325">
        <f t="shared" si="7"/>
        <v>0</v>
      </c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 ht="14.4" outlineLevel="3">
      <c r="A34" s="322"/>
      <c r="B34" s="286" t="s">
        <v>200</v>
      </c>
      <c r="C34" s="323" t="s">
        <v>828</v>
      </c>
      <c r="D34" s="323" t="s">
        <v>826</v>
      </c>
      <c r="E34" s="325"/>
      <c r="F34" s="325"/>
      <c r="G34" s="325"/>
      <c r="H34" s="325"/>
      <c r="I34" s="325"/>
      <c r="J34" s="325"/>
      <c r="K34" s="325"/>
      <c r="L34" s="325"/>
      <c r="M34" s="325"/>
      <c r="N34" s="325"/>
      <c r="O34" s="325"/>
      <c r="P34" s="325"/>
      <c r="Q34" s="325"/>
      <c r="R34" s="325"/>
      <c r="S34" s="325"/>
      <c r="T34" s="325"/>
      <c r="U34" s="325"/>
      <c r="V34" s="325"/>
      <c r="W34" s="325"/>
      <c r="X34" s="325"/>
      <c r="Y34" s="325"/>
      <c r="Z34" s="325"/>
      <c r="AA34" s="325"/>
      <c r="AB34" s="325"/>
      <c r="AC34" s="325"/>
      <c r="AD34" s="325"/>
      <c r="AE34" s="325"/>
      <c r="AF34" s="325"/>
      <c r="AG34" s="325"/>
      <c r="AH34" s="325"/>
      <c r="AI34" s="325">
        <f t="shared" si="7"/>
        <v>0</v>
      </c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</row>
    <row r="35" spans="1:52" ht="14.4" outlineLevel="3">
      <c r="A35" s="322"/>
      <c r="B35" s="286" t="s">
        <v>201</v>
      </c>
      <c r="C35" s="323" t="s">
        <v>829</v>
      </c>
      <c r="D35" s="323" t="s">
        <v>826</v>
      </c>
      <c r="E35" s="325"/>
      <c r="F35" s="325"/>
      <c r="G35" s="325"/>
      <c r="H35" s="325"/>
      <c r="I35" s="325"/>
      <c r="J35" s="325"/>
      <c r="K35" s="325"/>
      <c r="L35" s="325"/>
      <c r="M35" s="325"/>
      <c r="N35" s="325"/>
      <c r="O35" s="325"/>
      <c r="P35" s="325"/>
      <c r="Q35" s="325"/>
      <c r="R35" s="325"/>
      <c r="S35" s="325"/>
      <c r="T35" s="325"/>
      <c r="U35" s="325"/>
      <c r="V35" s="325"/>
      <c r="W35" s="325"/>
      <c r="X35" s="325"/>
      <c r="Y35" s="325"/>
      <c r="Z35" s="325"/>
      <c r="AA35" s="325"/>
      <c r="AB35" s="325"/>
      <c r="AC35" s="325"/>
      <c r="AD35" s="325"/>
      <c r="AE35" s="325"/>
      <c r="AF35" s="325"/>
      <c r="AG35" s="325"/>
      <c r="AH35" s="325"/>
      <c r="AI35" s="325">
        <f t="shared" si="7"/>
        <v>0</v>
      </c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</row>
    <row r="36" spans="1:52" ht="14.4" outlineLevel="3">
      <c r="A36" s="322"/>
      <c r="B36" s="286" t="s">
        <v>836</v>
      </c>
      <c r="C36" s="323" t="s">
        <v>830</v>
      </c>
      <c r="D36" s="323" t="s">
        <v>826</v>
      </c>
      <c r="E36" s="325"/>
      <c r="F36" s="325"/>
      <c r="G36" s="325"/>
      <c r="H36" s="325"/>
      <c r="I36" s="325"/>
      <c r="J36" s="325"/>
      <c r="K36" s="325"/>
      <c r="L36" s="325"/>
      <c r="M36" s="325"/>
      <c r="N36" s="325"/>
      <c r="O36" s="325"/>
      <c r="P36" s="325"/>
      <c r="Q36" s="325"/>
      <c r="R36" s="325"/>
      <c r="S36" s="325"/>
      <c r="T36" s="325"/>
      <c r="U36" s="325"/>
      <c r="V36" s="325"/>
      <c r="W36" s="325"/>
      <c r="X36" s="325"/>
      <c r="Y36" s="325"/>
      <c r="Z36" s="325"/>
      <c r="AA36" s="325"/>
      <c r="AB36" s="325"/>
      <c r="AC36" s="325"/>
      <c r="AD36" s="325"/>
      <c r="AE36" s="325"/>
      <c r="AF36" s="325"/>
      <c r="AG36" s="325"/>
      <c r="AH36" s="325"/>
      <c r="AI36" s="325">
        <f t="shared" si="7"/>
        <v>0</v>
      </c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</row>
    <row r="37" spans="1:52" ht="14.4" outlineLevel="3">
      <c r="A37" s="322" t="s">
        <v>831</v>
      </c>
      <c r="B37" s="326" t="s">
        <v>837</v>
      </c>
      <c r="C37" s="327" t="s">
        <v>832</v>
      </c>
      <c r="D37" s="327" t="s">
        <v>826</v>
      </c>
      <c r="E37" s="325"/>
      <c r="F37" s="325"/>
      <c r="G37" s="325"/>
      <c r="H37" s="325"/>
      <c r="I37" s="325"/>
      <c r="J37" s="325"/>
      <c r="K37" s="328"/>
      <c r="L37" s="328"/>
      <c r="M37" s="328"/>
      <c r="N37" s="328"/>
      <c r="O37" s="328"/>
      <c r="P37" s="328"/>
      <c r="Q37" s="328"/>
      <c r="R37" s="328"/>
      <c r="S37" s="328"/>
      <c r="T37" s="328"/>
      <c r="U37" s="328"/>
      <c r="V37" s="328"/>
      <c r="W37" s="328"/>
      <c r="X37" s="328"/>
      <c r="Y37" s="328"/>
      <c r="Z37" s="328"/>
      <c r="AA37" s="328"/>
      <c r="AB37" s="328"/>
      <c r="AC37" s="328"/>
      <c r="AD37" s="328"/>
      <c r="AE37" s="328"/>
      <c r="AF37" s="328"/>
      <c r="AG37" s="328"/>
      <c r="AH37" s="328"/>
      <c r="AI37" s="328">
        <f t="shared" si="7"/>
        <v>0</v>
      </c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</row>
    <row r="38" spans="1:52" ht="14.4" outlineLevel="3">
      <c r="A38" s="322" t="s">
        <v>831</v>
      </c>
      <c r="B38" s="326" t="s">
        <v>838</v>
      </c>
      <c r="C38" s="327" t="s">
        <v>833</v>
      </c>
      <c r="D38" s="327" t="s">
        <v>826</v>
      </c>
      <c r="E38" s="325">
        <f>(224.5-224.4)*2</f>
        <v>0.19999999999998863</v>
      </c>
      <c r="F38" s="324">
        <f t="shared" ref="F38:U39" si="8">E38</f>
        <v>0.19999999999998863</v>
      </c>
      <c r="G38" s="325">
        <f t="shared" si="8"/>
        <v>0.19999999999998863</v>
      </c>
      <c r="H38" s="325">
        <f t="shared" si="8"/>
        <v>0.19999999999998863</v>
      </c>
      <c r="I38" s="325">
        <f t="shared" si="8"/>
        <v>0.19999999999998863</v>
      </c>
      <c r="J38" s="325">
        <f t="shared" si="8"/>
        <v>0.19999999999998863</v>
      </c>
      <c r="K38" s="328">
        <f>J38*0</f>
        <v>0</v>
      </c>
      <c r="L38" s="328">
        <f t="shared" si="8"/>
        <v>0</v>
      </c>
      <c r="M38" s="328">
        <f t="shared" si="8"/>
        <v>0</v>
      </c>
      <c r="N38" s="328">
        <f t="shared" si="8"/>
        <v>0</v>
      </c>
      <c r="O38" s="328">
        <f t="shared" si="8"/>
        <v>0</v>
      </c>
      <c r="P38" s="328">
        <f t="shared" si="8"/>
        <v>0</v>
      </c>
      <c r="Q38" s="328">
        <f t="shared" si="8"/>
        <v>0</v>
      </c>
      <c r="R38" s="328">
        <f t="shared" si="8"/>
        <v>0</v>
      </c>
      <c r="S38" s="328">
        <f t="shared" si="8"/>
        <v>0</v>
      </c>
      <c r="T38" s="328">
        <f t="shared" si="8"/>
        <v>0</v>
      </c>
      <c r="U38" s="328">
        <f t="shared" si="8"/>
        <v>0</v>
      </c>
      <c r="V38" s="328">
        <f t="shared" ref="V38:AH39" si="9">U38</f>
        <v>0</v>
      </c>
      <c r="W38" s="328">
        <f t="shared" si="9"/>
        <v>0</v>
      </c>
      <c r="X38" s="328">
        <f t="shared" si="9"/>
        <v>0</v>
      </c>
      <c r="Y38" s="328">
        <f t="shared" si="9"/>
        <v>0</v>
      </c>
      <c r="Z38" s="328">
        <f t="shared" si="9"/>
        <v>0</v>
      </c>
      <c r="AA38" s="328">
        <f t="shared" si="9"/>
        <v>0</v>
      </c>
      <c r="AB38" s="328">
        <f t="shared" si="9"/>
        <v>0</v>
      </c>
      <c r="AC38" s="328">
        <f t="shared" si="9"/>
        <v>0</v>
      </c>
      <c r="AD38" s="328">
        <f t="shared" si="9"/>
        <v>0</v>
      </c>
      <c r="AE38" s="328">
        <f t="shared" si="9"/>
        <v>0</v>
      </c>
      <c r="AF38" s="328">
        <f t="shared" si="9"/>
        <v>0</v>
      </c>
      <c r="AG38" s="328">
        <f t="shared" si="9"/>
        <v>0</v>
      </c>
      <c r="AH38" s="328">
        <f t="shared" si="9"/>
        <v>0</v>
      </c>
      <c r="AI38" s="328">
        <f t="shared" si="7"/>
        <v>1.1999999999999318</v>
      </c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</row>
    <row r="39" spans="1:52" ht="14.4" outlineLevel="3">
      <c r="A39" s="322" t="s">
        <v>831</v>
      </c>
      <c r="B39" s="326" t="s">
        <v>839</v>
      </c>
      <c r="C39" s="327" t="s">
        <v>1015</v>
      </c>
      <c r="D39" s="327" t="s">
        <v>826</v>
      </c>
      <c r="E39" s="325">
        <f>(227.2-224.5)*2</f>
        <v>5.3999999999999773</v>
      </c>
      <c r="F39" s="324">
        <f t="shared" si="8"/>
        <v>5.3999999999999773</v>
      </c>
      <c r="G39" s="325">
        <f t="shared" si="8"/>
        <v>5.3999999999999773</v>
      </c>
      <c r="H39" s="325">
        <f t="shared" si="8"/>
        <v>5.3999999999999773</v>
      </c>
      <c r="I39" s="325">
        <f t="shared" si="8"/>
        <v>5.3999999999999773</v>
      </c>
      <c r="J39" s="325">
        <f t="shared" si="8"/>
        <v>5.3999999999999773</v>
      </c>
      <c r="K39" s="328">
        <f>J39*0</f>
        <v>0</v>
      </c>
      <c r="L39" s="328">
        <f t="shared" si="8"/>
        <v>0</v>
      </c>
      <c r="M39" s="328">
        <f t="shared" si="8"/>
        <v>0</v>
      </c>
      <c r="N39" s="328">
        <f t="shared" si="8"/>
        <v>0</v>
      </c>
      <c r="O39" s="328">
        <f t="shared" si="8"/>
        <v>0</v>
      </c>
      <c r="P39" s="328">
        <f t="shared" si="8"/>
        <v>0</v>
      </c>
      <c r="Q39" s="328">
        <f t="shared" si="8"/>
        <v>0</v>
      </c>
      <c r="R39" s="328">
        <f t="shared" si="8"/>
        <v>0</v>
      </c>
      <c r="S39" s="328">
        <f t="shared" si="8"/>
        <v>0</v>
      </c>
      <c r="T39" s="328">
        <f t="shared" si="8"/>
        <v>0</v>
      </c>
      <c r="U39" s="328">
        <f t="shared" si="8"/>
        <v>0</v>
      </c>
      <c r="V39" s="328">
        <f t="shared" si="9"/>
        <v>0</v>
      </c>
      <c r="W39" s="328">
        <f t="shared" si="9"/>
        <v>0</v>
      </c>
      <c r="X39" s="328">
        <f t="shared" si="9"/>
        <v>0</v>
      </c>
      <c r="Y39" s="328">
        <f t="shared" si="9"/>
        <v>0</v>
      </c>
      <c r="Z39" s="328">
        <f t="shared" si="9"/>
        <v>0</v>
      </c>
      <c r="AA39" s="328">
        <f t="shared" si="9"/>
        <v>0</v>
      </c>
      <c r="AB39" s="328">
        <f t="shared" si="9"/>
        <v>0</v>
      </c>
      <c r="AC39" s="328">
        <f t="shared" si="9"/>
        <v>0</v>
      </c>
      <c r="AD39" s="328">
        <f t="shared" si="9"/>
        <v>0</v>
      </c>
      <c r="AE39" s="328">
        <f t="shared" si="9"/>
        <v>0</v>
      </c>
      <c r="AF39" s="328">
        <f t="shared" si="9"/>
        <v>0</v>
      </c>
      <c r="AG39" s="328">
        <f t="shared" si="9"/>
        <v>0</v>
      </c>
      <c r="AH39" s="328">
        <f t="shared" si="9"/>
        <v>0</v>
      </c>
      <c r="AI39" s="328">
        <f t="shared" si="7"/>
        <v>32.399999999999864</v>
      </c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</row>
    <row r="40" spans="1:52" ht="14.4" outlineLevel="1">
      <c r="B40" s="403" t="s">
        <v>840</v>
      </c>
      <c r="C40" s="404"/>
      <c r="D40" s="6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7" t="s">
        <v>821</v>
      </c>
      <c r="AK40" s="9"/>
      <c r="AL40" s="9"/>
    </row>
    <row r="41" spans="1:52" ht="14.4" outlineLevel="2">
      <c r="B41" s="10">
        <v>3</v>
      </c>
      <c r="C41" s="11" t="s">
        <v>841</v>
      </c>
      <c r="D41" s="11" t="s">
        <v>823</v>
      </c>
      <c r="E41" s="128">
        <f t="shared" ref="E41:AI41" si="10">SUM(E42:E49)</f>
        <v>14.399999999999944</v>
      </c>
      <c r="F41" s="128">
        <f t="shared" si="10"/>
        <v>14.399999999999944</v>
      </c>
      <c r="G41" s="128">
        <f t="shared" si="10"/>
        <v>14.399999999999944</v>
      </c>
      <c r="H41" s="128">
        <f t="shared" si="10"/>
        <v>14.399999999999944</v>
      </c>
      <c r="I41" s="128">
        <f t="shared" si="10"/>
        <v>14.399999999999944</v>
      </c>
      <c r="J41" s="128">
        <f t="shared" si="10"/>
        <v>14.399999999999944</v>
      </c>
      <c r="K41" s="128">
        <f t="shared" si="10"/>
        <v>14.399999999999944</v>
      </c>
      <c r="L41" s="128">
        <f t="shared" si="10"/>
        <v>14.399999999999944</v>
      </c>
      <c r="M41" s="128">
        <f t="shared" si="10"/>
        <v>14.399999999999944</v>
      </c>
      <c r="N41" s="128">
        <f t="shared" si="10"/>
        <v>14.399999999999944</v>
      </c>
      <c r="O41" s="128">
        <f t="shared" si="10"/>
        <v>14.399999999999944</v>
      </c>
      <c r="P41" s="128">
        <f t="shared" si="10"/>
        <v>14.399999999999944</v>
      </c>
      <c r="Q41" s="128">
        <f t="shared" si="10"/>
        <v>14.399999999999944</v>
      </c>
      <c r="R41" s="128">
        <f t="shared" si="10"/>
        <v>14.399999999999944</v>
      </c>
      <c r="S41" s="128">
        <f t="shared" si="10"/>
        <v>14.399999999999944</v>
      </c>
      <c r="T41" s="128">
        <f t="shared" si="10"/>
        <v>14.399999999999944</v>
      </c>
      <c r="U41" s="128">
        <f t="shared" si="10"/>
        <v>14.399999999999944</v>
      </c>
      <c r="V41" s="128">
        <f t="shared" si="10"/>
        <v>14.399999999999944</v>
      </c>
      <c r="W41" s="128">
        <f t="shared" si="10"/>
        <v>14.399999999999944</v>
      </c>
      <c r="X41" s="128">
        <f t="shared" si="10"/>
        <v>14.399999999999944</v>
      </c>
      <c r="Y41" s="128">
        <f t="shared" si="10"/>
        <v>14.399999999999944</v>
      </c>
      <c r="Z41" s="128">
        <f t="shared" si="10"/>
        <v>14.399999999999944</v>
      </c>
      <c r="AA41" s="128">
        <f t="shared" si="10"/>
        <v>14.399999999999944</v>
      </c>
      <c r="AB41" s="128">
        <f t="shared" si="10"/>
        <v>14.399999999999944</v>
      </c>
      <c r="AC41" s="128">
        <f t="shared" si="10"/>
        <v>14.399999999999944</v>
      </c>
      <c r="AD41" s="128">
        <f t="shared" si="10"/>
        <v>14.399999999999944</v>
      </c>
      <c r="AE41" s="128">
        <f t="shared" si="10"/>
        <v>14.399999999999944</v>
      </c>
      <c r="AF41" s="128">
        <f t="shared" si="10"/>
        <v>14.399999999999944</v>
      </c>
      <c r="AG41" s="128">
        <f t="shared" si="10"/>
        <v>14.399999999999944</v>
      </c>
      <c r="AH41" s="128">
        <f t="shared" si="10"/>
        <v>14.399999999999944</v>
      </c>
      <c r="AI41" s="128">
        <f t="shared" si="10"/>
        <v>431.99999999999841</v>
      </c>
      <c r="AJ41" s="13"/>
      <c r="AK41" s="14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</row>
    <row r="42" spans="1:52" ht="14.4" outlineLevel="3">
      <c r="A42" s="322"/>
      <c r="B42" s="286" t="s">
        <v>842</v>
      </c>
      <c r="C42" s="323" t="s">
        <v>825</v>
      </c>
      <c r="D42" s="323" t="s">
        <v>826</v>
      </c>
      <c r="E42" s="324">
        <f>((0.2-0.1)+(8.9-8.5)*2)</f>
        <v>0.90000000000000069</v>
      </c>
      <c r="F42" s="324">
        <f>E42</f>
        <v>0.90000000000000069</v>
      </c>
      <c r="G42" s="324">
        <f t="shared" ref="G42:V42" si="11">F42</f>
        <v>0.90000000000000069</v>
      </c>
      <c r="H42" s="324">
        <f t="shared" si="11"/>
        <v>0.90000000000000069</v>
      </c>
      <c r="I42" s="324">
        <f t="shared" si="11"/>
        <v>0.90000000000000069</v>
      </c>
      <c r="J42" s="324">
        <f t="shared" si="11"/>
        <v>0.90000000000000069</v>
      </c>
      <c r="K42" s="324">
        <f t="shared" si="11"/>
        <v>0.90000000000000069</v>
      </c>
      <c r="L42" s="324">
        <f t="shared" si="11"/>
        <v>0.90000000000000069</v>
      </c>
      <c r="M42" s="324">
        <f t="shared" si="11"/>
        <v>0.90000000000000069</v>
      </c>
      <c r="N42" s="324">
        <f t="shared" si="11"/>
        <v>0.90000000000000069</v>
      </c>
      <c r="O42" s="324">
        <f t="shared" si="11"/>
        <v>0.90000000000000069</v>
      </c>
      <c r="P42" s="324">
        <f t="shared" si="11"/>
        <v>0.90000000000000069</v>
      </c>
      <c r="Q42" s="324">
        <f t="shared" si="11"/>
        <v>0.90000000000000069</v>
      </c>
      <c r="R42" s="324">
        <f t="shared" si="11"/>
        <v>0.90000000000000069</v>
      </c>
      <c r="S42" s="324">
        <f t="shared" si="11"/>
        <v>0.90000000000000069</v>
      </c>
      <c r="T42" s="324">
        <f t="shared" si="11"/>
        <v>0.90000000000000069</v>
      </c>
      <c r="U42" s="324">
        <f t="shared" si="11"/>
        <v>0.90000000000000069</v>
      </c>
      <c r="V42" s="324">
        <f t="shared" si="11"/>
        <v>0.90000000000000069</v>
      </c>
      <c r="W42" s="324">
        <f t="shared" ref="V42:AH47" si="12">V42</f>
        <v>0.90000000000000069</v>
      </c>
      <c r="X42" s="324">
        <f t="shared" si="12"/>
        <v>0.90000000000000069</v>
      </c>
      <c r="Y42" s="324">
        <f t="shared" si="12"/>
        <v>0.90000000000000069</v>
      </c>
      <c r="Z42" s="324">
        <f t="shared" si="12"/>
        <v>0.90000000000000069</v>
      </c>
      <c r="AA42" s="324">
        <f t="shared" si="12"/>
        <v>0.90000000000000069</v>
      </c>
      <c r="AB42" s="324">
        <f t="shared" si="12"/>
        <v>0.90000000000000069</v>
      </c>
      <c r="AC42" s="324">
        <f t="shared" si="12"/>
        <v>0.90000000000000069</v>
      </c>
      <c r="AD42" s="324">
        <f t="shared" si="12"/>
        <v>0.90000000000000069</v>
      </c>
      <c r="AE42" s="324">
        <f t="shared" si="12"/>
        <v>0.90000000000000069</v>
      </c>
      <c r="AF42" s="324">
        <f t="shared" si="12"/>
        <v>0.90000000000000069</v>
      </c>
      <c r="AG42" s="324">
        <f t="shared" si="12"/>
        <v>0.90000000000000069</v>
      </c>
      <c r="AH42" s="324">
        <f t="shared" si="12"/>
        <v>0.90000000000000069</v>
      </c>
      <c r="AI42" s="324">
        <f t="shared" ref="AI42:AI49" si="13">SUM(E42:AH42)</f>
        <v>27.000000000000036</v>
      </c>
      <c r="AJ42" s="15"/>
      <c r="AK42" s="13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2" ht="14.4" outlineLevel="3">
      <c r="A43" s="322"/>
      <c r="B43" s="286" t="s">
        <v>203</v>
      </c>
      <c r="C43" s="323" t="s">
        <v>827</v>
      </c>
      <c r="D43" s="323" t="s">
        <v>826</v>
      </c>
      <c r="E43" s="325">
        <f>((22.9-22.5)+(22.9-22.6)+(38.2-37.8)*2+(59.6-59.2)+(59.7-59.3)+(91.9-91.4)*2+(96.8-96.6)*2+(97.8-97.6)*2+(99.5-99.3)*2+(100.4-100.2)*2+(101.5-101.3)*2+(105-104.8)*2+(105.7-105.5)*2+(107.6-107.4)*2+(109.2-109)*2+(110.7-110.5)*2+(112.5-112.3)*2+(113.2-113)*2+(114.6-114.4)*2+(117-116.8)*2+(117.4-117.2)*2)</f>
        <v>9.3000000000000398</v>
      </c>
      <c r="F43" s="324">
        <f t="shared" ref="F43:U47" si="14">E43</f>
        <v>9.3000000000000398</v>
      </c>
      <c r="G43" s="324">
        <f t="shared" si="14"/>
        <v>9.3000000000000398</v>
      </c>
      <c r="H43" s="324">
        <f t="shared" si="14"/>
        <v>9.3000000000000398</v>
      </c>
      <c r="I43" s="324">
        <f t="shared" si="14"/>
        <v>9.3000000000000398</v>
      </c>
      <c r="J43" s="324">
        <f t="shared" si="14"/>
        <v>9.3000000000000398</v>
      </c>
      <c r="K43" s="324">
        <f t="shared" si="14"/>
        <v>9.3000000000000398</v>
      </c>
      <c r="L43" s="324">
        <f t="shared" si="14"/>
        <v>9.3000000000000398</v>
      </c>
      <c r="M43" s="324">
        <f t="shared" si="14"/>
        <v>9.3000000000000398</v>
      </c>
      <c r="N43" s="324">
        <f t="shared" si="14"/>
        <v>9.3000000000000398</v>
      </c>
      <c r="O43" s="324">
        <f t="shared" si="14"/>
        <v>9.3000000000000398</v>
      </c>
      <c r="P43" s="324">
        <f t="shared" si="14"/>
        <v>9.3000000000000398</v>
      </c>
      <c r="Q43" s="324">
        <f t="shared" si="14"/>
        <v>9.3000000000000398</v>
      </c>
      <c r="R43" s="324">
        <f t="shared" si="14"/>
        <v>9.3000000000000398</v>
      </c>
      <c r="S43" s="324">
        <f t="shared" si="14"/>
        <v>9.3000000000000398</v>
      </c>
      <c r="T43" s="324">
        <f t="shared" si="14"/>
        <v>9.3000000000000398</v>
      </c>
      <c r="U43" s="324">
        <f t="shared" si="14"/>
        <v>9.3000000000000398</v>
      </c>
      <c r="V43" s="324">
        <f t="shared" si="12"/>
        <v>9.3000000000000398</v>
      </c>
      <c r="W43" s="324">
        <f t="shared" si="12"/>
        <v>9.3000000000000398</v>
      </c>
      <c r="X43" s="324">
        <f t="shared" si="12"/>
        <v>9.3000000000000398</v>
      </c>
      <c r="Y43" s="324">
        <f t="shared" si="12"/>
        <v>9.3000000000000398</v>
      </c>
      <c r="Z43" s="324">
        <f t="shared" si="12"/>
        <v>9.3000000000000398</v>
      </c>
      <c r="AA43" s="324">
        <f t="shared" si="12"/>
        <v>9.3000000000000398</v>
      </c>
      <c r="AB43" s="324">
        <f t="shared" si="12"/>
        <v>9.3000000000000398</v>
      </c>
      <c r="AC43" s="324">
        <f t="shared" si="12"/>
        <v>9.3000000000000398</v>
      </c>
      <c r="AD43" s="324">
        <f t="shared" si="12"/>
        <v>9.3000000000000398</v>
      </c>
      <c r="AE43" s="324">
        <f t="shared" si="12"/>
        <v>9.3000000000000398</v>
      </c>
      <c r="AF43" s="324">
        <f t="shared" si="12"/>
        <v>9.3000000000000398</v>
      </c>
      <c r="AG43" s="324">
        <f t="shared" si="12"/>
        <v>9.3000000000000398</v>
      </c>
      <c r="AH43" s="324">
        <f t="shared" si="12"/>
        <v>9.3000000000000398</v>
      </c>
      <c r="AI43" s="325">
        <f t="shared" si="13"/>
        <v>279.00000000000125</v>
      </c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</row>
    <row r="44" spans="1:52" ht="14.4" outlineLevel="3">
      <c r="A44" s="322"/>
      <c r="B44" s="286" t="s">
        <v>843</v>
      </c>
      <c r="C44" s="323" t="s">
        <v>828</v>
      </c>
      <c r="D44" s="323" t="s">
        <v>826</v>
      </c>
      <c r="E44" s="325">
        <f>((120.6-120.4)*2+(123.2-123)*2+(124.7-124.5)*2+(127.1-126.9)*2+(131.2-131)*2+(136-135.8)*2+(139-138.7)+(139-138.8))</f>
        <v>2.8999999999999204</v>
      </c>
      <c r="F44" s="324">
        <f t="shared" si="14"/>
        <v>2.8999999999999204</v>
      </c>
      <c r="G44" s="324">
        <f t="shared" si="14"/>
        <v>2.8999999999999204</v>
      </c>
      <c r="H44" s="324">
        <f t="shared" si="14"/>
        <v>2.8999999999999204</v>
      </c>
      <c r="I44" s="324">
        <f t="shared" si="14"/>
        <v>2.8999999999999204</v>
      </c>
      <c r="J44" s="324">
        <f t="shared" si="14"/>
        <v>2.8999999999999204</v>
      </c>
      <c r="K44" s="324">
        <f t="shared" si="14"/>
        <v>2.8999999999999204</v>
      </c>
      <c r="L44" s="324">
        <f t="shared" si="14"/>
        <v>2.8999999999999204</v>
      </c>
      <c r="M44" s="324">
        <f t="shared" si="14"/>
        <v>2.8999999999999204</v>
      </c>
      <c r="N44" s="324">
        <f t="shared" si="14"/>
        <v>2.8999999999999204</v>
      </c>
      <c r="O44" s="324">
        <f t="shared" si="14"/>
        <v>2.8999999999999204</v>
      </c>
      <c r="P44" s="324">
        <f t="shared" si="14"/>
        <v>2.8999999999999204</v>
      </c>
      <c r="Q44" s="324">
        <f t="shared" si="14"/>
        <v>2.8999999999999204</v>
      </c>
      <c r="R44" s="324">
        <f t="shared" si="14"/>
        <v>2.8999999999999204</v>
      </c>
      <c r="S44" s="324">
        <f t="shared" si="14"/>
        <v>2.8999999999999204</v>
      </c>
      <c r="T44" s="324">
        <f t="shared" si="14"/>
        <v>2.8999999999999204</v>
      </c>
      <c r="U44" s="324">
        <f t="shared" si="14"/>
        <v>2.8999999999999204</v>
      </c>
      <c r="V44" s="324">
        <f t="shared" si="12"/>
        <v>2.8999999999999204</v>
      </c>
      <c r="W44" s="324">
        <f t="shared" si="12"/>
        <v>2.8999999999999204</v>
      </c>
      <c r="X44" s="324">
        <f t="shared" si="12"/>
        <v>2.8999999999999204</v>
      </c>
      <c r="Y44" s="324">
        <f t="shared" si="12"/>
        <v>2.8999999999999204</v>
      </c>
      <c r="Z44" s="324">
        <f t="shared" si="12"/>
        <v>2.8999999999999204</v>
      </c>
      <c r="AA44" s="324">
        <f t="shared" si="12"/>
        <v>2.8999999999999204</v>
      </c>
      <c r="AB44" s="324">
        <f t="shared" si="12"/>
        <v>2.8999999999999204</v>
      </c>
      <c r="AC44" s="324">
        <f t="shared" si="12"/>
        <v>2.8999999999999204</v>
      </c>
      <c r="AD44" s="324">
        <f t="shared" si="12"/>
        <v>2.8999999999999204</v>
      </c>
      <c r="AE44" s="324">
        <f t="shared" si="12"/>
        <v>2.8999999999999204</v>
      </c>
      <c r="AF44" s="324">
        <f t="shared" si="12"/>
        <v>2.8999999999999204</v>
      </c>
      <c r="AG44" s="324">
        <f t="shared" si="12"/>
        <v>2.8999999999999204</v>
      </c>
      <c r="AH44" s="324">
        <f t="shared" si="12"/>
        <v>2.8999999999999204</v>
      </c>
      <c r="AI44" s="325">
        <f t="shared" si="13"/>
        <v>86.999999999997613</v>
      </c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</row>
    <row r="45" spans="1:52" ht="14.4" outlineLevel="3">
      <c r="A45" s="322"/>
      <c r="B45" s="286" t="s">
        <v>844</v>
      </c>
      <c r="C45" s="323" t="s">
        <v>829</v>
      </c>
      <c r="D45" s="323" t="s">
        <v>826</v>
      </c>
      <c r="E45" s="325">
        <f>((139.1-139)+(139.2-139)+(177-176.7)*2)</f>
        <v>0.90000000000000568</v>
      </c>
      <c r="F45" s="324">
        <f t="shared" si="14"/>
        <v>0.90000000000000568</v>
      </c>
      <c r="G45" s="324">
        <f t="shared" si="14"/>
        <v>0.90000000000000568</v>
      </c>
      <c r="H45" s="324">
        <f t="shared" si="14"/>
        <v>0.90000000000000568</v>
      </c>
      <c r="I45" s="324">
        <f t="shared" si="14"/>
        <v>0.90000000000000568</v>
      </c>
      <c r="J45" s="324">
        <f t="shared" si="14"/>
        <v>0.90000000000000568</v>
      </c>
      <c r="K45" s="324">
        <f t="shared" si="14"/>
        <v>0.90000000000000568</v>
      </c>
      <c r="L45" s="324">
        <f t="shared" si="14"/>
        <v>0.90000000000000568</v>
      </c>
      <c r="M45" s="324">
        <f t="shared" si="14"/>
        <v>0.90000000000000568</v>
      </c>
      <c r="N45" s="324">
        <f t="shared" si="14"/>
        <v>0.90000000000000568</v>
      </c>
      <c r="O45" s="324">
        <f t="shared" si="14"/>
        <v>0.90000000000000568</v>
      </c>
      <c r="P45" s="324">
        <f t="shared" si="14"/>
        <v>0.90000000000000568</v>
      </c>
      <c r="Q45" s="324">
        <f t="shared" si="14"/>
        <v>0.90000000000000568</v>
      </c>
      <c r="R45" s="324">
        <f t="shared" si="14"/>
        <v>0.90000000000000568</v>
      </c>
      <c r="S45" s="324">
        <f t="shared" si="14"/>
        <v>0.90000000000000568</v>
      </c>
      <c r="T45" s="324">
        <f t="shared" si="14"/>
        <v>0.90000000000000568</v>
      </c>
      <c r="U45" s="324">
        <f t="shared" si="14"/>
        <v>0.90000000000000568</v>
      </c>
      <c r="V45" s="324">
        <f t="shared" si="12"/>
        <v>0.90000000000000568</v>
      </c>
      <c r="W45" s="324">
        <f t="shared" si="12"/>
        <v>0.90000000000000568</v>
      </c>
      <c r="X45" s="324">
        <f t="shared" si="12"/>
        <v>0.90000000000000568</v>
      </c>
      <c r="Y45" s="324">
        <f t="shared" si="12"/>
        <v>0.90000000000000568</v>
      </c>
      <c r="Z45" s="324">
        <f t="shared" si="12"/>
        <v>0.90000000000000568</v>
      </c>
      <c r="AA45" s="324">
        <f t="shared" si="12"/>
        <v>0.90000000000000568</v>
      </c>
      <c r="AB45" s="324">
        <f t="shared" si="12"/>
        <v>0.90000000000000568</v>
      </c>
      <c r="AC45" s="324">
        <f t="shared" si="12"/>
        <v>0.90000000000000568</v>
      </c>
      <c r="AD45" s="324">
        <f t="shared" si="12"/>
        <v>0.90000000000000568</v>
      </c>
      <c r="AE45" s="324">
        <f t="shared" si="12"/>
        <v>0.90000000000000568</v>
      </c>
      <c r="AF45" s="324">
        <f t="shared" si="12"/>
        <v>0.90000000000000568</v>
      </c>
      <c r="AG45" s="324">
        <f t="shared" si="12"/>
        <v>0.90000000000000568</v>
      </c>
      <c r="AH45" s="324">
        <f t="shared" si="12"/>
        <v>0.90000000000000568</v>
      </c>
      <c r="AI45" s="325">
        <f t="shared" si="13"/>
        <v>27.000000000000171</v>
      </c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</row>
    <row r="46" spans="1:52" ht="14.4" outlineLevel="3">
      <c r="A46" s="322"/>
      <c r="B46" s="286" t="s">
        <v>845</v>
      </c>
      <c r="C46" s="323" t="s">
        <v>830</v>
      </c>
      <c r="D46" s="323" t="s">
        <v>826</v>
      </c>
      <c r="E46" s="325">
        <f>((209.9-209.8)*2)</f>
        <v>0.19999999999998863</v>
      </c>
      <c r="F46" s="324">
        <f t="shared" si="14"/>
        <v>0.19999999999998863</v>
      </c>
      <c r="G46" s="324">
        <f t="shared" si="14"/>
        <v>0.19999999999998863</v>
      </c>
      <c r="H46" s="324">
        <f t="shared" si="14"/>
        <v>0.19999999999998863</v>
      </c>
      <c r="I46" s="324">
        <f t="shared" si="14"/>
        <v>0.19999999999998863</v>
      </c>
      <c r="J46" s="324">
        <f t="shared" si="14"/>
        <v>0.19999999999998863</v>
      </c>
      <c r="K46" s="324">
        <f t="shared" si="14"/>
        <v>0.19999999999998863</v>
      </c>
      <c r="L46" s="324">
        <f t="shared" si="14"/>
        <v>0.19999999999998863</v>
      </c>
      <c r="M46" s="324">
        <f t="shared" si="14"/>
        <v>0.19999999999998863</v>
      </c>
      <c r="N46" s="324">
        <f t="shared" si="14"/>
        <v>0.19999999999998863</v>
      </c>
      <c r="O46" s="324">
        <f t="shared" si="14"/>
        <v>0.19999999999998863</v>
      </c>
      <c r="P46" s="324">
        <f t="shared" si="14"/>
        <v>0.19999999999998863</v>
      </c>
      <c r="Q46" s="324">
        <f t="shared" si="14"/>
        <v>0.19999999999998863</v>
      </c>
      <c r="R46" s="324">
        <f t="shared" si="14"/>
        <v>0.19999999999998863</v>
      </c>
      <c r="S46" s="324">
        <f t="shared" si="14"/>
        <v>0.19999999999998863</v>
      </c>
      <c r="T46" s="324">
        <f t="shared" si="14"/>
        <v>0.19999999999998863</v>
      </c>
      <c r="U46" s="324">
        <f t="shared" si="14"/>
        <v>0.19999999999998863</v>
      </c>
      <c r="V46" s="324">
        <f t="shared" si="12"/>
        <v>0.19999999999998863</v>
      </c>
      <c r="W46" s="324">
        <f t="shared" si="12"/>
        <v>0.19999999999998863</v>
      </c>
      <c r="X46" s="324">
        <f t="shared" si="12"/>
        <v>0.19999999999998863</v>
      </c>
      <c r="Y46" s="324">
        <f t="shared" si="12"/>
        <v>0.19999999999998863</v>
      </c>
      <c r="Z46" s="324">
        <f t="shared" si="12"/>
        <v>0.19999999999998863</v>
      </c>
      <c r="AA46" s="324">
        <f t="shared" si="12"/>
        <v>0.19999999999998863</v>
      </c>
      <c r="AB46" s="324">
        <f t="shared" si="12"/>
        <v>0.19999999999998863</v>
      </c>
      <c r="AC46" s="324">
        <f t="shared" si="12"/>
        <v>0.19999999999998863</v>
      </c>
      <c r="AD46" s="324">
        <f t="shared" si="12"/>
        <v>0.19999999999998863</v>
      </c>
      <c r="AE46" s="324">
        <f t="shared" si="12"/>
        <v>0.19999999999998863</v>
      </c>
      <c r="AF46" s="324">
        <f t="shared" si="12"/>
        <v>0.19999999999998863</v>
      </c>
      <c r="AG46" s="324">
        <f t="shared" si="12"/>
        <v>0.19999999999998863</v>
      </c>
      <c r="AH46" s="324">
        <f t="shared" si="12"/>
        <v>0.19999999999998863</v>
      </c>
      <c r="AI46" s="325">
        <f t="shared" si="13"/>
        <v>5.9999999999996589</v>
      </c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</row>
    <row r="47" spans="1:52" ht="14.4" outlineLevel="3">
      <c r="A47" s="322" t="s">
        <v>831</v>
      </c>
      <c r="B47" s="326" t="s">
        <v>846</v>
      </c>
      <c r="C47" s="327" t="s">
        <v>832</v>
      </c>
      <c r="D47" s="327" t="s">
        <v>826</v>
      </c>
      <c r="E47" s="325">
        <f>((210-209.9)*2)</f>
        <v>0.19999999999998863</v>
      </c>
      <c r="F47" s="324">
        <f t="shared" si="14"/>
        <v>0.19999999999998863</v>
      </c>
      <c r="G47" s="325">
        <f t="shared" si="14"/>
        <v>0.19999999999998863</v>
      </c>
      <c r="H47" s="325">
        <f t="shared" si="14"/>
        <v>0.19999999999998863</v>
      </c>
      <c r="I47" s="325">
        <f t="shared" si="14"/>
        <v>0.19999999999998863</v>
      </c>
      <c r="J47" s="325">
        <f t="shared" si="14"/>
        <v>0.19999999999998863</v>
      </c>
      <c r="K47" s="328">
        <f t="shared" si="14"/>
        <v>0.19999999999998863</v>
      </c>
      <c r="L47" s="328">
        <f t="shared" si="14"/>
        <v>0.19999999999998863</v>
      </c>
      <c r="M47" s="328">
        <f t="shared" si="14"/>
        <v>0.19999999999998863</v>
      </c>
      <c r="N47" s="328">
        <f t="shared" si="14"/>
        <v>0.19999999999998863</v>
      </c>
      <c r="O47" s="328">
        <f t="shared" si="14"/>
        <v>0.19999999999998863</v>
      </c>
      <c r="P47" s="328">
        <f t="shared" si="14"/>
        <v>0.19999999999998863</v>
      </c>
      <c r="Q47" s="328">
        <f t="shared" si="14"/>
        <v>0.19999999999998863</v>
      </c>
      <c r="R47" s="328">
        <f t="shared" si="14"/>
        <v>0.19999999999998863</v>
      </c>
      <c r="S47" s="328">
        <f t="shared" si="14"/>
        <v>0.19999999999998863</v>
      </c>
      <c r="T47" s="328">
        <f t="shared" si="14"/>
        <v>0.19999999999998863</v>
      </c>
      <c r="U47" s="328">
        <f t="shared" si="14"/>
        <v>0.19999999999998863</v>
      </c>
      <c r="V47" s="328">
        <f t="shared" si="12"/>
        <v>0.19999999999998863</v>
      </c>
      <c r="W47" s="328">
        <f t="shared" si="12"/>
        <v>0.19999999999998863</v>
      </c>
      <c r="X47" s="328">
        <f t="shared" si="12"/>
        <v>0.19999999999998863</v>
      </c>
      <c r="Y47" s="328">
        <f t="shared" si="12"/>
        <v>0.19999999999998863</v>
      </c>
      <c r="Z47" s="328">
        <f t="shared" si="12"/>
        <v>0.19999999999998863</v>
      </c>
      <c r="AA47" s="328">
        <f t="shared" si="12"/>
        <v>0.19999999999998863</v>
      </c>
      <c r="AB47" s="328">
        <f t="shared" si="12"/>
        <v>0.19999999999998863</v>
      </c>
      <c r="AC47" s="328">
        <f t="shared" si="12"/>
        <v>0.19999999999998863</v>
      </c>
      <c r="AD47" s="328">
        <f t="shared" si="12"/>
        <v>0.19999999999998863</v>
      </c>
      <c r="AE47" s="328">
        <f t="shared" si="12"/>
        <v>0.19999999999998863</v>
      </c>
      <c r="AF47" s="328">
        <f t="shared" si="12"/>
        <v>0.19999999999998863</v>
      </c>
      <c r="AG47" s="328">
        <f t="shared" si="12"/>
        <v>0.19999999999998863</v>
      </c>
      <c r="AH47" s="328">
        <f t="shared" si="12"/>
        <v>0.19999999999998863</v>
      </c>
      <c r="AI47" s="328">
        <f t="shared" si="13"/>
        <v>5.9999999999996589</v>
      </c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</row>
    <row r="48" spans="1:52" ht="14.4" outlineLevel="3">
      <c r="A48" s="322" t="s">
        <v>831</v>
      </c>
      <c r="B48" s="326" t="s">
        <v>847</v>
      </c>
      <c r="C48" s="327" t="s">
        <v>833</v>
      </c>
      <c r="D48" s="327" t="s">
        <v>826</v>
      </c>
      <c r="E48" s="325"/>
      <c r="F48" s="324"/>
      <c r="G48" s="325"/>
      <c r="H48" s="325"/>
      <c r="I48" s="325"/>
      <c r="J48" s="325"/>
      <c r="K48" s="328"/>
      <c r="L48" s="328"/>
      <c r="M48" s="328"/>
      <c r="N48" s="328"/>
      <c r="O48" s="328"/>
      <c r="P48" s="328"/>
      <c r="Q48" s="328"/>
      <c r="R48" s="328"/>
      <c r="S48" s="328"/>
      <c r="T48" s="328"/>
      <c r="U48" s="328"/>
      <c r="V48" s="328"/>
      <c r="W48" s="328"/>
      <c r="X48" s="328"/>
      <c r="Y48" s="328"/>
      <c r="Z48" s="328"/>
      <c r="AA48" s="328"/>
      <c r="AB48" s="328"/>
      <c r="AC48" s="328"/>
      <c r="AD48" s="328"/>
      <c r="AE48" s="328"/>
      <c r="AF48" s="328"/>
      <c r="AG48" s="328"/>
      <c r="AH48" s="328"/>
      <c r="AI48" s="328">
        <f t="shared" si="13"/>
        <v>0</v>
      </c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</row>
    <row r="49" spans="1:52" ht="14.4" outlineLevel="3">
      <c r="A49" s="322" t="s">
        <v>831</v>
      </c>
      <c r="B49" s="326" t="s">
        <v>848</v>
      </c>
      <c r="C49" s="327" t="s">
        <v>1015</v>
      </c>
      <c r="D49" s="327" t="s">
        <v>826</v>
      </c>
      <c r="E49" s="325"/>
      <c r="F49" s="324"/>
      <c r="G49" s="325"/>
      <c r="H49" s="325"/>
      <c r="I49" s="325"/>
      <c r="J49" s="325"/>
      <c r="K49" s="328"/>
      <c r="L49" s="328"/>
      <c r="M49" s="328"/>
      <c r="N49" s="328"/>
      <c r="O49" s="328"/>
      <c r="P49" s="328"/>
      <c r="Q49" s="328"/>
      <c r="R49" s="328"/>
      <c r="S49" s="328"/>
      <c r="T49" s="328"/>
      <c r="U49" s="328"/>
      <c r="V49" s="328"/>
      <c r="W49" s="328"/>
      <c r="X49" s="328"/>
      <c r="Y49" s="328"/>
      <c r="Z49" s="328"/>
      <c r="AA49" s="328"/>
      <c r="AB49" s="328"/>
      <c r="AC49" s="328"/>
      <c r="AD49" s="328"/>
      <c r="AE49" s="328"/>
      <c r="AF49" s="328"/>
      <c r="AG49" s="328"/>
      <c r="AH49" s="328"/>
      <c r="AI49" s="328">
        <f t="shared" si="13"/>
        <v>0</v>
      </c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</row>
    <row r="50" spans="1:52" ht="14.4" outlineLevel="1">
      <c r="B50" s="403" t="s">
        <v>849</v>
      </c>
      <c r="C50" s="404"/>
      <c r="D50" s="6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7" t="s">
        <v>821</v>
      </c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</row>
    <row r="51" spans="1:52" ht="14.4" outlineLevel="2">
      <c r="B51" s="10">
        <v>4</v>
      </c>
      <c r="C51" s="11" t="s">
        <v>850</v>
      </c>
      <c r="D51" s="11" t="s">
        <v>823</v>
      </c>
      <c r="E51" s="128">
        <f t="shared" ref="E51:AI51" si="15">SUM(E52:E59)</f>
        <v>0</v>
      </c>
      <c r="F51" s="128">
        <f t="shared" si="15"/>
        <v>0</v>
      </c>
      <c r="G51" s="128">
        <f t="shared" si="15"/>
        <v>0</v>
      </c>
      <c r="H51" s="128">
        <f t="shared" si="15"/>
        <v>0</v>
      </c>
      <c r="I51" s="128">
        <f t="shared" si="15"/>
        <v>0</v>
      </c>
      <c r="J51" s="128">
        <f t="shared" si="15"/>
        <v>0</v>
      </c>
      <c r="K51" s="128">
        <f t="shared" si="15"/>
        <v>0</v>
      </c>
      <c r="L51" s="128">
        <f t="shared" si="15"/>
        <v>0</v>
      </c>
      <c r="M51" s="128">
        <f t="shared" si="15"/>
        <v>0</v>
      </c>
      <c r="N51" s="128">
        <f t="shared" si="15"/>
        <v>0</v>
      </c>
      <c r="O51" s="128">
        <f t="shared" si="15"/>
        <v>0</v>
      </c>
      <c r="P51" s="128">
        <f t="shared" si="15"/>
        <v>0</v>
      </c>
      <c r="Q51" s="128">
        <f t="shared" si="15"/>
        <v>0</v>
      </c>
      <c r="R51" s="128">
        <f t="shared" si="15"/>
        <v>0</v>
      </c>
      <c r="S51" s="128">
        <f t="shared" si="15"/>
        <v>0</v>
      </c>
      <c r="T51" s="128">
        <f t="shared" si="15"/>
        <v>0</v>
      </c>
      <c r="U51" s="128">
        <f t="shared" si="15"/>
        <v>0</v>
      </c>
      <c r="V51" s="128">
        <f t="shared" si="15"/>
        <v>0</v>
      </c>
      <c r="W51" s="128">
        <f t="shared" si="15"/>
        <v>0</v>
      </c>
      <c r="X51" s="128">
        <f t="shared" si="15"/>
        <v>0</v>
      </c>
      <c r="Y51" s="128">
        <f t="shared" si="15"/>
        <v>0</v>
      </c>
      <c r="Z51" s="128">
        <f t="shared" si="15"/>
        <v>0</v>
      </c>
      <c r="AA51" s="128">
        <f t="shared" si="15"/>
        <v>0</v>
      </c>
      <c r="AB51" s="128">
        <f t="shared" si="15"/>
        <v>0</v>
      </c>
      <c r="AC51" s="128">
        <f t="shared" si="15"/>
        <v>0</v>
      </c>
      <c r="AD51" s="128">
        <f t="shared" si="15"/>
        <v>0</v>
      </c>
      <c r="AE51" s="128">
        <f t="shared" si="15"/>
        <v>0</v>
      </c>
      <c r="AF51" s="128">
        <f t="shared" si="15"/>
        <v>0</v>
      </c>
      <c r="AG51" s="128">
        <f t="shared" si="15"/>
        <v>0</v>
      </c>
      <c r="AH51" s="128">
        <f t="shared" si="15"/>
        <v>0</v>
      </c>
      <c r="AI51" s="128">
        <f t="shared" si="15"/>
        <v>0</v>
      </c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</row>
    <row r="52" spans="1:52" ht="14.4" outlineLevel="3">
      <c r="A52" s="322"/>
      <c r="B52" s="286" t="s">
        <v>851</v>
      </c>
      <c r="C52" s="323" t="s">
        <v>825</v>
      </c>
      <c r="D52" s="323" t="s">
        <v>826</v>
      </c>
      <c r="E52" s="324">
        <f>(16.5-0)*2*0</f>
        <v>0</v>
      </c>
      <c r="F52" s="324">
        <f>E52</f>
        <v>0</v>
      </c>
      <c r="G52" s="324">
        <f t="shared" ref="G52:V52" si="16">F52</f>
        <v>0</v>
      </c>
      <c r="H52" s="324">
        <f t="shared" si="16"/>
        <v>0</v>
      </c>
      <c r="I52" s="324">
        <f t="shared" si="16"/>
        <v>0</v>
      </c>
      <c r="J52" s="324">
        <f t="shared" si="16"/>
        <v>0</v>
      </c>
      <c r="K52" s="324">
        <f t="shared" si="16"/>
        <v>0</v>
      </c>
      <c r="L52" s="324">
        <f t="shared" si="16"/>
        <v>0</v>
      </c>
      <c r="M52" s="324">
        <f t="shared" si="16"/>
        <v>0</v>
      </c>
      <c r="N52" s="324">
        <f t="shared" si="16"/>
        <v>0</v>
      </c>
      <c r="O52" s="324">
        <f t="shared" si="16"/>
        <v>0</v>
      </c>
      <c r="P52" s="324">
        <f t="shared" si="16"/>
        <v>0</v>
      </c>
      <c r="Q52" s="324">
        <f t="shared" si="16"/>
        <v>0</v>
      </c>
      <c r="R52" s="324">
        <f t="shared" si="16"/>
        <v>0</v>
      </c>
      <c r="S52" s="324">
        <f t="shared" si="16"/>
        <v>0</v>
      </c>
      <c r="T52" s="324">
        <f t="shared" si="16"/>
        <v>0</v>
      </c>
      <c r="U52" s="324">
        <f t="shared" si="16"/>
        <v>0</v>
      </c>
      <c r="V52" s="324">
        <f t="shared" si="16"/>
        <v>0</v>
      </c>
      <c r="W52" s="324">
        <f t="shared" ref="V52:AH59" si="17">V52</f>
        <v>0</v>
      </c>
      <c r="X52" s="324">
        <f t="shared" si="17"/>
        <v>0</v>
      </c>
      <c r="Y52" s="324">
        <f t="shared" si="17"/>
        <v>0</v>
      </c>
      <c r="Z52" s="324">
        <f t="shared" si="17"/>
        <v>0</v>
      </c>
      <c r="AA52" s="324">
        <f t="shared" si="17"/>
        <v>0</v>
      </c>
      <c r="AB52" s="324">
        <f t="shared" si="17"/>
        <v>0</v>
      </c>
      <c r="AC52" s="324">
        <f t="shared" si="17"/>
        <v>0</v>
      </c>
      <c r="AD52" s="324">
        <f t="shared" si="17"/>
        <v>0</v>
      </c>
      <c r="AE52" s="324">
        <f t="shared" si="17"/>
        <v>0</v>
      </c>
      <c r="AF52" s="324">
        <f t="shared" si="17"/>
        <v>0</v>
      </c>
      <c r="AG52" s="324">
        <f t="shared" si="17"/>
        <v>0</v>
      </c>
      <c r="AH52" s="324">
        <f t="shared" si="17"/>
        <v>0</v>
      </c>
      <c r="AI52" s="324">
        <f t="shared" ref="AI52:AI59" si="18">SUM(E52:AH52)</f>
        <v>0</v>
      </c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</row>
    <row r="53" spans="1:52" ht="14.4" outlineLevel="3">
      <c r="A53" s="322"/>
      <c r="B53" s="286" t="s">
        <v>205</v>
      </c>
      <c r="C53" s="323" t="s">
        <v>827</v>
      </c>
      <c r="D53" s="323" t="s">
        <v>826</v>
      </c>
      <c r="E53" s="325">
        <f>(119.7-16.5)*2*0</f>
        <v>0</v>
      </c>
      <c r="F53" s="324">
        <f t="shared" ref="F53:U59" si="19">E53</f>
        <v>0</v>
      </c>
      <c r="G53" s="324">
        <f t="shared" si="19"/>
        <v>0</v>
      </c>
      <c r="H53" s="324">
        <f t="shared" si="19"/>
        <v>0</v>
      </c>
      <c r="I53" s="324">
        <f t="shared" si="19"/>
        <v>0</v>
      </c>
      <c r="J53" s="324">
        <f t="shared" si="19"/>
        <v>0</v>
      </c>
      <c r="K53" s="324">
        <f t="shared" si="19"/>
        <v>0</v>
      </c>
      <c r="L53" s="324">
        <f t="shared" si="19"/>
        <v>0</v>
      </c>
      <c r="M53" s="324">
        <f t="shared" si="19"/>
        <v>0</v>
      </c>
      <c r="N53" s="324">
        <f t="shared" si="19"/>
        <v>0</v>
      </c>
      <c r="O53" s="324">
        <f t="shared" si="19"/>
        <v>0</v>
      </c>
      <c r="P53" s="324">
        <f t="shared" si="19"/>
        <v>0</v>
      </c>
      <c r="Q53" s="324">
        <f t="shared" si="19"/>
        <v>0</v>
      </c>
      <c r="R53" s="324">
        <f t="shared" si="19"/>
        <v>0</v>
      </c>
      <c r="S53" s="324">
        <f t="shared" si="19"/>
        <v>0</v>
      </c>
      <c r="T53" s="324">
        <f t="shared" si="19"/>
        <v>0</v>
      </c>
      <c r="U53" s="324">
        <f t="shared" si="19"/>
        <v>0</v>
      </c>
      <c r="V53" s="324">
        <f t="shared" si="17"/>
        <v>0</v>
      </c>
      <c r="W53" s="324">
        <f t="shared" si="17"/>
        <v>0</v>
      </c>
      <c r="X53" s="324">
        <f t="shared" si="17"/>
        <v>0</v>
      </c>
      <c r="Y53" s="324">
        <f t="shared" si="17"/>
        <v>0</v>
      </c>
      <c r="Z53" s="324">
        <f t="shared" si="17"/>
        <v>0</v>
      </c>
      <c r="AA53" s="324">
        <f t="shared" si="17"/>
        <v>0</v>
      </c>
      <c r="AB53" s="324">
        <f t="shared" si="17"/>
        <v>0</v>
      </c>
      <c r="AC53" s="324">
        <f t="shared" si="17"/>
        <v>0</v>
      </c>
      <c r="AD53" s="324">
        <f t="shared" si="17"/>
        <v>0</v>
      </c>
      <c r="AE53" s="324">
        <f t="shared" si="17"/>
        <v>0</v>
      </c>
      <c r="AF53" s="324">
        <f t="shared" si="17"/>
        <v>0</v>
      </c>
      <c r="AG53" s="324">
        <f t="shared" si="17"/>
        <v>0</v>
      </c>
      <c r="AH53" s="324">
        <f t="shared" si="17"/>
        <v>0</v>
      </c>
      <c r="AI53" s="325">
        <f t="shared" si="18"/>
        <v>0</v>
      </c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</row>
    <row r="54" spans="1:52" ht="14.4" outlineLevel="3">
      <c r="A54" s="322"/>
      <c r="B54" s="286" t="s">
        <v>852</v>
      </c>
      <c r="C54" s="323" t="s">
        <v>828</v>
      </c>
      <c r="D54" s="323" t="s">
        <v>826</v>
      </c>
      <c r="E54" s="325">
        <f>(139-119.7)*2*0</f>
        <v>0</v>
      </c>
      <c r="F54" s="324">
        <f t="shared" si="19"/>
        <v>0</v>
      </c>
      <c r="G54" s="324">
        <f t="shared" si="19"/>
        <v>0</v>
      </c>
      <c r="H54" s="324">
        <f t="shared" si="19"/>
        <v>0</v>
      </c>
      <c r="I54" s="324">
        <f t="shared" si="19"/>
        <v>0</v>
      </c>
      <c r="J54" s="324">
        <f t="shared" si="19"/>
        <v>0</v>
      </c>
      <c r="K54" s="324">
        <f t="shared" si="19"/>
        <v>0</v>
      </c>
      <c r="L54" s="324">
        <f t="shared" si="19"/>
        <v>0</v>
      </c>
      <c r="M54" s="324">
        <f t="shared" si="19"/>
        <v>0</v>
      </c>
      <c r="N54" s="324">
        <f t="shared" si="19"/>
        <v>0</v>
      </c>
      <c r="O54" s="324">
        <f t="shared" si="19"/>
        <v>0</v>
      </c>
      <c r="P54" s="324">
        <f t="shared" si="19"/>
        <v>0</v>
      </c>
      <c r="Q54" s="324">
        <f t="shared" si="19"/>
        <v>0</v>
      </c>
      <c r="R54" s="324">
        <f t="shared" si="19"/>
        <v>0</v>
      </c>
      <c r="S54" s="324">
        <f t="shared" si="19"/>
        <v>0</v>
      </c>
      <c r="T54" s="324">
        <f t="shared" si="19"/>
        <v>0</v>
      </c>
      <c r="U54" s="324">
        <f t="shared" si="19"/>
        <v>0</v>
      </c>
      <c r="V54" s="324">
        <f t="shared" si="17"/>
        <v>0</v>
      </c>
      <c r="W54" s="324">
        <f t="shared" si="17"/>
        <v>0</v>
      </c>
      <c r="X54" s="324">
        <f t="shared" si="17"/>
        <v>0</v>
      </c>
      <c r="Y54" s="324">
        <f t="shared" si="17"/>
        <v>0</v>
      </c>
      <c r="Z54" s="324">
        <f t="shared" si="17"/>
        <v>0</v>
      </c>
      <c r="AA54" s="324">
        <f t="shared" si="17"/>
        <v>0</v>
      </c>
      <c r="AB54" s="324">
        <f t="shared" si="17"/>
        <v>0</v>
      </c>
      <c r="AC54" s="324">
        <f t="shared" si="17"/>
        <v>0</v>
      </c>
      <c r="AD54" s="324">
        <f t="shared" si="17"/>
        <v>0</v>
      </c>
      <c r="AE54" s="324">
        <f t="shared" si="17"/>
        <v>0</v>
      </c>
      <c r="AF54" s="324">
        <f t="shared" si="17"/>
        <v>0</v>
      </c>
      <c r="AG54" s="324">
        <f t="shared" si="17"/>
        <v>0</v>
      </c>
      <c r="AH54" s="324">
        <f t="shared" si="17"/>
        <v>0</v>
      </c>
      <c r="AI54" s="325">
        <f t="shared" si="18"/>
        <v>0</v>
      </c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</row>
    <row r="55" spans="1:52" ht="14.4" outlineLevel="3">
      <c r="A55" s="322"/>
      <c r="B55" s="286" t="s">
        <v>853</v>
      </c>
      <c r="C55" s="323" t="s">
        <v>829</v>
      </c>
      <c r="D55" s="323" t="s">
        <v>826</v>
      </c>
      <c r="E55" s="325">
        <f>(186.5-139)*2*0</f>
        <v>0</v>
      </c>
      <c r="F55" s="324">
        <f t="shared" si="19"/>
        <v>0</v>
      </c>
      <c r="G55" s="324">
        <f t="shared" si="19"/>
        <v>0</v>
      </c>
      <c r="H55" s="324">
        <f t="shared" si="19"/>
        <v>0</v>
      </c>
      <c r="I55" s="324">
        <f t="shared" si="19"/>
        <v>0</v>
      </c>
      <c r="J55" s="324">
        <f t="shared" si="19"/>
        <v>0</v>
      </c>
      <c r="K55" s="324">
        <f t="shared" si="19"/>
        <v>0</v>
      </c>
      <c r="L55" s="324">
        <f t="shared" si="19"/>
        <v>0</v>
      </c>
      <c r="M55" s="324">
        <f t="shared" si="19"/>
        <v>0</v>
      </c>
      <c r="N55" s="324">
        <f t="shared" si="19"/>
        <v>0</v>
      </c>
      <c r="O55" s="324">
        <f t="shared" si="19"/>
        <v>0</v>
      </c>
      <c r="P55" s="324">
        <f t="shared" si="19"/>
        <v>0</v>
      </c>
      <c r="Q55" s="324">
        <f t="shared" si="19"/>
        <v>0</v>
      </c>
      <c r="R55" s="324">
        <f t="shared" si="19"/>
        <v>0</v>
      </c>
      <c r="S55" s="324">
        <f t="shared" si="19"/>
        <v>0</v>
      </c>
      <c r="T55" s="324">
        <f t="shared" si="19"/>
        <v>0</v>
      </c>
      <c r="U55" s="324">
        <f t="shared" si="19"/>
        <v>0</v>
      </c>
      <c r="V55" s="324">
        <f t="shared" si="17"/>
        <v>0</v>
      </c>
      <c r="W55" s="324">
        <f t="shared" si="17"/>
        <v>0</v>
      </c>
      <c r="X55" s="324">
        <f t="shared" si="17"/>
        <v>0</v>
      </c>
      <c r="Y55" s="324">
        <f t="shared" si="17"/>
        <v>0</v>
      </c>
      <c r="Z55" s="324">
        <f t="shared" si="17"/>
        <v>0</v>
      </c>
      <c r="AA55" s="324">
        <f t="shared" si="17"/>
        <v>0</v>
      </c>
      <c r="AB55" s="324">
        <f t="shared" si="17"/>
        <v>0</v>
      </c>
      <c r="AC55" s="324">
        <f t="shared" si="17"/>
        <v>0</v>
      </c>
      <c r="AD55" s="324">
        <f t="shared" si="17"/>
        <v>0</v>
      </c>
      <c r="AE55" s="324">
        <f t="shared" si="17"/>
        <v>0</v>
      </c>
      <c r="AF55" s="324">
        <f t="shared" si="17"/>
        <v>0</v>
      </c>
      <c r="AG55" s="324">
        <f t="shared" si="17"/>
        <v>0</v>
      </c>
      <c r="AH55" s="324">
        <f t="shared" si="17"/>
        <v>0</v>
      </c>
      <c r="AI55" s="325">
        <f t="shared" si="18"/>
        <v>0</v>
      </c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</row>
    <row r="56" spans="1:52" ht="14.4" outlineLevel="3">
      <c r="A56" s="322"/>
      <c r="B56" s="286" t="s">
        <v>854</v>
      </c>
      <c r="C56" s="323" t="s">
        <v>830</v>
      </c>
      <c r="D56" s="323" t="s">
        <v>826</v>
      </c>
      <c r="E56" s="325">
        <f>(209.9-186.5)*2*0</f>
        <v>0</v>
      </c>
      <c r="F56" s="324">
        <f t="shared" si="19"/>
        <v>0</v>
      </c>
      <c r="G56" s="324">
        <f t="shared" si="19"/>
        <v>0</v>
      </c>
      <c r="H56" s="324">
        <f t="shared" si="19"/>
        <v>0</v>
      </c>
      <c r="I56" s="324">
        <f t="shared" si="19"/>
        <v>0</v>
      </c>
      <c r="J56" s="324">
        <f t="shared" si="19"/>
        <v>0</v>
      </c>
      <c r="K56" s="324">
        <f t="shared" si="19"/>
        <v>0</v>
      </c>
      <c r="L56" s="324">
        <f t="shared" si="19"/>
        <v>0</v>
      </c>
      <c r="M56" s="324">
        <f t="shared" si="19"/>
        <v>0</v>
      </c>
      <c r="N56" s="324">
        <f t="shared" si="19"/>
        <v>0</v>
      </c>
      <c r="O56" s="324">
        <f t="shared" si="19"/>
        <v>0</v>
      </c>
      <c r="P56" s="324">
        <f t="shared" si="19"/>
        <v>0</v>
      </c>
      <c r="Q56" s="324">
        <f t="shared" si="19"/>
        <v>0</v>
      </c>
      <c r="R56" s="324">
        <f t="shared" si="19"/>
        <v>0</v>
      </c>
      <c r="S56" s="324">
        <f t="shared" si="19"/>
        <v>0</v>
      </c>
      <c r="T56" s="324">
        <f t="shared" si="19"/>
        <v>0</v>
      </c>
      <c r="U56" s="324">
        <f t="shared" si="19"/>
        <v>0</v>
      </c>
      <c r="V56" s="324">
        <f t="shared" si="17"/>
        <v>0</v>
      </c>
      <c r="W56" s="324">
        <f t="shared" si="17"/>
        <v>0</v>
      </c>
      <c r="X56" s="324">
        <f t="shared" si="17"/>
        <v>0</v>
      </c>
      <c r="Y56" s="324">
        <f t="shared" si="17"/>
        <v>0</v>
      </c>
      <c r="Z56" s="324">
        <f t="shared" si="17"/>
        <v>0</v>
      </c>
      <c r="AA56" s="324">
        <f t="shared" si="17"/>
        <v>0</v>
      </c>
      <c r="AB56" s="324">
        <f t="shared" si="17"/>
        <v>0</v>
      </c>
      <c r="AC56" s="324">
        <f t="shared" si="17"/>
        <v>0</v>
      </c>
      <c r="AD56" s="324">
        <f t="shared" si="17"/>
        <v>0</v>
      </c>
      <c r="AE56" s="324">
        <f t="shared" si="17"/>
        <v>0</v>
      </c>
      <c r="AF56" s="324">
        <f t="shared" si="17"/>
        <v>0</v>
      </c>
      <c r="AG56" s="324">
        <f t="shared" si="17"/>
        <v>0</v>
      </c>
      <c r="AH56" s="324">
        <f t="shared" si="17"/>
        <v>0</v>
      </c>
      <c r="AI56" s="325">
        <f t="shared" si="18"/>
        <v>0</v>
      </c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</row>
    <row r="57" spans="1:52" ht="14.4" outlineLevel="3">
      <c r="A57" s="322" t="s">
        <v>831</v>
      </c>
      <c r="B57" s="326" t="s">
        <v>855</v>
      </c>
      <c r="C57" s="327" t="s">
        <v>832</v>
      </c>
      <c r="D57" s="327" t="s">
        <v>826</v>
      </c>
      <c r="E57" s="325">
        <f>(224.4-209.9)*2*0</f>
        <v>0</v>
      </c>
      <c r="F57" s="324">
        <f t="shared" si="19"/>
        <v>0</v>
      </c>
      <c r="G57" s="325">
        <f t="shared" si="19"/>
        <v>0</v>
      </c>
      <c r="H57" s="325">
        <f t="shared" si="19"/>
        <v>0</v>
      </c>
      <c r="I57" s="325">
        <f t="shared" si="19"/>
        <v>0</v>
      </c>
      <c r="J57" s="325">
        <f t="shared" si="19"/>
        <v>0</v>
      </c>
      <c r="K57" s="328">
        <f t="shared" si="19"/>
        <v>0</v>
      </c>
      <c r="L57" s="328">
        <f t="shared" si="19"/>
        <v>0</v>
      </c>
      <c r="M57" s="328">
        <f t="shared" si="19"/>
        <v>0</v>
      </c>
      <c r="N57" s="328">
        <f t="shared" si="19"/>
        <v>0</v>
      </c>
      <c r="O57" s="328">
        <f t="shared" si="19"/>
        <v>0</v>
      </c>
      <c r="P57" s="328">
        <f t="shared" si="19"/>
        <v>0</v>
      </c>
      <c r="Q57" s="328">
        <f t="shared" si="19"/>
        <v>0</v>
      </c>
      <c r="R57" s="328">
        <f t="shared" si="19"/>
        <v>0</v>
      </c>
      <c r="S57" s="328">
        <f t="shared" si="19"/>
        <v>0</v>
      </c>
      <c r="T57" s="328">
        <f t="shared" si="19"/>
        <v>0</v>
      </c>
      <c r="U57" s="328">
        <f t="shared" si="19"/>
        <v>0</v>
      </c>
      <c r="V57" s="328">
        <f t="shared" si="17"/>
        <v>0</v>
      </c>
      <c r="W57" s="328">
        <f t="shared" si="17"/>
        <v>0</v>
      </c>
      <c r="X57" s="328">
        <f t="shared" si="17"/>
        <v>0</v>
      </c>
      <c r="Y57" s="328">
        <f t="shared" si="17"/>
        <v>0</v>
      </c>
      <c r="Z57" s="328">
        <f t="shared" si="17"/>
        <v>0</v>
      </c>
      <c r="AA57" s="328">
        <f t="shared" si="17"/>
        <v>0</v>
      </c>
      <c r="AB57" s="328">
        <f t="shared" si="17"/>
        <v>0</v>
      </c>
      <c r="AC57" s="328">
        <f t="shared" si="17"/>
        <v>0</v>
      </c>
      <c r="AD57" s="328">
        <f t="shared" si="17"/>
        <v>0</v>
      </c>
      <c r="AE57" s="328">
        <f t="shared" si="17"/>
        <v>0</v>
      </c>
      <c r="AF57" s="328">
        <f t="shared" si="17"/>
        <v>0</v>
      </c>
      <c r="AG57" s="328">
        <f t="shared" si="17"/>
        <v>0</v>
      </c>
      <c r="AH57" s="328">
        <f t="shared" si="17"/>
        <v>0</v>
      </c>
      <c r="AI57" s="328">
        <f t="shared" si="18"/>
        <v>0</v>
      </c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</row>
    <row r="58" spans="1:52" ht="14.4" outlineLevel="3">
      <c r="A58" s="322" t="s">
        <v>831</v>
      </c>
      <c r="B58" s="326" t="s">
        <v>856</v>
      </c>
      <c r="C58" s="327" t="s">
        <v>833</v>
      </c>
      <c r="D58" s="327" t="s">
        <v>826</v>
      </c>
      <c r="E58" s="325">
        <f>(224.5-224.4)*2*0</f>
        <v>0</v>
      </c>
      <c r="F58" s="324">
        <f t="shared" si="19"/>
        <v>0</v>
      </c>
      <c r="G58" s="325">
        <f t="shared" si="19"/>
        <v>0</v>
      </c>
      <c r="H58" s="325">
        <f t="shared" si="19"/>
        <v>0</v>
      </c>
      <c r="I58" s="325">
        <f t="shared" si="19"/>
        <v>0</v>
      </c>
      <c r="J58" s="325">
        <f t="shared" si="19"/>
        <v>0</v>
      </c>
      <c r="K58" s="328">
        <f t="shared" si="19"/>
        <v>0</v>
      </c>
      <c r="L58" s="328">
        <f t="shared" si="19"/>
        <v>0</v>
      </c>
      <c r="M58" s="328">
        <f t="shared" si="19"/>
        <v>0</v>
      </c>
      <c r="N58" s="328">
        <f t="shared" si="19"/>
        <v>0</v>
      </c>
      <c r="O58" s="328">
        <f t="shared" si="19"/>
        <v>0</v>
      </c>
      <c r="P58" s="328">
        <f t="shared" si="19"/>
        <v>0</v>
      </c>
      <c r="Q58" s="328">
        <f t="shared" si="19"/>
        <v>0</v>
      </c>
      <c r="R58" s="328">
        <f t="shared" si="19"/>
        <v>0</v>
      </c>
      <c r="S58" s="328">
        <f t="shared" si="19"/>
        <v>0</v>
      </c>
      <c r="T58" s="328">
        <f t="shared" si="19"/>
        <v>0</v>
      </c>
      <c r="U58" s="328">
        <f t="shared" si="19"/>
        <v>0</v>
      </c>
      <c r="V58" s="328">
        <f t="shared" si="17"/>
        <v>0</v>
      </c>
      <c r="W58" s="328">
        <f t="shared" si="17"/>
        <v>0</v>
      </c>
      <c r="X58" s="328">
        <f t="shared" si="17"/>
        <v>0</v>
      </c>
      <c r="Y58" s="328">
        <f t="shared" si="17"/>
        <v>0</v>
      </c>
      <c r="Z58" s="328">
        <f t="shared" si="17"/>
        <v>0</v>
      </c>
      <c r="AA58" s="328">
        <f t="shared" si="17"/>
        <v>0</v>
      </c>
      <c r="AB58" s="328">
        <f t="shared" si="17"/>
        <v>0</v>
      </c>
      <c r="AC58" s="328">
        <f t="shared" si="17"/>
        <v>0</v>
      </c>
      <c r="AD58" s="328">
        <f t="shared" si="17"/>
        <v>0</v>
      </c>
      <c r="AE58" s="328">
        <f t="shared" si="17"/>
        <v>0</v>
      </c>
      <c r="AF58" s="328">
        <f t="shared" si="17"/>
        <v>0</v>
      </c>
      <c r="AG58" s="328">
        <f t="shared" si="17"/>
        <v>0</v>
      </c>
      <c r="AH58" s="328">
        <f t="shared" si="17"/>
        <v>0</v>
      </c>
      <c r="AI58" s="328">
        <f t="shared" si="18"/>
        <v>0</v>
      </c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</row>
    <row r="59" spans="1:52" ht="14.4" outlineLevel="3">
      <c r="A59" s="322" t="s">
        <v>831</v>
      </c>
      <c r="B59" s="326" t="s">
        <v>857</v>
      </c>
      <c r="C59" s="327" t="s">
        <v>1015</v>
      </c>
      <c r="D59" s="327" t="s">
        <v>826</v>
      </c>
      <c r="E59" s="325">
        <f>(226.3-224.5)*2*0</f>
        <v>0</v>
      </c>
      <c r="F59" s="324">
        <f t="shared" si="19"/>
        <v>0</v>
      </c>
      <c r="G59" s="325">
        <f t="shared" si="19"/>
        <v>0</v>
      </c>
      <c r="H59" s="325">
        <f t="shared" si="19"/>
        <v>0</v>
      </c>
      <c r="I59" s="325">
        <f t="shared" si="19"/>
        <v>0</v>
      </c>
      <c r="J59" s="325">
        <f t="shared" si="19"/>
        <v>0</v>
      </c>
      <c r="K59" s="328">
        <f t="shared" si="19"/>
        <v>0</v>
      </c>
      <c r="L59" s="328">
        <f t="shared" si="19"/>
        <v>0</v>
      </c>
      <c r="M59" s="328">
        <f t="shared" si="19"/>
        <v>0</v>
      </c>
      <c r="N59" s="328">
        <f t="shared" si="19"/>
        <v>0</v>
      </c>
      <c r="O59" s="328">
        <f t="shared" si="19"/>
        <v>0</v>
      </c>
      <c r="P59" s="328">
        <f t="shared" si="19"/>
        <v>0</v>
      </c>
      <c r="Q59" s="328">
        <f t="shared" si="19"/>
        <v>0</v>
      </c>
      <c r="R59" s="328">
        <f t="shared" si="19"/>
        <v>0</v>
      </c>
      <c r="S59" s="328">
        <f t="shared" si="19"/>
        <v>0</v>
      </c>
      <c r="T59" s="328">
        <f t="shared" si="19"/>
        <v>0</v>
      </c>
      <c r="U59" s="328">
        <f t="shared" si="19"/>
        <v>0</v>
      </c>
      <c r="V59" s="328">
        <f t="shared" si="17"/>
        <v>0</v>
      </c>
      <c r="W59" s="328">
        <f t="shared" si="17"/>
        <v>0</v>
      </c>
      <c r="X59" s="328">
        <f t="shared" si="17"/>
        <v>0</v>
      </c>
      <c r="Y59" s="328">
        <f t="shared" si="17"/>
        <v>0</v>
      </c>
      <c r="Z59" s="328">
        <f t="shared" si="17"/>
        <v>0</v>
      </c>
      <c r="AA59" s="328">
        <f t="shared" si="17"/>
        <v>0</v>
      </c>
      <c r="AB59" s="328">
        <f t="shared" si="17"/>
        <v>0</v>
      </c>
      <c r="AC59" s="328">
        <f t="shared" si="17"/>
        <v>0</v>
      </c>
      <c r="AD59" s="328">
        <f t="shared" si="17"/>
        <v>0</v>
      </c>
      <c r="AE59" s="328">
        <f t="shared" si="17"/>
        <v>0</v>
      </c>
      <c r="AF59" s="328">
        <f t="shared" si="17"/>
        <v>0</v>
      </c>
      <c r="AG59" s="328">
        <f t="shared" si="17"/>
        <v>0</v>
      </c>
      <c r="AH59" s="328">
        <f t="shared" si="17"/>
        <v>0</v>
      </c>
      <c r="AI59" s="328">
        <f t="shared" si="18"/>
        <v>0</v>
      </c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</row>
    <row r="60" spans="1:52" ht="14.4" outlineLevel="1">
      <c r="B60" s="403" t="s">
        <v>858</v>
      </c>
      <c r="C60" s="404"/>
      <c r="D60" s="6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7"/>
    </row>
    <row r="61" spans="1:52" ht="14.4" outlineLevel="2">
      <c r="B61" s="10">
        <v>1</v>
      </c>
      <c r="C61" s="11" t="s">
        <v>859</v>
      </c>
      <c r="D61" s="11" t="s">
        <v>101</v>
      </c>
      <c r="E61" s="128">
        <f t="shared" ref="E61:AI61" si="20">SUM(E62:E69)</f>
        <v>1609999.9999999998</v>
      </c>
      <c r="F61" s="128">
        <f t="shared" si="20"/>
        <v>1609999.9999999998</v>
      </c>
      <c r="G61" s="128">
        <f t="shared" si="20"/>
        <v>1609999.9999999998</v>
      </c>
      <c r="H61" s="128">
        <f t="shared" si="20"/>
        <v>1609999.9999999998</v>
      </c>
      <c r="I61" s="128">
        <f t="shared" si="20"/>
        <v>1609999.9999999998</v>
      </c>
      <c r="J61" s="128">
        <f t="shared" si="20"/>
        <v>1609999.9999999998</v>
      </c>
      <c r="K61" s="128">
        <f t="shared" si="20"/>
        <v>1558200</v>
      </c>
      <c r="L61" s="128">
        <f t="shared" si="20"/>
        <v>1558200</v>
      </c>
      <c r="M61" s="128">
        <f t="shared" si="20"/>
        <v>1558200</v>
      </c>
      <c r="N61" s="128">
        <f t="shared" si="20"/>
        <v>1558200</v>
      </c>
      <c r="O61" s="128">
        <f t="shared" si="20"/>
        <v>1558200</v>
      </c>
      <c r="P61" s="128">
        <f t="shared" si="20"/>
        <v>1558200</v>
      </c>
      <c r="Q61" s="128">
        <f t="shared" si="20"/>
        <v>1558200</v>
      </c>
      <c r="R61" s="128">
        <f t="shared" si="20"/>
        <v>1558200</v>
      </c>
      <c r="S61" s="128">
        <f t="shared" si="20"/>
        <v>1558200</v>
      </c>
      <c r="T61" s="128">
        <f t="shared" si="20"/>
        <v>1558200</v>
      </c>
      <c r="U61" s="128">
        <f t="shared" si="20"/>
        <v>1558200</v>
      </c>
      <c r="V61" s="128">
        <f t="shared" si="20"/>
        <v>1558200</v>
      </c>
      <c r="W61" s="128">
        <f t="shared" si="20"/>
        <v>1558200</v>
      </c>
      <c r="X61" s="128">
        <f t="shared" si="20"/>
        <v>1558200</v>
      </c>
      <c r="Y61" s="128">
        <f t="shared" si="20"/>
        <v>1558200</v>
      </c>
      <c r="Z61" s="128">
        <f t="shared" si="20"/>
        <v>1558200</v>
      </c>
      <c r="AA61" s="128">
        <f t="shared" si="20"/>
        <v>1558200</v>
      </c>
      <c r="AB61" s="128">
        <f t="shared" si="20"/>
        <v>1558200</v>
      </c>
      <c r="AC61" s="128">
        <f t="shared" si="20"/>
        <v>1558200</v>
      </c>
      <c r="AD61" s="128">
        <f t="shared" si="20"/>
        <v>1558200</v>
      </c>
      <c r="AE61" s="128">
        <f t="shared" si="20"/>
        <v>1558200</v>
      </c>
      <c r="AF61" s="128">
        <f t="shared" si="20"/>
        <v>1558200</v>
      </c>
      <c r="AG61" s="128">
        <f t="shared" si="20"/>
        <v>1558200</v>
      </c>
      <c r="AH61" s="128">
        <f t="shared" si="20"/>
        <v>1558200</v>
      </c>
      <c r="AI61" s="128">
        <f t="shared" si="20"/>
        <v>47056799.999999985</v>
      </c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</row>
    <row r="62" spans="1:52" ht="14.4" outlineLevel="3">
      <c r="A62" s="322"/>
      <c r="B62" s="286" t="s">
        <v>824</v>
      </c>
      <c r="C62" s="323" t="s">
        <v>825</v>
      </c>
      <c r="D62" s="323" t="s">
        <v>101</v>
      </c>
      <c r="E62" s="324">
        <f>((E22+E32)*3.5)*1000</f>
        <v>115500</v>
      </c>
      <c r="F62" s="324">
        <f t="shared" ref="F62:AI69" si="21">((F22+F32)*3.5)*1000</f>
        <v>115500</v>
      </c>
      <c r="G62" s="324">
        <f t="shared" si="21"/>
        <v>115500</v>
      </c>
      <c r="H62" s="324">
        <f t="shared" si="21"/>
        <v>115500</v>
      </c>
      <c r="I62" s="324">
        <f t="shared" si="21"/>
        <v>115500</v>
      </c>
      <c r="J62" s="324">
        <f t="shared" si="21"/>
        <v>115500</v>
      </c>
      <c r="K62" s="324">
        <f t="shared" si="21"/>
        <v>115500</v>
      </c>
      <c r="L62" s="324">
        <f t="shared" si="21"/>
        <v>115500</v>
      </c>
      <c r="M62" s="324">
        <f t="shared" si="21"/>
        <v>115500</v>
      </c>
      <c r="N62" s="324">
        <f t="shared" si="21"/>
        <v>115500</v>
      </c>
      <c r="O62" s="324">
        <f t="shared" si="21"/>
        <v>115500</v>
      </c>
      <c r="P62" s="324">
        <f t="shared" si="21"/>
        <v>115500</v>
      </c>
      <c r="Q62" s="324">
        <f t="shared" si="21"/>
        <v>115500</v>
      </c>
      <c r="R62" s="324">
        <f t="shared" si="21"/>
        <v>115500</v>
      </c>
      <c r="S62" s="324">
        <f t="shared" si="21"/>
        <v>115500</v>
      </c>
      <c r="T62" s="324">
        <f t="shared" si="21"/>
        <v>115500</v>
      </c>
      <c r="U62" s="324">
        <f t="shared" si="21"/>
        <v>115500</v>
      </c>
      <c r="V62" s="324">
        <f t="shared" si="21"/>
        <v>115500</v>
      </c>
      <c r="W62" s="324">
        <f t="shared" si="21"/>
        <v>115500</v>
      </c>
      <c r="X62" s="324">
        <f t="shared" si="21"/>
        <v>115500</v>
      </c>
      <c r="Y62" s="324">
        <f t="shared" si="21"/>
        <v>115500</v>
      </c>
      <c r="Z62" s="324">
        <f t="shared" si="21"/>
        <v>115500</v>
      </c>
      <c r="AA62" s="324">
        <f t="shared" si="21"/>
        <v>115500</v>
      </c>
      <c r="AB62" s="324">
        <f t="shared" si="21"/>
        <v>115500</v>
      </c>
      <c r="AC62" s="324">
        <f t="shared" si="21"/>
        <v>115500</v>
      </c>
      <c r="AD62" s="324">
        <f t="shared" si="21"/>
        <v>115500</v>
      </c>
      <c r="AE62" s="324">
        <f t="shared" si="21"/>
        <v>115500</v>
      </c>
      <c r="AF62" s="324">
        <f t="shared" si="21"/>
        <v>115500</v>
      </c>
      <c r="AG62" s="324">
        <f t="shared" si="21"/>
        <v>115500</v>
      </c>
      <c r="AH62" s="324">
        <f t="shared" si="21"/>
        <v>115500</v>
      </c>
      <c r="AI62" s="324">
        <f t="shared" si="21"/>
        <v>3465000</v>
      </c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</row>
    <row r="63" spans="1:52" ht="14.4" outlineLevel="3">
      <c r="A63" s="322"/>
      <c r="B63" s="286" t="s">
        <v>74</v>
      </c>
      <c r="C63" s="323" t="s">
        <v>827</v>
      </c>
      <c r="D63" s="323" t="s">
        <v>101</v>
      </c>
      <c r="E63" s="324">
        <f t="shared" ref="E63:E69" si="22">((E23+E33)*3.5)*1000</f>
        <v>722400</v>
      </c>
      <c r="F63" s="325">
        <f t="shared" si="21"/>
        <v>722400</v>
      </c>
      <c r="G63" s="325">
        <f t="shared" si="21"/>
        <v>722400</v>
      </c>
      <c r="H63" s="325">
        <f t="shared" si="21"/>
        <v>722400</v>
      </c>
      <c r="I63" s="325">
        <f t="shared" si="21"/>
        <v>722400</v>
      </c>
      <c r="J63" s="325">
        <f t="shared" si="21"/>
        <v>722400</v>
      </c>
      <c r="K63" s="325">
        <f t="shared" si="21"/>
        <v>722400</v>
      </c>
      <c r="L63" s="325">
        <f t="shared" si="21"/>
        <v>722400</v>
      </c>
      <c r="M63" s="325">
        <f t="shared" si="21"/>
        <v>722400</v>
      </c>
      <c r="N63" s="325">
        <f t="shared" si="21"/>
        <v>722400</v>
      </c>
      <c r="O63" s="325">
        <f t="shared" si="21"/>
        <v>722400</v>
      </c>
      <c r="P63" s="325">
        <f t="shared" si="21"/>
        <v>722400</v>
      </c>
      <c r="Q63" s="325">
        <f t="shared" si="21"/>
        <v>722400</v>
      </c>
      <c r="R63" s="325">
        <f t="shared" si="21"/>
        <v>722400</v>
      </c>
      <c r="S63" s="325">
        <f t="shared" si="21"/>
        <v>722400</v>
      </c>
      <c r="T63" s="325">
        <f t="shared" si="21"/>
        <v>722400</v>
      </c>
      <c r="U63" s="325">
        <f t="shared" si="21"/>
        <v>722400</v>
      </c>
      <c r="V63" s="325">
        <f t="shared" si="21"/>
        <v>722400</v>
      </c>
      <c r="W63" s="325">
        <f t="shared" si="21"/>
        <v>722400</v>
      </c>
      <c r="X63" s="325">
        <f t="shared" si="21"/>
        <v>722400</v>
      </c>
      <c r="Y63" s="325">
        <f t="shared" si="21"/>
        <v>722400</v>
      </c>
      <c r="Z63" s="325">
        <f t="shared" si="21"/>
        <v>722400</v>
      </c>
      <c r="AA63" s="325">
        <f t="shared" si="21"/>
        <v>722400</v>
      </c>
      <c r="AB63" s="325">
        <f t="shared" si="21"/>
        <v>722400</v>
      </c>
      <c r="AC63" s="325">
        <f t="shared" si="21"/>
        <v>722400</v>
      </c>
      <c r="AD63" s="325">
        <f t="shared" si="21"/>
        <v>722400</v>
      </c>
      <c r="AE63" s="325">
        <f t="shared" si="21"/>
        <v>722400</v>
      </c>
      <c r="AF63" s="325">
        <f t="shared" si="21"/>
        <v>722400</v>
      </c>
      <c r="AG63" s="325">
        <f t="shared" si="21"/>
        <v>722400</v>
      </c>
      <c r="AH63" s="325">
        <f t="shared" si="21"/>
        <v>722400</v>
      </c>
      <c r="AI63" s="325">
        <f t="shared" si="21"/>
        <v>21671999.999999989</v>
      </c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</row>
    <row r="64" spans="1:52" ht="14.4" outlineLevel="3">
      <c r="A64" s="322"/>
      <c r="B64" s="286" t="s">
        <v>76</v>
      </c>
      <c r="C64" s="323" t="s">
        <v>828</v>
      </c>
      <c r="D64" s="323" t="s">
        <v>101</v>
      </c>
      <c r="E64" s="324">
        <f t="shared" si="22"/>
        <v>135099.99999999997</v>
      </c>
      <c r="F64" s="325">
        <f t="shared" si="21"/>
        <v>135099.99999999997</v>
      </c>
      <c r="G64" s="325">
        <f t="shared" si="21"/>
        <v>135099.99999999997</v>
      </c>
      <c r="H64" s="325">
        <f t="shared" si="21"/>
        <v>135099.99999999997</v>
      </c>
      <c r="I64" s="325">
        <f t="shared" si="21"/>
        <v>135099.99999999997</v>
      </c>
      <c r="J64" s="325">
        <f t="shared" si="21"/>
        <v>135099.99999999997</v>
      </c>
      <c r="K64" s="325">
        <f t="shared" si="21"/>
        <v>135099.99999999997</v>
      </c>
      <c r="L64" s="325">
        <f t="shared" si="21"/>
        <v>135099.99999999997</v>
      </c>
      <c r="M64" s="325">
        <f t="shared" si="21"/>
        <v>135099.99999999997</v>
      </c>
      <c r="N64" s="325">
        <f t="shared" si="21"/>
        <v>135099.99999999997</v>
      </c>
      <c r="O64" s="325">
        <f t="shared" si="21"/>
        <v>135099.99999999997</v>
      </c>
      <c r="P64" s="325">
        <f t="shared" si="21"/>
        <v>135099.99999999997</v>
      </c>
      <c r="Q64" s="325">
        <f t="shared" si="21"/>
        <v>135099.99999999997</v>
      </c>
      <c r="R64" s="325">
        <f t="shared" si="21"/>
        <v>135099.99999999997</v>
      </c>
      <c r="S64" s="325">
        <f t="shared" si="21"/>
        <v>135099.99999999997</v>
      </c>
      <c r="T64" s="325">
        <f t="shared" si="21"/>
        <v>135099.99999999997</v>
      </c>
      <c r="U64" s="325">
        <f t="shared" si="21"/>
        <v>135099.99999999997</v>
      </c>
      <c r="V64" s="325">
        <f t="shared" si="21"/>
        <v>135099.99999999997</v>
      </c>
      <c r="W64" s="325">
        <f t="shared" si="21"/>
        <v>135099.99999999997</v>
      </c>
      <c r="X64" s="325">
        <f t="shared" si="21"/>
        <v>135099.99999999997</v>
      </c>
      <c r="Y64" s="325">
        <f t="shared" si="21"/>
        <v>135099.99999999997</v>
      </c>
      <c r="Z64" s="325">
        <f t="shared" si="21"/>
        <v>135099.99999999997</v>
      </c>
      <c r="AA64" s="325">
        <f t="shared" si="21"/>
        <v>135099.99999999997</v>
      </c>
      <c r="AB64" s="325">
        <f t="shared" si="21"/>
        <v>135099.99999999997</v>
      </c>
      <c r="AC64" s="325">
        <f t="shared" si="21"/>
        <v>135099.99999999997</v>
      </c>
      <c r="AD64" s="325">
        <f t="shared" si="21"/>
        <v>135099.99999999997</v>
      </c>
      <c r="AE64" s="325">
        <f t="shared" si="21"/>
        <v>135099.99999999997</v>
      </c>
      <c r="AF64" s="325">
        <f t="shared" si="21"/>
        <v>135099.99999999997</v>
      </c>
      <c r="AG64" s="325">
        <f t="shared" si="21"/>
        <v>135099.99999999997</v>
      </c>
      <c r="AH64" s="325">
        <f t="shared" si="21"/>
        <v>135099.99999999997</v>
      </c>
      <c r="AI64" s="325">
        <f t="shared" si="21"/>
        <v>4053000</v>
      </c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</row>
    <row r="65" spans="1:52" ht="14.4" outlineLevel="3">
      <c r="A65" s="322"/>
      <c r="B65" s="286" t="s">
        <v>77</v>
      </c>
      <c r="C65" s="323" t="s">
        <v>829</v>
      </c>
      <c r="D65" s="323" t="s">
        <v>101</v>
      </c>
      <c r="E65" s="324">
        <f t="shared" si="22"/>
        <v>332500</v>
      </c>
      <c r="F65" s="325">
        <f t="shared" si="21"/>
        <v>332500</v>
      </c>
      <c r="G65" s="325">
        <f t="shared" si="21"/>
        <v>332500</v>
      </c>
      <c r="H65" s="325">
        <f t="shared" si="21"/>
        <v>332500</v>
      </c>
      <c r="I65" s="325">
        <f t="shared" si="21"/>
        <v>332500</v>
      </c>
      <c r="J65" s="325">
        <f t="shared" si="21"/>
        <v>332500</v>
      </c>
      <c r="K65" s="325">
        <f t="shared" si="21"/>
        <v>332500</v>
      </c>
      <c r="L65" s="325">
        <f t="shared" si="21"/>
        <v>332500</v>
      </c>
      <c r="M65" s="325">
        <f t="shared" si="21"/>
        <v>332500</v>
      </c>
      <c r="N65" s="325">
        <f t="shared" si="21"/>
        <v>332500</v>
      </c>
      <c r="O65" s="325">
        <f t="shared" si="21"/>
        <v>332500</v>
      </c>
      <c r="P65" s="325">
        <f t="shared" si="21"/>
        <v>332500</v>
      </c>
      <c r="Q65" s="325">
        <f t="shared" si="21"/>
        <v>332500</v>
      </c>
      <c r="R65" s="325">
        <f t="shared" si="21"/>
        <v>332500</v>
      </c>
      <c r="S65" s="325">
        <f t="shared" si="21"/>
        <v>332500</v>
      </c>
      <c r="T65" s="325">
        <f t="shared" si="21"/>
        <v>332500</v>
      </c>
      <c r="U65" s="325">
        <f t="shared" si="21"/>
        <v>332500</v>
      </c>
      <c r="V65" s="325">
        <f t="shared" si="21"/>
        <v>332500</v>
      </c>
      <c r="W65" s="325">
        <f t="shared" si="21"/>
        <v>332500</v>
      </c>
      <c r="X65" s="325">
        <f t="shared" si="21"/>
        <v>332500</v>
      </c>
      <c r="Y65" s="325">
        <f t="shared" si="21"/>
        <v>332500</v>
      </c>
      <c r="Z65" s="325">
        <f t="shared" si="21"/>
        <v>332500</v>
      </c>
      <c r="AA65" s="325">
        <f t="shared" si="21"/>
        <v>332500</v>
      </c>
      <c r="AB65" s="325">
        <f t="shared" si="21"/>
        <v>332500</v>
      </c>
      <c r="AC65" s="325">
        <f t="shared" si="21"/>
        <v>332500</v>
      </c>
      <c r="AD65" s="325">
        <f t="shared" si="21"/>
        <v>332500</v>
      </c>
      <c r="AE65" s="325">
        <f t="shared" si="21"/>
        <v>332500</v>
      </c>
      <c r="AF65" s="325">
        <f t="shared" si="21"/>
        <v>332500</v>
      </c>
      <c r="AG65" s="325">
        <f t="shared" si="21"/>
        <v>332500</v>
      </c>
      <c r="AH65" s="325">
        <f t="shared" si="21"/>
        <v>332500</v>
      </c>
      <c r="AI65" s="325">
        <f t="shared" si="21"/>
        <v>9975000</v>
      </c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</row>
    <row r="66" spans="1:52" ht="14.4" outlineLevel="3">
      <c r="A66" s="322"/>
      <c r="B66" s="286" t="s">
        <v>78</v>
      </c>
      <c r="C66" s="323" t="s">
        <v>830</v>
      </c>
      <c r="D66" s="323" t="s">
        <v>101</v>
      </c>
      <c r="E66" s="324">
        <f t="shared" si="22"/>
        <v>163800.00000000003</v>
      </c>
      <c r="F66" s="325">
        <f t="shared" si="21"/>
        <v>163800.00000000003</v>
      </c>
      <c r="G66" s="325">
        <f t="shared" si="21"/>
        <v>163800.00000000003</v>
      </c>
      <c r="H66" s="325">
        <f t="shared" si="21"/>
        <v>163800.00000000003</v>
      </c>
      <c r="I66" s="325">
        <f t="shared" si="21"/>
        <v>163800.00000000003</v>
      </c>
      <c r="J66" s="325">
        <f t="shared" si="21"/>
        <v>163800.00000000003</v>
      </c>
      <c r="K66" s="325">
        <f t="shared" si="21"/>
        <v>163800.00000000003</v>
      </c>
      <c r="L66" s="325">
        <f t="shared" si="21"/>
        <v>163800.00000000003</v>
      </c>
      <c r="M66" s="325">
        <f t="shared" si="21"/>
        <v>163800.00000000003</v>
      </c>
      <c r="N66" s="325">
        <f t="shared" si="21"/>
        <v>163800.00000000003</v>
      </c>
      <c r="O66" s="325">
        <f t="shared" si="21"/>
        <v>163800.00000000003</v>
      </c>
      <c r="P66" s="325">
        <f t="shared" si="21"/>
        <v>163800.00000000003</v>
      </c>
      <c r="Q66" s="325">
        <f t="shared" si="21"/>
        <v>163800.00000000003</v>
      </c>
      <c r="R66" s="325">
        <f t="shared" si="21"/>
        <v>163800.00000000003</v>
      </c>
      <c r="S66" s="325">
        <f t="shared" si="21"/>
        <v>163800.00000000003</v>
      </c>
      <c r="T66" s="325">
        <f t="shared" si="21"/>
        <v>163800.00000000003</v>
      </c>
      <c r="U66" s="325">
        <f t="shared" si="21"/>
        <v>163800.00000000003</v>
      </c>
      <c r="V66" s="325">
        <f t="shared" si="21"/>
        <v>163800.00000000003</v>
      </c>
      <c r="W66" s="325">
        <f t="shared" si="21"/>
        <v>163800.00000000003</v>
      </c>
      <c r="X66" s="325">
        <f t="shared" si="21"/>
        <v>163800.00000000003</v>
      </c>
      <c r="Y66" s="325">
        <f t="shared" si="21"/>
        <v>163800.00000000003</v>
      </c>
      <c r="Z66" s="325">
        <f t="shared" si="21"/>
        <v>163800.00000000003</v>
      </c>
      <c r="AA66" s="325">
        <f t="shared" si="21"/>
        <v>163800.00000000003</v>
      </c>
      <c r="AB66" s="325">
        <f t="shared" si="21"/>
        <v>163800.00000000003</v>
      </c>
      <c r="AC66" s="325">
        <f t="shared" si="21"/>
        <v>163800.00000000003</v>
      </c>
      <c r="AD66" s="325">
        <f t="shared" si="21"/>
        <v>163800.00000000003</v>
      </c>
      <c r="AE66" s="325">
        <f t="shared" si="21"/>
        <v>163800.00000000003</v>
      </c>
      <c r="AF66" s="325">
        <f t="shared" si="21"/>
        <v>163800.00000000003</v>
      </c>
      <c r="AG66" s="325">
        <f t="shared" si="21"/>
        <v>163800.00000000003</v>
      </c>
      <c r="AH66" s="325">
        <f t="shared" si="21"/>
        <v>163800.00000000003</v>
      </c>
      <c r="AI66" s="325">
        <f t="shared" si="21"/>
        <v>4913999.9999999972</v>
      </c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</row>
    <row r="67" spans="1:52" ht="14.4" outlineLevel="3">
      <c r="A67" s="322" t="s">
        <v>831</v>
      </c>
      <c r="B67" s="326" t="s">
        <v>79</v>
      </c>
      <c r="C67" s="327" t="s">
        <v>832</v>
      </c>
      <c r="D67" s="327" t="s">
        <v>101</v>
      </c>
      <c r="E67" s="325">
        <f t="shared" si="22"/>
        <v>101500</v>
      </c>
      <c r="F67" s="324">
        <f t="shared" si="21"/>
        <v>101500</v>
      </c>
      <c r="G67" s="325">
        <f t="shared" si="21"/>
        <v>101500</v>
      </c>
      <c r="H67" s="325">
        <f t="shared" si="21"/>
        <v>101500</v>
      </c>
      <c r="I67" s="325">
        <f t="shared" si="21"/>
        <v>101500</v>
      </c>
      <c r="J67" s="325">
        <f t="shared" si="21"/>
        <v>101500</v>
      </c>
      <c r="K67" s="328">
        <f t="shared" si="21"/>
        <v>88899.999999999927</v>
      </c>
      <c r="L67" s="328">
        <f t="shared" si="21"/>
        <v>88899.999999999927</v>
      </c>
      <c r="M67" s="328">
        <f t="shared" si="21"/>
        <v>88899.999999999927</v>
      </c>
      <c r="N67" s="328">
        <f t="shared" si="21"/>
        <v>88899.999999999927</v>
      </c>
      <c r="O67" s="328">
        <f t="shared" si="21"/>
        <v>88899.999999999927</v>
      </c>
      <c r="P67" s="328">
        <f t="shared" si="21"/>
        <v>88899.999999999927</v>
      </c>
      <c r="Q67" s="328">
        <f t="shared" si="21"/>
        <v>88899.999999999927</v>
      </c>
      <c r="R67" s="328">
        <f t="shared" si="21"/>
        <v>88899.999999999927</v>
      </c>
      <c r="S67" s="328">
        <f t="shared" si="21"/>
        <v>88899.999999999927</v>
      </c>
      <c r="T67" s="328">
        <f t="shared" si="21"/>
        <v>88899.999999999927</v>
      </c>
      <c r="U67" s="328">
        <f t="shared" si="21"/>
        <v>88899.999999999927</v>
      </c>
      <c r="V67" s="328">
        <f t="shared" si="21"/>
        <v>88899.999999999927</v>
      </c>
      <c r="W67" s="328">
        <f t="shared" si="21"/>
        <v>88899.999999999927</v>
      </c>
      <c r="X67" s="328">
        <f t="shared" si="21"/>
        <v>88899.999999999927</v>
      </c>
      <c r="Y67" s="328">
        <f t="shared" si="21"/>
        <v>88899.999999999927</v>
      </c>
      <c r="Z67" s="328">
        <f t="shared" si="21"/>
        <v>88899.999999999927</v>
      </c>
      <c r="AA67" s="328">
        <f t="shared" si="21"/>
        <v>88899.999999999927</v>
      </c>
      <c r="AB67" s="328">
        <f t="shared" si="21"/>
        <v>88899.999999999927</v>
      </c>
      <c r="AC67" s="328">
        <f t="shared" si="21"/>
        <v>88899.999999999927</v>
      </c>
      <c r="AD67" s="328">
        <f t="shared" si="21"/>
        <v>88899.999999999927</v>
      </c>
      <c r="AE67" s="328">
        <f t="shared" si="21"/>
        <v>88899.999999999927</v>
      </c>
      <c r="AF67" s="328">
        <f t="shared" si="21"/>
        <v>88899.999999999927</v>
      </c>
      <c r="AG67" s="328">
        <f t="shared" si="21"/>
        <v>88899.999999999927</v>
      </c>
      <c r="AH67" s="328">
        <f t="shared" si="21"/>
        <v>88899.999999999927</v>
      </c>
      <c r="AI67" s="328">
        <f t="shared" si="21"/>
        <v>2742599.9999999981</v>
      </c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</row>
    <row r="68" spans="1:52" ht="14.4" outlineLevel="3">
      <c r="A68" s="322" t="s">
        <v>831</v>
      </c>
      <c r="B68" s="326" t="s">
        <v>80</v>
      </c>
      <c r="C68" s="327" t="s">
        <v>833</v>
      </c>
      <c r="D68" s="327" t="s">
        <v>101</v>
      </c>
      <c r="E68" s="325">
        <f t="shared" si="22"/>
        <v>1399.9999999999204</v>
      </c>
      <c r="F68" s="324">
        <f t="shared" si="21"/>
        <v>1399.9999999999204</v>
      </c>
      <c r="G68" s="325">
        <f t="shared" si="21"/>
        <v>1399.9999999999204</v>
      </c>
      <c r="H68" s="325">
        <f t="shared" si="21"/>
        <v>1399.9999999999204</v>
      </c>
      <c r="I68" s="325">
        <f t="shared" si="21"/>
        <v>1399.9999999999204</v>
      </c>
      <c r="J68" s="325">
        <f t="shared" si="21"/>
        <v>1399.9999999999204</v>
      </c>
      <c r="K68" s="328">
        <f t="shared" si="21"/>
        <v>0</v>
      </c>
      <c r="L68" s="328">
        <f t="shared" si="21"/>
        <v>0</v>
      </c>
      <c r="M68" s="328">
        <f t="shared" si="21"/>
        <v>0</v>
      </c>
      <c r="N68" s="328">
        <f t="shared" si="21"/>
        <v>0</v>
      </c>
      <c r="O68" s="328">
        <f t="shared" si="21"/>
        <v>0</v>
      </c>
      <c r="P68" s="328">
        <f t="shared" si="21"/>
        <v>0</v>
      </c>
      <c r="Q68" s="328">
        <f t="shared" si="21"/>
        <v>0</v>
      </c>
      <c r="R68" s="328">
        <f t="shared" si="21"/>
        <v>0</v>
      </c>
      <c r="S68" s="328">
        <f t="shared" si="21"/>
        <v>0</v>
      </c>
      <c r="T68" s="328">
        <f t="shared" si="21"/>
        <v>0</v>
      </c>
      <c r="U68" s="328">
        <f t="shared" si="21"/>
        <v>0</v>
      </c>
      <c r="V68" s="328">
        <f t="shared" si="21"/>
        <v>0</v>
      </c>
      <c r="W68" s="328">
        <f t="shared" si="21"/>
        <v>0</v>
      </c>
      <c r="X68" s="328">
        <f t="shared" si="21"/>
        <v>0</v>
      </c>
      <c r="Y68" s="328">
        <f t="shared" si="21"/>
        <v>0</v>
      </c>
      <c r="Z68" s="328">
        <f t="shared" si="21"/>
        <v>0</v>
      </c>
      <c r="AA68" s="328">
        <f t="shared" si="21"/>
        <v>0</v>
      </c>
      <c r="AB68" s="328">
        <f t="shared" si="21"/>
        <v>0</v>
      </c>
      <c r="AC68" s="328">
        <f t="shared" si="21"/>
        <v>0</v>
      </c>
      <c r="AD68" s="328">
        <f t="shared" si="21"/>
        <v>0</v>
      </c>
      <c r="AE68" s="328">
        <f t="shared" si="21"/>
        <v>0</v>
      </c>
      <c r="AF68" s="328">
        <f t="shared" si="21"/>
        <v>0</v>
      </c>
      <c r="AG68" s="328">
        <f t="shared" si="21"/>
        <v>0</v>
      </c>
      <c r="AH68" s="328">
        <f t="shared" si="21"/>
        <v>0</v>
      </c>
      <c r="AI68" s="328">
        <f t="shared" si="21"/>
        <v>8399.9999999995234</v>
      </c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</row>
    <row r="69" spans="1:52" ht="14.4" outlineLevel="3">
      <c r="A69" s="322" t="s">
        <v>831</v>
      </c>
      <c r="B69" s="326" t="s">
        <v>81</v>
      </c>
      <c r="C69" s="327" t="s">
        <v>1015</v>
      </c>
      <c r="D69" s="327" t="s">
        <v>101</v>
      </c>
      <c r="E69" s="325">
        <f t="shared" si="22"/>
        <v>37799.99999999984</v>
      </c>
      <c r="F69" s="324">
        <f t="shared" si="21"/>
        <v>37799.99999999984</v>
      </c>
      <c r="G69" s="325">
        <f t="shared" si="21"/>
        <v>37799.99999999984</v>
      </c>
      <c r="H69" s="325">
        <f t="shared" si="21"/>
        <v>37799.99999999984</v>
      </c>
      <c r="I69" s="325">
        <f t="shared" si="21"/>
        <v>37799.99999999984</v>
      </c>
      <c r="J69" s="325">
        <f t="shared" si="21"/>
        <v>37799.99999999984</v>
      </c>
      <c r="K69" s="328">
        <f t="shared" si="21"/>
        <v>0</v>
      </c>
      <c r="L69" s="328">
        <f t="shared" si="21"/>
        <v>0</v>
      </c>
      <c r="M69" s="328">
        <f t="shared" si="21"/>
        <v>0</v>
      </c>
      <c r="N69" s="328">
        <f t="shared" si="21"/>
        <v>0</v>
      </c>
      <c r="O69" s="328">
        <f t="shared" si="21"/>
        <v>0</v>
      </c>
      <c r="P69" s="328">
        <f t="shared" si="21"/>
        <v>0</v>
      </c>
      <c r="Q69" s="328">
        <f t="shared" si="21"/>
        <v>0</v>
      </c>
      <c r="R69" s="328">
        <f t="shared" si="21"/>
        <v>0</v>
      </c>
      <c r="S69" s="328">
        <f t="shared" si="21"/>
        <v>0</v>
      </c>
      <c r="T69" s="328">
        <f t="shared" si="21"/>
        <v>0</v>
      </c>
      <c r="U69" s="328">
        <f t="shared" si="21"/>
        <v>0</v>
      </c>
      <c r="V69" s="328">
        <f t="shared" si="21"/>
        <v>0</v>
      </c>
      <c r="W69" s="328">
        <f t="shared" si="21"/>
        <v>0</v>
      </c>
      <c r="X69" s="328">
        <f t="shared" si="21"/>
        <v>0</v>
      </c>
      <c r="Y69" s="328">
        <f t="shared" si="21"/>
        <v>0</v>
      </c>
      <c r="Z69" s="328">
        <f t="shared" si="21"/>
        <v>0</v>
      </c>
      <c r="AA69" s="328">
        <f t="shared" si="21"/>
        <v>0</v>
      </c>
      <c r="AB69" s="328">
        <f t="shared" si="21"/>
        <v>0</v>
      </c>
      <c r="AC69" s="328">
        <f t="shared" si="21"/>
        <v>0</v>
      </c>
      <c r="AD69" s="328">
        <f t="shared" si="21"/>
        <v>0</v>
      </c>
      <c r="AE69" s="328">
        <f t="shared" si="21"/>
        <v>0</v>
      </c>
      <c r="AF69" s="328">
        <f t="shared" si="21"/>
        <v>0</v>
      </c>
      <c r="AG69" s="328">
        <f t="shared" si="21"/>
        <v>0</v>
      </c>
      <c r="AH69" s="328">
        <f t="shared" si="21"/>
        <v>0</v>
      </c>
      <c r="AI69" s="328">
        <f t="shared" si="21"/>
        <v>226799.99999999904</v>
      </c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</row>
    <row r="70" spans="1:52" ht="14.4" outlineLevel="1">
      <c r="B70" s="403" t="s">
        <v>860</v>
      </c>
      <c r="C70" s="404"/>
      <c r="D70" s="6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7"/>
    </row>
    <row r="71" spans="1:52" ht="14.4" outlineLevel="2">
      <c r="B71" s="10">
        <v>2</v>
      </c>
      <c r="C71" s="11" t="s">
        <v>861</v>
      </c>
      <c r="D71" s="11" t="s">
        <v>101</v>
      </c>
      <c r="E71" s="128">
        <f t="shared" ref="E71:AI71" si="23">SUM(E72:E79)</f>
        <v>46079.999999999833</v>
      </c>
      <c r="F71" s="128">
        <f t="shared" si="23"/>
        <v>46079.999999999833</v>
      </c>
      <c r="G71" s="128">
        <f t="shared" si="23"/>
        <v>46079.999999999833</v>
      </c>
      <c r="H71" s="128">
        <f t="shared" si="23"/>
        <v>46079.999999999833</v>
      </c>
      <c r="I71" s="128">
        <f t="shared" si="23"/>
        <v>46079.999999999833</v>
      </c>
      <c r="J71" s="128">
        <f t="shared" si="23"/>
        <v>46079.999999999833</v>
      </c>
      <c r="K71" s="128">
        <f t="shared" si="23"/>
        <v>46079.999999999833</v>
      </c>
      <c r="L71" s="128">
        <f t="shared" si="23"/>
        <v>46079.999999999833</v>
      </c>
      <c r="M71" s="128">
        <f t="shared" si="23"/>
        <v>46079.999999999833</v>
      </c>
      <c r="N71" s="128">
        <f t="shared" si="23"/>
        <v>46079.999999999833</v>
      </c>
      <c r="O71" s="128">
        <f t="shared" si="23"/>
        <v>46079.999999999833</v>
      </c>
      <c r="P71" s="128">
        <f t="shared" si="23"/>
        <v>46079.999999999833</v>
      </c>
      <c r="Q71" s="128">
        <f t="shared" si="23"/>
        <v>46079.999999999833</v>
      </c>
      <c r="R71" s="128">
        <f t="shared" si="23"/>
        <v>46079.999999999833</v>
      </c>
      <c r="S71" s="128">
        <f t="shared" si="23"/>
        <v>46079.999999999833</v>
      </c>
      <c r="T71" s="128">
        <f t="shared" si="23"/>
        <v>46079.999999999833</v>
      </c>
      <c r="U71" s="128">
        <f t="shared" si="23"/>
        <v>46079.999999999833</v>
      </c>
      <c r="V71" s="128">
        <f t="shared" si="23"/>
        <v>46079.999999999833</v>
      </c>
      <c r="W71" s="128">
        <f t="shared" si="23"/>
        <v>46079.999999999833</v>
      </c>
      <c r="X71" s="128">
        <f t="shared" si="23"/>
        <v>46079.999999999833</v>
      </c>
      <c r="Y71" s="128">
        <f t="shared" si="23"/>
        <v>46079.999999999833</v>
      </c>
      <c r="Z71" s="128">
        <f t="shared" si="23"/>
        <v>46079.999999999833</v>
      </c>
      <c r="AA71" s="128">
        <f t="shared" si="23"/>
        <v>46079.999999999833</v>
      </c>
      <c r="AB71" s="128">
        <f t="shared" si="23"/>
        <v>46079.999999999833</v>
      </c>
      <c r="AC71" s="128">
        <f t="shared" si="23"/>
        <v>46079.999999999833</v>
      </c>
      <c r="AD71" s="128">
        <f t="shared" si="23"/>
        <v>46079.999999999833</v>
      </c>
      <c r="AE71" s="128">
        <f t="shared" si="23"/>
        <v>46079.999999999833</v>
      </c>
      <c r="AF71" s="128">
        <f t="shared" si="23"/>
        <v>46079.999999999833</v>
      </c>
      <c r="AG71" s="128">
        <f t="shared" si="23"/>
        <v>46079.999999999833</v>
      </c>
      <c r="AH71" s="128">
        <f t="shared" si="23"/>
        <v>46079.999999999833</v>
      </c>
      <c r="AI71" s="128">
        <f t="shared" si="23"/>
        <v>1382399.9999999946</v>
      </c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</row>
    <row r="72" spans="1:52" ht="14.4" outlineLevel="3">
      <c r="A72" s="322"/>
      <c r="B72" s="286" t="s">
        <v>835</v>
      </c>
      <c r="C72" s="323" t="s">
        <v>825</v>
      </c>
      <c r="D72" s="323" t="s">
        <v>101</v>
      </c>
      <c r="E72" s="324">
        <f>(E42*3.2)*1000</f>
        <v>2880.0000000000027</v>
      </c>
      <c r="F72" s="324">
        <f t="shared" ref="F72:AI79" si="24">(F42*3.2)*1000</f>
        <v>2880.0000000000027</v>
      </c>
      <c r="G72" s="324">
        <f t="shared" si="24"/>
        <v>2880.0000000000027</v>
      </c>
      <c r="H72" s="324">
        <f t="shared" si="24"/>
        <v>2880.0000000000027</v>
      </c>
      <c r="I72" s="324">
        <f t="shared" si="24"/>
        <v>2880.0000000000027</v>
      </c>
      <c r="J72" s="324">
        <f t="shared" si="24"/>
        <v>2880.0000000000027</v>
      </c>
      <c r="K72" s="324">
        <f t="shared" si="24"/>
        <v>2880.0000000000027</v>
      </c>
      <c r="L72" s="324">
        <f t="shared" si="24"/>
        <v>2880.0000000000027</v>
      </c>
      <c r="M72" s="324">
        <f t="shared" si="24"/>
        <v>2880.0000000000027</v>
      </c>
      <c r="N72" s="324">
        <f t="shared" si="24"/>
        <v>2880.0000000000027</v>
      </c>
      <c r="O72" s="324">
        <f t="shared" si="24"/>
        <v>2880.0000000000027</v>
      </c>
      <c r="P72" s="324">
        <f t="shared" si="24"/>
        <v>2880.0000000000027</v>
      </c>
      <c r="Q72" s="324">
        <f t="shared" si="24"/>
        <v>2880.0000000000027</v>
      </c>
      <c r="R72" s="324">
        <f t="shared" si="24"/>
        <v>2880.0000000000027</v>
      </c>
      <c r="S72" s="324">
        <f t="shared" si="24"/>
        <v>2880.0000000000027</v>
      </c>
      <c r="T72" s="324">
        <f t="shared" si="24"/>
        <v>2880.0000000000027</v>
      </c>
      <c r="U72" s="324">
        <f t="shared" si="24"/>
        <v>2880.0000000000027</v>
      </c>
      <c r="V72" s="324">
        <f t="shared" si="24"/>
        <v>2880.0000000000027</v>
      </c>
      <c r="W72" s="324">
        <f t="shared" si="24"/>
        <v>2880.0000000000027</v>
      </c>
      <c r="X72" s="324">
        <f t="shared" si="24"/>
        <v>2880.0000000000027</v>
      </c>
      <c r="Y72" s="324">
        <f t="shared" si="24"/>
        <v>2880.0000000000027</v>
      </c>
      <c r="Z72" s="324">
        <f t="shared" si="24"/>
        <v>2880.0000000000027</v>
      </c>
      <c r="AA72" s="324">
        <f t="shared" si="24"/>
        <v>2880.0000000000027</v>
      </c>
      <c r="AB72" s="324">
        <f t="shared" si="24"/>
        <v>2880.0000000000027</v>
      </c>
      <c r="AC72" s="324">
        <f t="shared" si="24"/>
        <v>2880.0000000000027</v>
      </c>
      <c r="AD72" s="324">
        <f t="shared" si="24"/>
        <v>2880.0000000000027</v>
      </c>
      <c r="AE72" s="324">
        <f t="shared" si="24"/>
        <v>2880.0000000000027</v>
      </c>
      <c r="AF72" s="324">
        <f t="shared" si="24"/>
        <v>2880.0000000000027</v>
      </c>
      <c r="AG72" s="324">
        <f t="shared" si="24"/>
        <v>2880.0000000000027</v>
      </c>
      <c r="AH72" s="324">
        <f t="shared" si="24"/>
        <v>2880.0000000000027</v>
      </c>
      <c r="AI72" s="324">
        <f t="shared" si="24"/>
        <v>86400.000000000116</v>
      </c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</row>
    <row r="73" spans="1:52" ht="14.4" outlineLevel="3">
      <c r="A73" s="322"/>
      <c r="B73" s="286" t="s">
        <v>199</v>
      </c>
      <c r="C73" s="323" t="s">
        <v>827</v>
      </c>
      <c r="D73" s="323" t="s">
        <v>101</v>
      </c>
      <c r="E73" s="324">
        <f t="shared" ref="E73:T79" si="25">(E43*3.2)*1000</f>
        <v>29760.000000000131</v>
      </c>
      <c r="F73" s="325">
        <f t="shared" si="25"/>
        <v>29760.000000000131</v>
      </c>
      <c r="G73" s="325">
        <f t="shared" si="25"/>
        <v>29760.000000000131</v>
      </c>
      <c r="H73" s="325">
        <f t="shared" si="25"/>
        <v>29760.000000000131</v>
      </c>
      <c r="I73" s="325">
        <f t="shared" si="25"/>
        <v>29760.000000000131</v>
      </c>
      <c r="J73" s="325">
        <f t="shared" si="25"/>
        <v>29760.000000000131</v>
      </c>
      <c r="K73" s="325">
        <f t="shared" si="25"/>
        <v>29760.000000000131</v>
      </c>
      <c r="L73" s="325">
        <f t="shared" si="25"/>
        <v>29760.000000000131</v>
      </c>
      <c r="M73" s="325">
        <f t="shared" si="25"/>
        <v>29760.000000000131</v>
      </c>
      <c r="N73" s="325">
        <f t="shared" si="25"/>
        <v>29760.000000000131</v>
      </c>
      <c r="O73" s="325">
        <f t="shared" si="25"/>
        <v>29760.000000000131</v>
      </c>
      <c r="P73" s="325">
        <f t="shared" si="25"/>
        <v>29760.000000000131</v>
      </c>
      <c r="Q73" s="325">
        <f t="shared" si="25"/>
        <v>29760.000000000131</v>
      </c>
      <c r="R73" s="325">
        <f t="shared" si="25"/>
        <v>29760.000000000131</v>
      </c>
      <c r="S73" s="325">
        <f t="shared" si="25"/>
        <v>29760.000000000131</v>
      </c>
      <c r="T73" s="325">
        <f t="shared" si="25"/>
        <v>29760.000000000131</v>
      </c>
      <c r="U73" s="325">
        <f t="shared" si="24"/>
        <v>29760.000000000131</v>
      </c>
      <c r="V73" s="325">
        <f t="shared" si="24"/>
        <v>29760.000000000131</v>
      </c>
      <c r="W73" s="325">
        <f t="shared" si="24"/>
        <v>29760.000000000131</v>
      </c>
      <c r="X73" s="325">
        <f t="shared" si="24"/>
        <v>29760.000000000131</v>
      </c>
      <c r="Y73" s="325">
        <f t="shared" si="24"/>
        <v>29760.000000000131</v>
      </c>
      <c r="Z73" s="325">
        <f t="shared" si="24"/>
        <v>29760.000000000131</v>
      </c>
      <c r="AA73" s="325">
        <f t="shared" si="24"/>
        <v>29760.000000000131</v>
      </c>
      <c r="AB73" s="325">
        <f t="shared" si="24"/>
        <v>29760.000000000131</v>
      </c>
      <c r="AC73" s="325">
        <f t="shared" si="24"/>
        <v>29760.000000000131</v>
      </c>
      <c r="AD73" s="325">
        <f t="shared" si="24"/>
        <v>29760.000000000131</v>
      </c>
      <c r="AE73" s="325">
        <f t="shared" si="24"/>
        <v>29760.000000000131</v>
      </c>
      <c r="AF73" s="325">
        <f t="shared" si="24"/>
        <v>29760.000000000131</v>
      </c>
      <c r="AG73" s="325">
        <f t="shared" si="24"/>
        <v>29760.000000000131</v>
      </c>
      <c r="AH73" s="325">
        <f t="shared" si="24"/>
        <v>29760.000000000131</v>
      </c>
      <c r="AI73" s="325">
        <f t="shared" si="24"/>
        <v>892800.00000000407</v>
      </c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</row>
    <row r="74" spans="1:52" ht="14.4" outlineLevel="3">
      <c r="A74" s="322"/>
      <c r="B74" s="286" t="s">
        <v>200</v>
      </c>
      <c r="C74" s="323" t="s">
        <v>828</v>
      </c>
      <c r="D74" s="323" t="s">
        <v>101</v>
      </c>
      <c r="E74" s="324">
        <f t="shared" si="25"/>
        <v>9279.9999999997453</v>
      </c>
      <c r="F74" s="325">
        <f t="shared" si="24"/>
        <v>9279.9999999997453</v>
      </c>
      <c r="G74" s="325">
        <f t="shared" si="24"/>
        <v>9279.9999999997453</v>
      </c>
      <c r="H74" s="325">
        <f t="shared" si="24"/>
        <v>9279.9999999997453</v>
      </c>
      <c r="I74" s="325">
        <f t="shared" si="24"/>
        <v>9279.9999999997453</v>
      </c>
      <c r="J74" s="325">
        <f t="shared" si="24"/>
        <v>9279.9999999997453</v>
      </c>
      <c r="K74" s="325">
        <f t="shared" si="24"/>
        <v>9279.9999999997453</v>
      </c>
      <c r="L74" s="325">
        <f t="shared" si="24"/>
        <v>9279.9999999997453</v>
      </c>
      <c r="M74" s="325">
        <f t="shared" si="24"/>
        <v>9279.9999999997453</v>
      </c>
      <c r="N74" s="325">
        <f t="shared" si="24"/>
        <v>9279.9999999997453</v>
      </c>
      <c r="O74" s="325">
        <f t="shared" si="24"/>
        <v>9279.9999999997453</v>
      </c>
      <c r="P74" s="325">
        <f t="shared" si="24"/>
        <v>9279.9999999997453</v>
      </c>
      <c r="Q74" s="325">
        <f t="shared" si="24"/>
        <v>9279.9999999997453</v>
      </c>
      <c r="R74" s="325">
        <f t="shared" si="24"/>
        <v>9279.9999999997453</v>
      </c>
      <c r="S74" s="325">
        <f t="shared" si="24"/>
        <v>9279.9999999997453</v>
      </c>
      <c r="T74" s="325">
        <f t="shared" si="24"/>
        <v>9279.9999999997453</v>
      </c>
      <c r="U74" s="325">
        <f t="shared" si="24"/>
        <v>9279.9999999997453</v>
      </c>
      <c r="V74" s="325">
        <f t="shared" si="24"/>
        <v>9279.9999999997453</v>
      </c>
      <c r="W74" s="325">
        <f t="shared" si="24"/>
        <v>9279.9999999997453</v>
      </c>
      <c r="X74" s="325">
        <f t="shared" si="24"/>
        <v>9279.9999999997453</v>
      </c>
      <c r="Y74" s="325">
        <f t="shared" si="24"/>
        <v>9279.9999999997453</v>
      </c>
      <c r="Z74" s="325">
        <f t="shared" si="24"/>
        <v>9279.9999999997453</v>
      </c>
      <c r="AA74" s="325">
        <f t="shared" si="24"/>
        <v>9279.9999999997453</v>
      </c>
      <c r="AB74" s="325">
        <f t="shared" si="24"/>
        <v>9279.9999999997453</v>
      </c>
      <c r="AC74" s="325">
        <f t="shared" si="24"/>
        <v>9279.9999999997453</v>
      </c>
      <c r="AD74" s="325">
        <f t="shared" si="24"/>
        <v>9279.9999999997453</v>
      </c>
      <c r="AE74" s="325">
        <f t="shared" si="24"/>
        <v>9279.9999999997453</v>
      </c>
      <c r="AF74" s="325">
        <f t="shared" si="24"/>
        <v>9279.9999999997453</v>
      </c>
      <c r="AG74" s="325">
        <f t="shared" si="24"/>
        <v>9279.9999999997453</v>
      </c>
      <c r="AH74" s="325">
        <f t="shared" si="24"/>
        <v>9279.9999999997453</v>
      </c>
      <c r="AI74" s="325">
        <f t="shared" si="24"/>
        <v>278399.99999999237</v>
      </c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</row>
    <row r="75" spans="1:52" ht="14.4" outlineLevel="3">
      <c r="A75" s="322"/>
      <c r="B75" s="286" t="s">
        <v>201</v>
      </c>
      <c r="C75" s="323" t="s">
        <v>829</v>
      </c>
      <c r="D75" s="323" t="s">
        <v>101</v>
      </c>
      <c r="E75" s="324">
        <f t="shared" si="25"/>
        <v>2880.0000000000186</v>
      </c>
      <c r="F75" s="325">
        <f t="shared" si="24"/>
        <v>2880.0000000000186</v>
      </c>
      <c r="G75" s="325">
        <f t="shared" si="24"/>
        <v>2880.0000000000186</v>
      </c>
      <c r="H75" s="325">
        <f t="shared" si="24"/>
        <v>2880.0000000000186</v>
      </c>
      <c r="I75" s="325">
        <f t="shared" si="24"/>
        <v>2880.0000000000186</v>
      </c>
      <c r="J75" s="325">
        <f t="shared" si="24"/>
        <v>2880.0000000000186</v>
      </c>
      <c r="K75" s="325">
        <f t="shared" si="24"/>
        <v>2880.0000000000186</v>
      </c>
      <c r="L75" s="325">
        <f t="shared" si="24"/>
        <v>2880.0000000000186</v>
      </c>
      <c r="M75" s="325">
        <f t="shared" si="24"/>
        <v>2880.0000000000186</v>
      </c>
      <c r="N75" s="325">
        <f t="shared" si="24"/>
        <v>2880.0000000000186</v>
      </c>
      <c r="O75" s="325">
        <f t="shared" si="24"/>
        <v>2880.0000000000186</v>
      </c>
      <c r="P75" s="325">
        <f t="shared" si="24"/>
        <v>2880.0000000000186</v>
      </c>
      <c r="Q75" s="325">
        <f t="shared" si="24"/>
        <v>2880.0000000000186</v>
      </c>
      <c r="R75" s="325">
        <f t="shared" si="24"/>
        <v>2880.0000000000186</v>
      </c>
      <c r="S75" s="325">
        <f t="shared" si="24"/>
        <v>2880.0000000000186</v>
      </c>
      <c r="T75" s="325">
        <f t="shared" si="24"/>
        <v>2880.0000000000186</v>
      </c>
      <c r="U75" s="325">
        <f t="shared" si="24"/>
        <v>2880.0000000000186</v>
      </c>
      <c r="V75" s="325">
        <f t="shared" si="24"/>
        <v>2880.0000000000186</v>
      </c>
      <c r="W75" s="325">
        <f t="shared" si="24"/>
        <v>2880.0000000000186</v>
      </c>
      <c r="X75" s="325">
        <f t="shared" si="24"/>
        <v>2880.0000000000186</v>
      </c>
      <c r="Y75" s="325">
        <f t="shared" si="24"/>
        <v>2880.0000000000186</v>
      </c>
      <c r="Z75" s="325">
        <f t="shared" si="24"/>
        <v>2880.0000000000186</v>
      </c>
      <c r="AA75" s="325">
        <f t="shared" si="24"/>
        <v>2880.0000000000186</v>
      </c>
      <c r="AB75" s="325">
        <f t="shared" si="24"/>
        <v>2880.0000000000186</v>
      </c>
      <c r="AC75" s="325">
        <f t="shared" si="24"/>
        <v>2880.0000000000186</v>
      </c>
      <c r="AD75" s="325">
        <f t="shared" si="24"/>
        <v>2880.0000000000186</v>
      </c>
      <c r="AE75" s="325">
        <f t="shared" si="24"/>
        <v>2880.0000000000186</v>
      </c>
      <c r="AF75" s="325">
        <f t="shared" si="24"/>
        <v>2880.0000000000186</v>
      </c>
      <c r="AG75" s="325">
        <f t="shared" si="24"/>
        <v>2880.0000000000186</v>
      </c>
      <c r="AH75" s="325">
        <f t="shared" si="24"/>
        <v>2880.0000000000186</v>
      </c>
      <c r="AI75" s="325">
        <f t="shared" si="24"/>
        <v>86400.000000000553</v>
      </c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</row>
    <row r="76" spans="1:52" ht="14.4" outlineLevel="3">
      <c r="A76" s="322"/>
      <c r="B76" s="286" t="s">
        <v>836</v>
      </c>
      <c r="C76" s="323" t="s">
        <v>830</v>
      </c>
      <c r="D76" s="323" t="s">
        <v>101</v>
      </c>
      <c r="E76" s="324">
        <f t="shared" si="25"/>
        <v>639.99999999996373</v>
      </c>
      <c r="F76" s="325">
        <f t="shared" si="24"/>
        <v>639.99999999996373</v>
      </c>
      <c r="G76" s="325">
        <f t="shared" si="24"/>
        <v>639.99999999996373</v>
      </c>
      <c r="H76" s="325">
        <f t="shared" si="24"/>
        <v>639.99999999996373</v>
      </c>
      <c r="I76" s="325">
        <f t="shared" si="24"/>
        <v>639.99999999996373</v>
      </c>
      <c r="J76" s="325">
        <f t="shared" si="24"/>
        <v>639.99999999996373</v>
      </c>
      <c r="K76" s="325">
        <f t="shared" si="24"/>
        <v>639.99999999996373</v>
      </c>
      <c r="L76" s="325">
        <f t="shared" si="24"/>
        <v>639.99999999996373</v>
      </c>
      <c r="M76" s="325">
        <f t="shared" si="24"/>
        <v>639.99999999996373</v>
      </c>
      <c r="N76" s="325">
        <f t="shared" si="24"/>
        <v>639.99999999996373</v>
      </c>
      <c r="O76" s="325">
        <f t="shared" si="24"/>
        <v>639.99999999996373</v>
      </c>
      <c r="P76" s="325">
        <f t="shared" si="24"/>
        <v>639.99999999996373</v>
      </c>
      <c r="Q76" s="325">
        <f t="shared" si="24"/>
        <v>639.99999999996373</v>
      </c>
      <c r="R76" s="325">
        <f t="shared" si="24"/>
        <v>639.99999999996373</v>
      </c>
      <c r="S76" s="325">
        <f t="shared" si="24"/>
        <v>639.99999999996373</v>
      </c>
      <c r="T76" s="325">
        <f t="shared" si="24"/>
        <v>639.99999999996373</v>
      </c>
      <c r="U76" s="325">
        <f t="shared" si="24"/>
        <v>639.99999999996373</v>
      </c>
      <c r="V76" s="325">
        <f t="shared" si="24"/>
        <v>639.99999999996373</v>
      </c>
      <c r="W76" s="325">
        <f t="shared" si="24"/>
        <v>639.99999999996373</v>
      </c>
      <c r="X76" s="325">
        <f t="shared" si="24"/>
        <v>639.99999999996373</v>
      </c>
      <c r="Y76" s="325">
        <f t="shared" si="24"/>
        <v>639.99999999996373</v>
      </c>
      <c r="Z76" s="325">
        <f t="shared" si="24"/>
        <v>639.99999999996373</v>
      </c>
      <c r="AA76" s="325">
        <f t="shared" si="24"/>
        <v>639.99999999996373</v>
      </c>
      <c r="AB76" s="325">
        <f t="shared" si="24"/>
        <v>639.99999999996373</v>
      </c>
      <c r="AC76" s="325">
        <f t="shared" si="24"/>
        <v>639.99999999996373</v>
      </c>
      <c r="AD76" s="325">
        <f t="shared" si="24"/>
        <v>639.99999999996373</v>
      </c>
      <c r="AE76" s="325">
        <f t="shared" si="24"/>
        <v>639.99999999996373</v>
      </c>
      <c r="AF76" s="325">
        <f t="shared" si="24"/>
        <v>639.99999999996373</v>
      </c>
      <c r="AG76" s="325">
        <f t="shared" si="24"/>
        <v>639.99999999996373</v>
      </c>
      <c r="AH76" s="325">
        <f t="shared" si="24"/>
        <v>639.99999999996373</v>
      </c>
      <c r="AI76" s="325">
        <f t="shared" si="24"/>
        <v>19199.999999998909</v>
      </c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</row>
    <row r="77" spans="1:52" ht="14.4" outlineLevel="3">
      <c r="A77" s="322" t="s">
        <v>831</v>
      </c>
      <c r="B77" s="326" t="s">
        <v>837</v>
      </c>
      <c r="C77" s="327" t="s">
        <v>832</v>
      </c>
      <c r="D77" s="327" t="s">
        <v>101</v>
      </c>
      <c r="E77" s="325">
        <f t="shared" si="25"/>
        <v>639.99999999996373</v>
      </c>
      <c r="F77" s="324">
        <f t="shared" si="24"/>
        <v>639.99999999996373</v>
      </c>
      <c r="G77" s="325">
        <f t="shared" si="24"/>
        <v>639.99999999996373</v>
      </c>
      <c r="H77" s="325">
        <f t="shared" si="24"/>
        <v>639.99999999996373</v>
      </c>
      <c r="I77" s="325">
        <f t="shared" si="24"/>
        <v>639.99999999996373</v>
      </c>
      <c r="J77" s="325">
        <f t="shared" si="24"/>
        <v>639.99999999996373</v>
      </c>
      <c r="K77" s="328">
        <f t="shared" si="24"/>
        <v>639.99999999996373</v>
      </c>
      <c r="L77" s="328">
        <f t="shared" si="24"/>
        <v>639.99999999996373</v>
      </c>
      <c r="M77" s="328">
        <f t="shared" si="24"/>
        <v>639.99999999996373</v>
      </c>
      <c r="N77" s="328">
        <f t="shared" si="24"/>
        <v>639.99999999996373</v>
      </c>
      <c r="O77" s="328">
        <f t="shared" si="24"/>
        <v>639.99999999996373</v>
      </c>
      <c r="P77" s="328">
        <f t="shared" si="24"/>
        <v>639.99999999996373</v>
      </c>
      <c r="Q77" s="328">
        <f t="shared" si="24"/>
        <v>639.99999999996373</v>
      </c>
      <c r="R77" s="328">
        <f t="shared" si="24"/>
        <v>639.99999999996373</v>
      </c>
      <c r="S77" s="328">
        <f t="shared" si="24"/>
        <v>639.99999999996373</v>
      </c>
      <c r="T77" s="328">
        <f t="shared" si="24"/>
        <v>639.99999999996373</v>
      </c>
      <c r="U77" s="328">
        <f t="shared" si="24"/>
        <v>639.99999999996373</v>
      </c>
      <c r="V77" s="328">
        <f t="shared" si="24"/>
        <v>639.99999999996373</v>
      </c>
      <c r="W77" s="328">
        <f t="shared" si="24"/>
        <v>639.99999999996373</v>
      </c>
      <c r="X77" s="328">
        <f t="shared" si="24"/>
        <v>639.99999999996373</v>
      </c>
      <c r="Y77" s="328">
        <f t="shared" si="24"/>
        <v>639.99999999996373</v>
      </c>
      <c r="Z77" s="328">
        <f t="shared" si="24"/>
        <v>639.99999999996373</v>
      </c>
      <c r="AA77" s="328">
        <f t="shared" si="24"/>
        <v>639.99999999996373</v>
      </c>
      <c r="AB77" s="328">
        <f t="shared" si="24"/>
        <v>639.99999999996373</v>
      </c>
      <c r="AC77" s="328">
        <f t="shared" si="24"/>
        <v>639.99999999996373</v>
      </c>
      <c r="AD77" s="328">
        <f t="shared" si="24"/>
        <v>639.99999999996373</v>
      </c>
      <c r="AE77" s="328">
        <f t="shared" si="24"/>
        <v>639.99999999996373</v>
      </c>
      <c r="AF77" s="328">
        <f t="shared" si="24"/>
        <v>639.99999999996373</v>
      </c>
      <c r="AG77" s="328">
        <f t="shared" si="24"/>
        <v>639.99999999996373</v>
      </c>
      <c r="AH77" s="328">
        <f t="shared" si="24"/>
        <v>639.99999999996373</v>
      </c>
      <c r="AI77" s="328">
        <f t="shared" si="24"/>
        <v>19199.999999998909</v>
      </c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</row>
    <row r="78" spans="1:52" ht="14.4" outlineLevel="3">
      <c r="A78" s="322" t="s">
        <v>831</v>
      </c>
      <c r="B78" s="326" t="s">
        <v>838</v>
      </c>
      <c r="C78" s="327" t="s">
        <v>833</v>
      </c>
      <c r="D78" s="327" t="s">
        <v>101</v>
      </c>
      <c r="E78" s="325">
        <f t="shared" si="25"/>
        <v>0</v>
      </c>
      <c r="F78" s="324">
        <f t="shared" si="24"/>
        <v>0</v>
      </c>
      <c r="G78" s="325">
        <f t="shared" si="24"/>
        <v>0</v>
      </c>
      <c r="H78" s="325">
        <f t="shared" si="24"/>
        <v>0</v>
      </c>
      <c r="I78" s="325">
        <f t="shared" si="24"/>
        <v>0</v>
      </c>
      <c r="J78" s="325">
        <f t="shared" si="24"/>
        <v>0</v>
      </c>
      <c r="K78" s="328">
        <f t="shared" si="24"/>
        <v>0</v>
      </c>
      <c r="L78" s="328">
        <f t="shared" si="24"/>
        <v>0</v>
      </c>
      <c r="M78" s="328">
        <f t="shared" si="24"/>
        <v>0</v>
      </c>
      <c r="N78" s="328">
        <f t="shared" si="24"/>
        <v>0</v>
      </c>
      <c r="O78" s="328">
        <f t="shared" si="24"/>
        <v>0</v>
      </c>
      <c r="P78" s="328">
        <f t="shared" si="24"/>
        <v>0</v>
      </c>
      <c r="Q78" s="328">
        <f t="shared" si="24"/>
        <v>0</v>
      </c>
      <c r="R78" s="328">
        <f t="shared" si="24"/>
        <v>0</v>
      </c>
      <c r="S78" s="328">
        <f t="shared" si="24"/>
        <v>0</v>
      </c>
      <c r="T78" s="328">
        <f t="shared" si="24"/>
        <v>0</v>
      </c>
      <c r="U78" s="328">
        <f t="shared" si="24"/>
        <v>0</v>
      </c>
      <c r="V78" s="328">
        <f t="shared" si="24"/>
        <v>0</v>
      </c>
      <c r="W78" s="328">
        <f t="shared" si="24"/>
        <v>0</v>
      </c>
      <c r="X78" s="328">
        <f t="shared" si="24"/>
        <v>0</v>
      </c>
      <c r="Y78" s="328">
        <f t="shared" si="24"/>
        <v>0</v>
      </c>
      <c r="Z78" s="328">
        <f t="shared" si="24"/>
        <v>0</v>
      </c>
      <c r="AA78" s="328">
        <f t="shared" si="24"/>
        <v>0</v>
      </c>
      <c r="AB78" s="328">
        <f t="shared" si="24"/>
        <v>0</v>
      </c>
      <c r="AC78" s="328">
        <f t="shared" si="24"/>
        <v>0</v>
      </c>
      <c r="AD78" s="328">
        <f t="shared" si="24"/>
        <v>0</v>
      </c>
      <c r="AE78" s="328">
        <f t="shared" si="24"/>
        <v>0</v>
      </c>
      <c r="AF78" s="328">
        <f t="shared" si="24"/>
        <v>0</v>
      </c>
      <c r="AG78" s="328">
        <f t="shared" si="24"/>
        <v>0</v>
      </c>
      <c r="AH78" s="328">
        <f t="shared" si="24"/>
        <v>0</v>
      </c>
      <c r="AI78" s="328">
        <f t="shared" si="24"/>
        <v>0</v>
      </c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</row>
    <row r="79" spans="1:52" ht="14.4" outlineLevel="3">
      <c r="A79" s="322" t="s">
        <v>831</v>
      </c>
      <c r="B79" s="326" t="s">
        <v>839</v>
      </c>
      <c r="C79" s="327" t="s">
        <v>1015</v>
      </c>
      <c r="D79" s="327" t="s">
        <v>101</v>
      </c>
      <c r="E79" s="325">
        <f t="shared" si="25"/>
        <v>0</v>
      </c>
      <c r="F79" s="324">
        <f t="shared" si="24"/>
        <v>0</v>
      </c>
      <c r="G79" s="325">
        <f t="shared" si="24"/>
        <v>0</v>
      </c>
      <c r="H79" s="325">
        <f t="shared" si="24"/>
        <v>0</v>
      </c>
      <c r="I79" s="325">
        <f t="shared" si="24"/>
        <v>0</v>
      </c>
      <c r="J79" s="325">
        <f t="shared" si="24"/>
        <v>0</v>
      </c>
      <c r="K79" s="328">
        <f t="shared" si="24"/>
        <v>0</v>
      </c>
      <c r="L79" s="328">
        <f t="shared" si="24"/>
        <v>0</v>
      </c>
      <c r="M79" s="328">
        <f t="shared" si="24"/>
        <v>0</v>
      </c>
      <c r="N79" s="328">
        <f t="shared" si="24"/>
        <v>0</v>
      </c>
      <c r="O79" s="328">
        <f t="shared" si="24"/>
        <v>0</v>
      </c>
      <c r="P79" s="328">
        <f t="shared" si="24"/>
        <v>0</v>
      </c>
      <c r="Q79" s="328">
        <f t="shared" si="24"/>
        <v>0</v>
      </c>
      <c r="R79" s="328">
        <f t="shared" si="24"/>
        <v>0</v>
      </c>
      <c r="S79" s="328">
        <f t="shared" si="24"/>
        <v>0</v>
      </c>
      <c r="T79" s="328">
        <f t="shared" si="24"/>
        <v>0</v>
      </c>
      <c r="U79" s="328">
        <f t="shared" si="24"/>
        <v>0</v>
      </c>
      <c r="V79" s="328">
        <f t="shared" si="24"/>
        <v>0</v>
      </c>
      <c r="W79" s="328">
        <f t="shared" si="24"/>
        <v>0</v>
      </c>
      <c r="X79" s="328">
        <f t="shared" si="24"/>
        <v>0</v>
      </c>
      <c r="Y79" s="328">
        <f t="shared" si="24"/>
        <v>0</v>
      </c>
      <c r="Z79" s="328">
        <f t="shared" si="24"/>
        <v>0</v>
      </c>
      <c r="AA79" s="328">
        <f t="shared" si="24"/>
        <v>0</v>
      </c>
      <c r="AB79" s="328">
        <f t="shared" si="24"/>
        <v>0</v>
      </c>
      <c r="AC79" s="328">
        <f t="shared" si="24"/>
        <v>0</v>
      </c>
      <c r="AD79" s="328">
        <f t="shared" si="24"/>
        <v>0</v>
      </c>
      <c r="AE79" s="328">
        <f t="shared" si="24"/>
        <v>0</v>
      </c>
      <c r="AF79" s="328">
        <f t="shared" si="24"/>
        <v>0</v>
      </c>
      <c r="AG79" s="328">
        <f t="shared" si="24"/>
        <v>0</v>
      </c>
      <c r="AH79" s="328">
        <f t="shared" si="24"/>
        <v>0</v>
      </c>
      <c r="AI79" s="328">
        <f t="shared" si="24"/>
        <v>0</v>
      </c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</row>
    <row r="80" spans="1:52" ht="14.4" outlineLevel="1">
      <c r="B80" s="403" t="s">
        <v>862</v>
      </c>
      <c r="C80" s="404"/>
      <c r="D80" s="19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</row>
    <row r="81" spans="1:52" ht="14.4" outlineLevel="2">
      <c r="B81" s="10">
        <v>3</v>
      </c>
      <c r="C81" s="11" t="s">
        <v>863</v>
      </c>
      <c r="D81" s="11" t="s">
        <v>101</v>
      </c>
      <c r="E81" s="128">
        <f t="shared" ref="E81:AI81" si="26">SUM(E82:E89)</f>
        <v>0</v>
      </c>
      <c r="F81" s="128">
        <f t="shared" si="26"/>
        <v>0</v>
      </c>
      <c r="G81" s="128">
        <f t="shared" si="26"/>
        <v>0</v>
      </c>
      <c r="H81" s="128">
        <f t="shared" si="26"/>
        <v>0</v>
      </c>
      <c r="I81" s="128">
        <f t="shared" si="26"/>
        <v>0</v>
      </c>
      <c r="J81" s="128">
        <f t="shared" si="26"/>
        <v>0</v>
      </c>
      <c r="K81" s="128">
        <f t="shared" si="26"/>
        <v>0</v>
      </c>
      <c r="L81" s="128">
        <f t="shared" si="26"/>
        <v>0</v>
      </c>
      <c r="M81" s="128">
        <f t="shared" si="26"/>
        <v>0</v>
      </c>
      <c r="N81" s="128">
        <f t="shared" si="26"/>
        <v>0</v>
      </c>
      <c r="O81" s="128">
        <f t="shared" si="26"/>
        <v>0</v>
      </c>
      <c r="P81" s="128">
        <f t="shared" si="26"/>
        <v>0</v>
      </c>
      <c r="Q81" s="128">
        <f t="shared" si="26"/>
        <v>0</v>
      </c>
      <c r="R81" s="128">
        <f t="shared" si="26"/>
        <v>0</v>
      </c>
      <c r="S81" s="128">
        <f t="shared" si="26"/>
        <v>0</v>
      </c>
      <c r="T81" s="128">
        <f t="shared" si="26"/>
        <v>0</v>
      </c>
      <c r="U81" s="128">
        <f t="shared" si="26"/>
        <v>0</v>
      </c>
      <c r="V81" s="128">
        <f t="shared" si="26"/>
        <v>0</v>
      </c>
      <c r="W81" s="128">
        <f t="shared" si="26"/>
        <v>0</v>
      </c>
      <c r="X81" s="128">
        <f t="shared" si="26"/>
        <v>0</v>
      </c>
      <c r="Y81" s="128">
        <f t="shared" si="26"/>
        <v>0</v>
      </c>
      <c r="Z81" s="128">
        <f t="shared" si="26"/>
        <v>0</v>
      </c>
      <c r="AA81" s="128">
        <f t="shared" si="26"/>
        <v>0</v>
      </c>
      <c r="AB81" s="128">
        <f t="shared" si="26"/>
        <v>0</v>
      </c>
      <c r="AC81" s="128">
        <f t="shared" si="26"/>
        <v>0</v>
      </c>
      <c r="AD81" s="128">
        <f t="shared" si="26"/>
        <v>0</v>
      </c>
      <c r="AE81" s="128">
        <f t="shared" si="26"/>
        <v>0</v>
      </c>
      <c r="AF81" s="128">
        <f t="shared" si="26"/>
        <v>0</v>
      </c>
      <c r="AG81" s="128">
        <f t="shared" si="26"/>
        <v>0</v>
      </c>
      <c r="AH81" s="128">
        <f t="shared" si="26"/>
        <v>0</v>
      </c>
      <c r="AI81" s="128">
        <f t="shared" si="26"/>
        <v>0</v>
      </c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</row>
    <row r="82" spans="1:52" ht="14.4" outlineLevel="3">
      <c r="A82" s="322"/>
      <c r="B82" s="286" t="s">
        <v>842</v>
      </c>
      <c r="C82" s="323" t="s">
        <v>825</v>
      </c>
      <c r="D82" s="323" t="s">
        <v>101</v>
      </c>
      <c r="E82" s="324">
        <f>E52*2.5*1000</f>
        <v>0</v>
      </c>
      <c r="F82" s="324">
        <f t="shared" ref="F82:AI89" si="27">F52*2.5*1000</f>
        <v>0</v>
      </c>
      <c r="G82" s="324">
        <f t="shared" si="27"/>
        <v>0</v>
      </c>
      <c r="H82" s="324">
        <f t="shared" si="27"/>
        <v>0</v>
      </c>
      <c r="I82" s="324">
        <f t="shared" si="27"/>
        <v>0</v>
      </c>
      <c r="J82" s="324">
        <f t="shared" si="27"/>
        <v>0</v>
      </c>
      <c r="K82" s="324">
        <f t="shared" si="27"/>
        <v>0</v>
      </c>
      <c r="L82" s="324">
        <f t="shared" si="27"/>
        <v>0</v>
      </c>
      <c r="M82" s="324">
        <f t="shared" si="27"/>
        <v>0</v>
      </c>
      <c r="N82" s="324">
        <f t="shared" si="27"/>
        <v>0</v>
      </c>
      <c r="O82" s="324">
        <f t="shared" si="27"/>
        <v>0</v>
      </c>
      <c r="P82" s="324">
        <f t="shared" si="27"/>
        <v>0</v>
      </c>
      <c r="Q82" s="324">
        <f t="shared" si="27"/>
        <v>0</v>
      </c>
      <c r="R82" s="324">
        <f t="shared" si="27"/>
        <v>0</v>
      </c>
      <c r="S82" s="324">
        <f t="shared" si="27"/>
        <v>0</v>
      </c>
      <c r="T82" s="324">
        <f t="shared" si="27"/>
        <v>0</v>
      </c>
      <c r="U82" s="324">
        <f t="shared" si="27"/>
        <v>0</v>
      </c>
      <c r="V82" s="324">
        <f t="shared" si="27"/>
        <v>0</v>
      </c>
      <c r="W82" s="324">
        <f t="shared" si="27"/>
        <v>0</v>
      </c>
      <c r="X82" s="324">
        <f t="shared" si="27"/>
        <v>0</v>
      </c>
      <c r="Y82" s="324">
        <f t="shared" si="27"/>
        <v>0</v>
      </c>
      <c r="Z82" s="324">
        <f t="shared" si="27"/>
        <v>0</v>
      </c>
      <c r="AA82" s="324">
        <f t="shared" si="27"/>
        <v>0</v>
      </c>
      <c r="AB82" s="324">
        <f t="shared" si="27"/>
        <v>0</v>
      </c>
      <c r="AC82" s="324">
        <f t="shared" si="27"/>
        <v>0</v>
      </c>
      <c r="AD82" s="324">
        <f t="shared" si="27"/>
        <v>0</v>
      </c>
      <c r="AE82" s="324">
        <f t="shared" si="27"/>
        <v>0</v>
      </c>
      <c r="AF82" s="324">
        <f t="shared" si="27"/>
        <v>0</v>
      </c>
      <c r="AG82" s="324">
        <f t="shared" si="27"/>
        <v>0</v>
      </c>
      <c r="AH82" s="324">
        <f t="shared" si="27"/>
        <v>0</v>
      </c>
      <c r="AI82" s="324">
        <f t="shared" si="27"/>
        <v>0</v>
      </c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</row>
    <row r="83" spans="1:52" ht="14.4" outlineLevel="3">
      <c r="A83" s="322"/>
      <c r="B83" s="286" t="s">
        <v>203</v>
      </c>
      <c r="C83" s="323" t="s">
        <v>827</v>
      </c>
      <c r="D83" s="323" t="s">
        <v>101</v>
      </c>
      <c r="E83" s="324">
        <f t="shared" ref="E83:T89" si="28">E53*2.5*1000</f>
        <v>0</v>
      </c>
      <c r="F83" s="325">
        <f t="shared" si="28"/>
        <v>0</v>
      </c>
      <c r="G83" s="325">
        <f t="shared" si="28"/>
        <v>0</v>
      </c>
      <c r="H83" s="325">
        <f t="shared" si="28"/>
        <v>0</v>
      </c>
      <c r="I83" s="325">
        <f t="shared" si="28"/>
        <v>0</v>
      </c>
      <c r="J83" s="325">
        <f t="shared" si="28"/>
        <v>0</v>
      </c>
      <c r="K83" s="325">
        <f t="shared" si="28"/>
        <v>0</v>
      </c>
      <c r="L83" s="325">
        <f t="shared" si="28"/>
        <v>0</v>
      </c>
      <c r="M83" s="325">
        <f t="shared" si="28"/>
        <v>0</v>
      </c>
      <c r="N83" s="325">
        <f t="shared" si="28"/>
        <v>0</v>
      </c>
      <c r="O83" s="325">
        <f t="shared" si="28"/>
        <v>0</v>
      </c>
      <c r="P83" s="325">
        <f t="shared" si="28"/>
        <v>0</v>
      </c>
      <c r="Q83" s="325">
        <f t="shared" si="28"/>
        <v>0</v>
      </c>
      <c r="R83" s="325">
        <f t="shared" si="28"/>
        <v>0</v>
      </c>
      <c r="S83" s="325">
        <f t="shared" si="28"/>
        <v>0</v>
      </c>
      <c r="T83" s="325">
        <f t="shared" si="28"/>
        <v>0</v>
      </c>
      <c r="U83" s="325">
        <f t="shared" si="27"/>
        <v>0</v>
      </c>
      <c r="V83" s="325">
        <f t="shared" si="27"/>
        <v>0</v>
      </c>
      <c r="W83" s="325">
        <f t="shared" si="27"/>
        <v>0</v>
      </c>
      <c r="X83" s="325">
        <f t="shared" si="27"/>
        <v>0</v>
      </c>
      <c r="Y83" s="325">
        <f t="shared" si="27"/>
        <v>0</v>
      </c>
      <c r="Z83" s="325">
        <f t="shared" si="27"/>
        <v>0</v>
      </c>
      <c r="AA83" s="325">
        <f t="shared" si="27"/>
        <v>0</v>
      </c>
      <c r="AB83" s="325">
        <f t="shared" si="27"/>
        <v>0</v>
      </c>
      <c r="AC83" s="325">
        <f t="shared" si="27"/>
        <v>0</v>
      </c>
      <c r="AD83" s="325">
        <f t="shared" si="27"/>
        <v>0</v>
      </c>
      <c r="AE83" s="325">
        <f t="shared" si="27"/>
        <v>0</v>
      </c>
      <c r="AF83" s="325">
        <f t="shared" si="27"/>
        <v>0</v>
      </c>
      <c r="AG83" s="325">
        <f t="shared" si="27"/>
        <v>0</v>
      </c>
      <c r="AH83" s="325">
        <f t="shared" si="27"/>
        <v>0</v>
      </c>
      <c r="AI83" s="325">
        <f t="shared" si="27"/>
        <v>0</v>
      </c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</row>
    <row r="84" spans="1:52" ht="14.4" outlineLevel="3">
      <c r="A84" s="322"/>
      <c r="B84" s="286" t="s">
        <v>843</v>
      </c>
      <c r="C84" s="323" t="s">
        <v>828</v>
      </c>
      <c r="D84" s="323" t="s">
        <v>101</v>
      </c>
      <c r="E84" s="324">
        <f t="shared" si="28"/>
        <v>0</v>
      </c>
      <c r="F84" s="325">
        <f t="shared" si="27"/>
        <v>0</v>
      </c>
      <c r="G84" s="325">
        <f t="shared" si="27"/>
        <v>0</v>
      </c>
      <c r="H84" s="325">
        <f t="shared" si="27"/>
        <v>0</v>
      </c>
      <c r="I84" s="325">
        <f t="shared" si="27"/>
        <v>0</v>
      </c>
      <c r="J84" s="325">
        <f t="shared" si="27"/>
        <v>0</v>
      </c>
      <c r="K84" s="325">
        <f t="shared" si="27"/>
        <v>0</v>
      </c>
      <c r="L84" s="325">
        <f t="shared" si="27"/>
        <v>0</v>
      </c>
      <c r="M84" s="325">
        <f t="shared" si="27"/>
        <v>0</v>
      </c>
      <c r="N84" s="325">
        <f t="shared" si="27"/>
        <v>0</v>
      </c>
      <c r="O84" s="325">
        <f t="shared" si="27"/>
        <v>0</v>
      </c>
      <c r="P84" s="325">
        <f t="shared" si="27"/>
        <v>0</v>
      </c>
      <c r="Q84" s="325">
        <f t="shared" si="27"/>
        <v>0</v>
      </c>
      <c r="R84" s="325">
        <f t="shared" si="27"/>
        <v>0</v>
      </c>
      <c r="S84" s="325">
        <f t="shared" si="27"/>
        <v>0</v>
      </c>
      <c r="T84" s="325">
        <f t="shared" si="27"/>
        <v>0</v>
      </c>
      <c r="U84" s="325">
        <f t="shared" si="27"/>
        <v>0</v>
      </c>
      <c r="V84" s="325">
        <f t="shared" si="27"/>
        <v>0</v>
      </c>
      <c r="W84" s="325">
        <f t="shared" si="27"/>
        <v>0</v>
      </c>
      <c r="X84" s="325">
        <f t="shared" si="27"/>
        <v>0</v>
      </c>
      <c r="Y84" s="325">
        <f t="shared" si="27"/>
        <v>0</v>
      </c>
      <c r="Z84" s="325">
        <f t="shared" si="27"/>
        <v>0</v>
      </c>
      <c r="AA84" s="325">
        <f t="shared" si="27"/>
        <v>0</v>
      </c>
      <c r="AB84" s="325">
        <f t="shared" si="27"/>
        <v>0</v>
      </c>
      <c r="AC84" s="325">
        <f t="shared" si="27"/>
        <v>0</v>
      </c>
      <c r="AD84" s="325">
        <f t="shared" si="27"/>
        <v>0</v>
      </c>
      <c r="AE84" s="325">
        <f t="shared" si="27"/>
        <v>0</v>
      </c>
      <c r="AF84" s="325">
        <f t="shared" si="27"/>
        <v>0</v>
      </c>
      <c r="AG84" s="325">
        <f t="shared" si="27"/>
        <v>0</v>
      </c>
      <c r="AH84" s="325">
        <f t="shared" si="27"/>
        <v>0</v>
      </c>
      <c r="AI84" s="325">
        <f t="shared" si="27"/>
        <v>0</v>
      </c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</row>
    <row r="85" spans="1:52" ht="14.4" outlineLevel="3">
      <c r="A85" s="322"/>
      <c r="B85" s="286" t="s">
        <v>844</v>
      </c>
      <c r="C85" s="323" t="s">
        <v>829</v>
      </c>
      <c r="D85" s="323" t="s">
        <v>101</v>
      </c>
      <c r="E85" s="324">
        <f t="shared" si="28"/>
        <v>0</v>
      </c>
      <c r="F85" s="325">
        <f t="shared" si="27"/>
        <v>0</v>
      </c>
      <c r="G85" s="325">
        <f t="shared" si="27"/>
        <v>0</v>
      </c>
      <c r="H85" s="325">
        <f t="shared" si="27"/>
        <v>0</v>
      </c>
      <c r="I85" s="325">
        <f t="shared" si="27"/>
        <v>0</v>
      </c>
      <c r="J85" s="325">
        <f t="shared" si="27"/>
        <v>0</v>
      </c>
      <c r="K85" s="325">
        <f t="shared" si="27"/>
        <v>0</v>
      </c>
      <c r="L85" s="325">
        <f t="shared" si="27"/>
        <v>0</v>
      </c>
      <c r="M85" s="325">
        <f t="shared" si="27"/>
        <v>0</v>
      </c>
      <c r="N85" s="325">
        <f t="shared" si="27"/>
        <v>0</v>
      </c>
      <c r="O85" s="325">
        <f t="shared" si="27"/>
        <v>0</v>
      </c>
      <c r="P85" s="325">
        <f t="shared" si="27"/>
        <v>0</v>
      </c>
      <c r="Q85" s="325">
        <f t="shared" si="27"/>
        <v>0</v>
      </c>
      <c r="R85" s="325">
        <f t="shared" si="27"/>
        <v>0</v>
      </c>
      <c r="S85" s="325">
        <f t="shared" si="27"/>
        <v>0</v>
      </c>
      <c r="T85" s="325">
        <f t="shared" si="27"/>
        <v>0</v>
      </c>
      <c r="U85" s="325">
        <f t="shared" si="27"/>
        <v>0</v>
      </c>
      <c r="V85" s="325">
        <f t="shared" si="27"/>
        <v>0</v>
      </c>
      <c r="W85" s="325">
        <f t="shared" si="27"/>
        <v>0</v>
      </c>
      <c r="X85" s="325">
        <f t="shared" si="27"/>
        <v>0</v>
      </c>
      <c r="Y85" s="325">
        <f t="shared" si="27"/>
        <v>0</v>
      </c>
      <c r="Z85" s="325">
        <f t="shared" si="27"/>
        <v>0</v>
      </c>
      <c r="AA85" s="325">
        <f t="shared" si="27"/>
        <v>0</v>
      </c>
      <c r="AB85" s="325">
        <f t="shared" si="27"/>
        <v>0</v>
      </c>
      <c r="AC85" s="325">
        <f t="shared" si="27"/>
        <v>0</v>
      </c>
      <c r="AD85" s="325">
        <f t="shared" si="27"/>
        <v>0</v>
      </c>
      <c r="AE85" s="325">
        <f t="shared" si="27"/>
        <v>0</v>
      </c>
      <c r="AF85" s="325">
        <f t="shared" si="27"/>
        <v>0</v>
      </c>
      <c r="AG85" s="325">
        <f t="shared" si="27"/>
        <v>0</v>
      </c>
      <c r="AH85" s="325">
        <f t="shared" si="27"/>
        <v>0</v>
      </c>
      <c r="AI85" s="325">
        <f t="shared" si="27"/>
        <v>0</v>
      </c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</row>
    <row r="86" spans="1:52" ht="14.4" outlineLevel="3">
      <c r="A86" s="322"/>
      <c r="B86" s="286" t="s">
        <v>845</v>
      </c>
      <c r="C86" s="323" t="s">
        <v>830</v>
      </c>
      <c r="D86" s="323" t="s">
        <v>101</v>
      </c>
      <c r="E86" s="324">
        <f t="shared" si="28"/>
        <v>0</v>
      </c>
      <c r="F86" s="325">
        <f t="shared" si="27"/>
        <v>0</v>
      </c>
      <c r="G86" s="325">
        <f t="shared" si="27"/>
        <v>0</v>
      </c>
      <c r="H86" s="325">
        <f t="shared" si="27"/>
        <v>0</v>
      </c>
      <c r="I86" s="325">
        <f t="shared" si="27"/>
        <v>0</v>
      </c>
      <c r="J86" s="325">
        <f t="shared" si="27"/>
        <v>0</v>
      </c>
      <c r="K86" s="325">
        <f t="shared" si="27"/>
        <v>0</v>
      </c>
      <c r="L86" s="325">
        <f t="shared" si="27"/>
        <v>0</v>
      </c>
      <c r="M86" s="325">
        <f t="shared" si="27"/>
        <v>0</v>
      </c>
      <c r="N86" s="325">
        <f t="shared" si="27"/>
        <v>0</v>
      </c>
      <c r="O86" s="325">
        <f t="shared" si="27"/>
        <v>0</v>
      </c>
      <c r="P86" s="325">
        <f t="shared" si="27"/>
        <v>0</v>
      </c>
      <c r="Q86" s="325">
        <f t="shared" si="27"/>
        <v>0</v>
      </c>
      <c r="R86" s="325">
        <f t="shared" si="27"/>
        <v>0</v>
      </c>
      <c r="S86" s="325">
        <f t="shared" si="27"/>
        <v>0</v>
      </c>
      <c r="T86" s="325">
        <f t="shared" si="27"/>
        <v>0</v>
      </c>
      <c r="U86" s="325">
        <f t="shared" si="27"/>
        <v>0</v>
      </c>
      <c r="V86" s="325">
        <f t="shared" si="27"/>
        <v>0</v>
      </c>
      <c r="W86" s="325">
        <f t="shared" si="27"/>
        <v>0</v>
      </c>
      <c r="X86" s="325">
        <f t="shared" si="27"/>
        <v>0</v>
      </c>
      <c r="Y86" s="325">
        <f t="shared" si="27"/>
        <v>0</v>
      </c>
      <c r="Z86" s="325">
        <f t="shared" si="27"/>
        <v>0</v>
      </c>
      <c r="AA86" s="325">
        <f t="shared" si="27"/>
        <v>0</v>
      </c>
      <c r="AB86" s="325">
        <f t="shared" si="27"/>
        <v>0</v>
      </c>
      <c r="AC86" s="325">
        <f t="shared" si="27"/>
        <v>0</v>
      </c>
      <c r="AD86" s="325">
        <f t="shared" si="27"/>
        <v>0</v>
      </c>
      <c r="AE86" s="325">
        <f t="shared" si="27"/>
        <v>0</v>
      </c>
      <c r="AF86" s="325">
        <f t="shared" si="27"/>
        <v>0</v>
      </c>
      <c r="AG86" s="325">
        <f t="shared" si="27"/>
        <v>0</v>
      </c>
      <c r="AH86" s="325">
        <f t="shared" si="27"/>
        <v>0</v>
      </c>
      <c r="AI86" s="325">
        <f t="shared" si="27"/>
        <v>0</v>
      </c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</row>
    <row r="87" spans="1:52" ht="14.4" outlineLevel="3">
      <c r="A87" s="322" t="s">
        <v>831</v>
      </c>
      <c r="B87" s="326" t="s">
        <v>846</v>
      </c>
      <c r="C87" s="327" t="s">
        <v>832</v>
      </c>
      <c r="D87" s="327" t="s">
        <v>101</v>
      </c>
      <c r="E87" s="325">
        <f t="shared" si="28"/>
        <v>0</v>
      </c>
      <c r="F87" s="324">
        <f t="shared" si="27"/>
        <v>0</v>
      </c>
      <c r="G87" s="325">
        <f t="shared" si="27"/>
        <v>0</v>
      </c>
      <c r="H87" s="325">
        <f t="shared" si="27"/>
        <v>0</v>
      </c>
      <c r="I87" s="325">
        <f t="shared" si="27"/>
        <v>0</v>
      </c>
      <c r="J87" s="325">
        <f t="shared" si="27"/>
        <v>0</v>
      </c>
      <c r="K87" s="328">
        <f t="shared" si="27"/>
        <v>0</v>
      </c>
      <c r="L87" s="328">
        <f t="shared" si="27"/>
        <v>0</v>
      </c>
      <c r="M87" s="328">
        <f t="shared" si="27"/>
        <v>0</v>
      </c>
      <c r="N87" s="328">
        <f t="shared" si="27"/>
        <v>0</v>
      </c>
      <c r="O87" s="328">
        <f t="shared" si="27"/>
        <v>0</v>
      </c>
      <c r="P87" s="328">
        <f t="shared" si="27"/>
        <v>0</v>
      </c>
      <c r="Q87" s="328">
        <f t="shared" si="27"/>
        <v>0</v>
      </c>
      <c r="R87" s="328">
        <f t="shared" si="27"/>
        <v>0</v>
      </c>
      <c r="S87" s="328">
        <f t="shared" si="27"/>
        <v>0</v>
      </c>
      <c r="T87" s="328">
        <f t="shared" si="27"/>
        <v>0</v>
      </c>
      <c r="U87" s="328">
        <f t="shared" si="27"/>
        <v>0</v>
      </c>
      <c r="V87" s="328">
        <f t="shared" si="27"/>
        <v>0</v>
      </c>
      <c r="W87" s="328">
        <f t="shared" si="27"/>
        <v>0</v>
      </c>
      <c r="X87" s="328">
        <f t="shared" si="27"/>
        <v>0</v>
      </c>
      <c r="Y87" s="328">
        <f t="shared" si="27"/>
        <v>0</v>
      </c>
      <c r="Z87" s="328">
        <f t="shared" si="27"/>
        <v>0</v>
      </c>
      <c r="AA87" s="328">
        <f t="shared" si="27"/>
        <v>0</v>
      </c>
      <c r="AB87" s="328">
        <f t="shared" si="27"/>
        <v>0</v>
      </c>
      <c r="AC87" s="328">
        <f t="shared" si="27"/>
        <v>0</v>
      </c>
      <c r="AD87" s="328">
        <f t="shared" si="27"/>
        <v>0</v>
      </c>
      <c r="AE87" s="328">
        <f t="shared" si="27"/>
        <v>0</v>
      </c>
      <c r="AF87" s="328">
        <f t="shared" si="27"/>
        <v>0</v>
      </c>
      <c r="AG87" s="328">
        <f t="shared" si="27"/>
        <v>0</v>
      </c>
      <c r="AH87" s="328">
        <f t="shared" si="27"/>
        <v>0</v>
      </c>
      <c r="AI87" s="328">
        <f t="shared" si="27"/>
        <v>0</v>
      </c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</row>
    <row r="88" spans="1:52" ht="14.4" outlineLevel="3">
      <c r="A88" s="322" t="s">
        <v>831</v>
      </c>
      <c r="B88" s="326" t="s">
        <v>847</v>
      </c>
      <c r="C88" s="327" t="s">
        <v>833</v>
      </c>
      <c r="D88" s="327" t="s">
        <v>101</v>
      </c>
      <c r="E88" s="325">
        <f t="shared" si="28"/>
        <v>0</v>
      </c>
      <c r="F88" s="324">
        <f t="shared" si="27"/>
        <v>0</v>
      </c>
      <c r="G88" s="325">
        <f t="shared" si="27"/>
        <v>0</v>
      </c>
      <c r="H88" s="325">
        <f t="shared" si="27"/>
        <v>0</v>
      </c>
      <c r="I88" s="325">
        <f t="shared" si="27"/>
        <v>0</v>
      </c>
      <c r="J88" s="325">
        <f t="shared" si="27"/>
        <v>0</v>
      </c>
      <c r="K88" s="328">
        <f t="shared" si="27"/>
        <v>0</v>
      </c>
      <c r="L88" s="328">
        <f t="shared" si="27"/>
        <v>0</v>
      </c>
      <c r="M88" s="328">
        <f t="shared" si="27"/>
        <v>0</v>
      </c>
      <c r="N88" s="328">
        <f t="shared" si="27"/>
        <v>0</v>
      </c>
      <c r="O88" s="328">
        <f t="shared" si="27"/>
        <v>0</v>
      </c>
      <c r="P88" s="328">
        <f t="shared" si="27"/>
        <v>0</v>
      </c>
      <c r="Q88" s="328">
        <f t="shared" si="27"/>
        <v>0</v>
      </c>
      <c r="R88" s="328">
        <f t="shared" si="27"/>
        <v>0</v>
      </c>
      <c r="S88" s="328">
        <f t="shared" si="27"/>
        <v>0</v>
      </c>
      <c r="T88" s="328">
        <f t="shared" si="27"/>
        <v>0</v>
      </c>
      <c r="U88" s="328">
        <f t="shared" si="27"/>
        <v>0</v>
      </c>
      <c r="V88" s="328">
        <f t="shared" si="27"/>
        <v>0</v>
      </c>
      <c r="W88" s="328">
        <f t="shared" si="27"/>
        <v>0</v>
      </c>
      <c r="X88" s="328">
        <f t="shared" si="27"/>
        <v>0</v>
      </c>
      <c r="Y88" s="328">
        <f t="shared" si="27"/>
        <v>0</v>
      </c>
      <c r="Z88" s="328">
        <f t="shared" si="27"/>
        <v>0</v>
      </c>
      <c r="AA88" s="328">
        <f t="shared" si="27"/>
        <v>0</v>
      </c>
      <c r="AB88" s="328">
        <f t="shared" si="27"/>
        <v>0</v>
      </c>
      <c r="AC88" s="328">
        <f t="shared" si="27"/>
        <v>0</v>
      </c>
      <c r="AD88" s="328">
        <f t="shared" si="27"/>
        <v>0</v>
      </c>
      <c r="AE88" s="328">
        <f t="shared" si="27"/>
        <v>0</v>
      </c>
      <c r="AF88" s="328">
        <f t="shared" si="27"/>
        <v>0</v>
      </c>
      <c r="AG88" s="328">
        <f t="shared" si="27"/>
        <v>0</v>
      </c>
      <c r="AH88" s="328">
        <f t="shared" si="27"/>
        <v>0</v>
      </c>
      <c r="AI88" s="328">
        <f t="shared" si="27"/>
        <v>0</v>
      </c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</row>
    <row r="89" spans="1:52" ht="14.4" outlineLevel="3">
      <c r="A89" s="322" t="s">
        <v>831</v>
      </c>
      <c r="B89" s="326" t="s">
        <v>848</v>
      </c>
      <c r="C89" s="327" t="s">
        <v>1015</v>
      </c>
      <c r="D89" s="327" t="s">
        <v>101</v>
      </c>
      <c r="E89" s="325">
        <f t="shared" si="28"/>
        <v>0</v>
      </c>
      <c r="F89" s="324">
        <f t="shared" si="27"/>
        <v>0</v>
      </c>
      <c r="G89" s="325">
        <f t="shared" si="27"/>
        <v>0</v>
      </c>
      <c r="H89" s="325">
        <f t="shared" si="27"/>
        <v>0</v>
      </c>
      <c r="I89" s="325">
        <f t="shared" si="27"/>
        <v>0</v>
      </c>
      <c r="J89" s="325">
        <f t="shared" si="27"/>
        <v>0</v>
      </c>
      <c r="K89" s="328">
        <f t="shared" si="27"/>
        <v>0</v>
      </c>
      <c r="L89" s="328">
        <f t="shared" si="27"/>
        <v>0</v>
      </c>
      <c r="M89" s="328">
        <f t="shared" si="27"/>
        <v>0</v>
      </c>
      <c r="N89" s="328">
        <f t="shared" si="27"/>
        <v>0</v>
      </c>
      <c r="O89" s="328">
        <f t="shared" si="27"/>
        <v>0</v>
      </c>
      <c r="P89" s="328">
        <f t="shared" si="27"/>
        <v>0</v>
      </c>
      <c r="Q89" s="328">
        <f t="shared" si="27"/>
        <v>0</v>
      </c>
      <c r="R89" s="328">
        <f t="shared" si="27"/>
        <v>0</v>
      </c>
      <c r="S89" s="328">
        <f t="shared" si="27"/>
        <v>0</v>
      </c>
      <c r="T89" s="328">
        <f t="shared" si="27"/>
        <v>0</v>
      </c>
      <c r="U89" s="328">
        <f t="shared" si="27"/>
        <v>0</v>
      </c>
      <c r="V89" s="328">
        <f t="shared" si="27"/>
        <v>0</v>
      </c>
      <c r="W89" s="328">
        <f t="shared" si="27"/>
        <v>0</v>
      </c>
      <c r="X89" s="328">
        <f t="shared" si="27"/>
        <v>0</v>
      </c>
      <c r="Y89" s="328">
        <f t="shared" si="27"/>
        <v>0</v>
      </c>
      <c r="Z89" s="328">
        <f t="shared" si="27"/>
        <v>0</v>
      </c>
      <c r="AA89" s="328">
        <f t="shared" si="27"/>
        <v>0</v>
      </c>
      <c r="AB89" s="328">
        <f t="shared" si="27"/>
        <v>0</v>
      </c>
      <c r="AC89" s="328">
        <f t="shared" si="27"/>
        <v>0</v>
      </c>
      <c r="AD89" s="328">
        <f t="shared" si="27"/>
        <v>0</v>
      </c>
      <c r="AE89" s="328">
        <f t="shared" si="27"/>
        <v>0</v>
      </c>
      <c r="AF89" s="328">
        <f t="shared" si="27"/>
        <v>0</v>
      </c>
      <c r="AG89" s="328">
        <f t="shared" si="27"/>
        <v>0</v>
      </c>
      <c r="AH89" s="328">
        <f t="shared" si="27"/>
        <v>0</v>
      </c>
      <c r="AI89" s="328">
        <f t="shared" si="27"/>
        <v>0</v>
      </c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</row>
    <row r="90" spans="1:52" ht="14.4">
      <c r="B90" s="401" t="s">
        <v>864</v>
      </c>
      <c r="C90" s="402"/>
      <c r="D90" s="67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131"/>
      <c r="AF90" s="131"/>
      <c r="AG90" s="131"/>
      <c r="AH90" s="131"/>
      <c r="AI90" s="131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</row>
    <row r="91" spans="1:52" ht="14.4" outlineLevel="1">
      <c r="B91" s="403" t="s">
        <v>865</v>
      </c>
      <c r="C91" s="404"/>
      <c r="D91" s="22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7" t="s">
        <v>821</v>
      </c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</row>
    <row r="92" spans="1:52" ht="14.4" outlineLevel="2">
      <c r="B92" s="10">
        <v>1</v>
      </c>
      <c r="C92" s="11" t="s">
        <v>866</v>
      </c>
      <c r="D92" s="11" t="s">
        <v>826</v>
      </c>
      <c r="E92" s="128">
        <f t="shared" ref="E92:AH92" si="29">E93+E94+E95+E96+E97+E98+E99+E100</f>
        <v>0</v>
      </c>
      <c r="F92" s="128">
        <f t="shared" si="29"/>
        <v>0</v>
      </c>
      <c r="G92" s="128">
        <f t="shared" si="29"/>
        <v>0</v>
      </c>
      <c r="H92" s="128">
        <f t="shared" si="29"/>
        <v>0</v>
      </c>
      <c r="I92" s="128">
        <f t="shared" si="29"/>
        <v>0</v>
      </c>
      <c r="J92" s="128">
        <f t="shared" si="29"/>
        <v>0</v>
      </c>
      <c r="K92" s="128">
        <f t="shared" si="29"/>
        <v>0</v>
      </c>
      <c r="L92" s="128">
        <f t="shared" si="29"/>
        <v>0</v>
      </c>
      <c r="M92" s="128">
        <f t="shared" si="29"/>
        <v>14.620000000000001</v>
      </c>
      <c r="N92" s="128">
        <f t="shared" si="29"/>
        <v>0</v>
      </c>
      <c r="O92" s="128">
        <f t="shared" si="29"/>
        <v>0</v>
      </c>
      <c r="P92" s="128">
        <f t="shared" si="29"/>
        <v>5.51</v>
      </c>
      <c r="Q92" s="128">
        <f t="shared" si="29"/>
        <v>0</v>
      </c>
      <c r="R92" s="128">
        <f t="shared" si="29"/>
        <v>7.15</v>
      </c>
      <c r="S92" s="128">
        <f t="shared" si="29"/>
        <v>0</v>
      </c>
      <c r="T92" s="128">
        <f t="shared" si="29"/>
        <v>0</v>
      </c>
      <c r="U92" s="128">
        <f t="shared" si="29"/>
        <v>0</v>
      </c>
      <c r="V92" s="128">
        <f t="shared" si="29"/>
        <v>0</v>
      </c>
      <c r="W92" s="128">
        <f t="shared" si="29"/>
        <v>0</v>
      </c>
      <c r="X92" s="128">
        <f t="shared" si="29"/>
        <v>39.72</v>
      </c>
      <c r="Y92" s="128">
        <f t="shared" si="29"/>
        <v>0</v>
      </c>
      <c r="Z92" s="128">
        <f t="shared" si="29"/>
        <v>0</v>
      </c>
      <c r="AA92" s="128">
        <f t="shared" si="29"/>
        <v>0</v>
      </c>
      <c r="AB92" s="128">
        <f t="shared" si="29"/>
        <v>36.78</v>
      </c>
      <c r="AC92" s="128">
        <f t="shared" si="29"/>
        <v>0</v>
      </c>
      <c r="AD92" s="128">
        <f t="shared" si="29"/>
        <v>0</v>
      </c>
      <c r="AE92" s="128">
        <f t="shared" si="29"/>
        <v>0</v>
      </c>
      <c r="AF92" s="128">
        <f t="shared" si="29"/>
        <v>0</v>
      </c>
      <c r="AG92" s="128">
        <f t="shared" si="29"/>
        <v>0</v>
      </c>
      <c r="AH92" s="128">
        <f t="shared" si="29"/>
        <v>0</v>
      </c>
      <c r="AI92" s="128">
        <f>AI93+AI94+AI95+AI96+AI97+AI98+AI99+AI100</f>
        <v>103.78</v>
      </c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</row>
    <row r="93" spans="1:52" ht="14.4" outlineLevel="3">
      <c r="A93" s="322"/>
      <c r="B93" s="286" t="s">
        <v>824</v>
      </c>
      <c r="C93" s="323" t="s">
        <v>825</v>
      </c>
      <c r="D93" s="323" t="s">
        <v>826</v>
      </c>
      <c r="E93" s="324"/>
      <c r="F93" s="324"/>
      <c r="G93" s="324"/>
      <c r="H93" s="324"/>
      <c r="I93" s="324"/>
      <c r="J93" s="324"/>
      <c r="K93" s="324"/>
      <c r="L93" s="324"/>
      <c r="M93" s="324">
        <f>(1470)/1000</f>
        <v>1.47</v>
      </c>
      <c r="N93" s="324"/>
      <c r="O93" s="324"/>
      <c r="P93" s="324"/>
      <c r="Q93" s="324"/>
      <c r="R93" s="324">
        <f>(2080+560+970+1340+420+510+1270)/1000</f>
        <v>7.15</v>
      </c>
      <c r="S93" s="324"/>
      <c r="T93" s="324"/>
      <c r="U93" s="324"/>
      <c r="V93" s="324"/>
      <c r="W93" s="324"/>
      <c r="X93" s="324"/>
      <c r="Y93" s="324"/>
      <c r="Z93" s="324"/>
      <c r="AA93" s="324"/>
      <c r="AB93" s="324"/>
      <c r="AC93" s="324"/>
      <c r="AD93" s="324"/>
      <c r="AE93" s="324"/>
      <c r="AF93" s="324"/>
      <c r="AG93" s="324"/>
      <c r="AH93" s="324"/>
      <c r="AI93" s="324">
        <f t="shared" ref="AI93:AI100" si="30">SUM(E93:AH93)</f>
        <v>8.620000000000001</v>
      </c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</row>
    <row r="94" spans="1:52" ht="14.4" outlineLevel="3">
      <c r="A94" s="322"/>
      <c r="B94" s="286" t="s">
        <v>74</v>
      </c>
      <c r="C94" s="323" t="s">
        <v>827</v>
      </c>
      <c r="D94" s="323" t="s">
        <v>826</v>
      </c>
      <c r="E94" s="324"/>
      <c r="F94" s="324"/>
      <c r="G94" s="324"/>
      <c r="H94" s="324"/>
      <c r="I94" s="324"/>
      <c r="J94" s="324"/>
      <c r="K94" s="324"/>
      <c r="L94" s="324"/>
      <c r="M94" s="324">
        <f>(1660+1450+1290+1360+1340+2040)/1000</f>
        <v>9.14</v>
      </c>
      <c r="N94" s="324"/>
      <c r="O94" s="324"/>
      <c r="P94" s="324"/>
      <c r="Q94" s="324"/>
      <c r="R94" s="324"/>
      <c r="S94" s="324"/>
      <c r="T94" s="324"/>
      <c r="U94" s="324"/>
      <c r="V94" s="324"/>
      <c r="W94" s="324"/>
      <c r="X94" s="324">
        <f>(450+730+770+1250+2400+760+1010+780+1070+1130+410+1970+2050+650+710+930+540+710+2600+2240+1040+520+1480+440+780+780+760+730+790+690+660+3200+530+820+1400+1940)/1000</f>
        <v>39.72</v>
      </c>
      <c r="Y94" s="324"/>
      <c r="Z94" s="324"/>
      <c r="AA94" s="324"/>
      <c r="AB94" s="324"/>
      <c r="AC94" s="324"/>
      <c r="AD94" s="324"/>
      <c r="AE94" s="324"/>
      <c r="AF94" s="324"/>
      <c r="AG94" s="324"/>
      <c r="AH94" s="324"/>
      <c r="AI94" s="324">
        <f t="shared" si="30"/>
        <v>48.86</v>
      </c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</row>
    <row r="95" spans="1:52" ht="14.4" outlineLevel="3">
      <c r="A95" s="322"/>
      <c r="B95" s="286" t="s">
        <v>76</v>
      </c>
      <c r="C95" s="323" t="s">
        <v>828</v>
      </c>
      <c r="D95" s="323" t="s">
        <v>826</v>
      </c>
      <c r="E95" s="324"/>
      <c r="F95" s="324"/>
      <c r="G95" s="324"/>
      <c r="H95" s="324"/>
      <c r="I95" s="324"/>
      <c r="J95" s="324"/>
      <c r="K95" s="324"/>
      <c r="L95" s="324"/>
      <c r="M95" s="324"/>
      <c r="N95" s="324"/>
      <c r="O95" s="324"/>
      <c r="P95" s="324"/>
      <c r="Q95" s="324"/>
      <c r="R95" s="324"/>
      <c r="S95" s="324"/>
      <c r="T95" s="324"/>
      <c r="U95" s="324"/>
      <c r="V95" s="324"/>
      <c r="W95" s="324"/>
      <c r="X95" s="324"/>
      <c r="Y95" s="324"/>
      <c r="Z95" s="324"/>
      <c r="AA95" s="324"/>
      <c r="AB95" s="324">
        <f>(3360+2800+1320+790+3190)/1000</f>
        <v>11.46</v>
      </c>
      <c r="AC95" s="324"/>
      <c r="AD95" s="324"/>
      <c r="AE95" s="324"/>
      <c r="AF95" s="324"/>
      <c r="AG95" s="324"/>
      <c r="AH95" s="324"/>
      <c r="AI95" s="324">
        <f t="shared" si="30"/>
        <v>11.46</v>
      </c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</row>
    <row r="96" spans="1:52" ht="14.4" outlineLevel="3">
      <c r="A96" s="322"/>
      <c r="B96" s="286" t="s">
        <v>77</v>
      </c>
      <c r="C96" s="323" t="s">
        <v>829</v>
      </c>
      <c r="D96" s="323" t="s">
        <v>826</v>
      </c>
      <c r="E96" s="324"/>
      <c r="F96" s="324"/>
      <c r="G96" s="324"/>
      <c r="H96" s="324"/>
      <c r="I96" s="324"/>
      <c r="J96" s="324"/>
      <c r="K96" s="324"/>
      <c r="L96" s="324"/>
      <c r="M96" s="324">
        <f>(1810)/1000</f>
        <v>1.81</v>
      </c>
      <c r="N96" s="324"/>
      <c r="O96" s="324"/>
      <c r="P96" s="324"/>
      <c r="Q96" s="324"/>
      <c r="R96" s="324"/>
      <c r="S96" s="324"/>
      <c r="T96" s="324"/>
      <c r="U96" s="324"/>
      <c r="V96" s="324"/>
      <c r="W96" s="324"/>
      <c r="X96" s="324"/>
      <c r="Y96" s="324"/>
      <c r="Z96" s="324"/>
      <c r="AA96" s="324"/>
      <c r="AB96" s="324">
        <f>(490+1960+720+400+450+800+550+560+1350+610+520+1800+900+850+1900+1180)/1000</f>
        <v>15.04</v>
      </c>
      <c r="AC96" s="324"/>
      <c r="AD96" s="324"/>
      <c r="AE96" s="324"/>
      <c r="AF96" s="324"/>
      <c r="AG96" s="324"/>
      <c r="AH96" s="324"/>
      <c r="AI96" s="324">
        <f t="shared" si="30"/>
        <v>16.849999999999998</v>
      </c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</row>
    <row r="97" spans="1:52" ht="14.4" outlineLevel="3">
      <c r="A97" s="322"/>
      <c r="B97" s="286" t="s">
        <v>78</v>
      </c>
      <c r="C97" s="323" t="s">
        <v>830</v>
      </c>
      <c r="D97" s="323" t="s">
        <v>826</v>
      </c>
      <c r="E97" s="324"/>
      <c r="F97" s="324"/>
      <c r="G97" s="324"/>
      <c r="H97" s="324"/>
      <c r="I97" s="324"/>
      <c r="J97" s="324"/>
      <c r="K97" s="324"/>
      <c r="L97" s="324"/>
      <c r="M97" s="324">
        <f>(2200)/1000</f>
        <v>2.2000000000000002</v>
      </c>
      <c r="N97" s="324"/>
      <c r="O97" s="324"/>
      <c r="P97" s="324"/>
      <c r="Q97" s="324"/>
      <c r="R97" s="324"/>
      <c r="S97" s="324"/>
      <c r="T97" s="324"/>
      <c r="U97" s="324"/>
      <c r="V97" s="324"/>
      <c r="W97" s="324"/>
      <c r="X97" s="324"/>
      <c r="Y97" s="324"/>
      <c r="Z97" s="324"/>
      <c r="AA97" s="324"/>
      <c r="AB97" s="324">
        <f>(700+790+1770+3290+3320+410)/1000</f>
        <v>10.28</v>
      </c>
      <c r="AC97" s="324"/>
      <c r="AD97" s="324"/>
      <c r="AE97" s="324"/>
      <c r="AF97" s="324"/>
      <c r="AG97" s="324"/>
      <c r="AH97" s="324"/>
      <c r="AI97" s="324">
        <f t="shared" si="30"/>
        <v>12.48</v>
      </c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</row>
    <row r="98" spans="1:52" ht="14.4" outlineLevel="3">
      <c r="A98" s="322" t="s">
        <v>831</v>
      </c>
      <c r="B98" s="326" t="s">
        <v>79</v>
      </c>
      <c r="C98" s="327" t="s">
        <v>832</v>
      </c>
      <c r="D98" s="327" t="s">
        <v>826</v>
      </c>
      <c r="E98" s="324"/>
      <c r="F98" s="324"/>
      <c r="G98" s="324"/>
      <c r="H98" s="324"/>
      <c r="I98" s="324"/>
      <c r="J98" s="324"/>
      <c r="K98" s="328"/>
      <c r="L98" s="328"/>
      <c r="M98" s="328"/>
      <c r="N98" s="328"/>
      <c r="O98" s="328"/>
      <c r="P98" s="328">
        <f>(2180+1370+420+660+400+480)/1000</f>
        <v>5.51</v>
      </c>
      <c r="Q98" s="328"/>
      <c r="R98" s="328"/>
      <c r="S98" s="328"/>
      <c r="T98" s="328"/>
      <c r="U98" s="328"/>
      <c r="V98" s="328"/>
      <c r="W98" s="328"/>
      <c r="X98" s="328"/>
      <c r="Y98" s="328"/>
      <c r="Z98" s="328"/>
      <c r="AA98" s="328"/>
      <c r="AB98" s="328"/>
      <c r="AC98" s="328"/>
      <c r="AD98" s="328"/>
      <c r="AE98" s="328"/>
      <c r="AF98" s="328"/>
      <c r="AG98" s="328"/>
      <c r="AH98" s="328"/>
      <c r="AI98" s="328">
        <f t="shared" si="30"/>
        <v>5.51</v>
      </c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</row>
    <row r="99" spans="1:52" ht="14.4" outlineLevel="3">
      <c r="A99" s="322" t="s">
        <v>831</v>
      </c>
      <c r="B99" s="326" t="s">
        <v>80</v>
      </c>
      <c r="C99" s="327" t="s">
        <v>833</v>
      </c>
      <c r="D99" s="327" t="s">
        <v>826</v>
      </c>
      <c r="E99" s="324"/>
      <c r="F99" s="324"/>
      <c r="G99" s="324"/>
      <c r="H99" s="324"/>
      <c r="I99" s="324"/>
      <c r="J99" s="324"/>
      <c r="K99" s="328"/>
      <c r="L99" s="328"/>
      <c r="M99" s="328"/>
      <c r="N99" s="328"/>
      <c r="O99" s="328"/>
      <c r="P99" s="328"/>
      <c r="Q99" s="328"/>
      <c r="R99" s="328"/>
      <c r="S99" s="328"/>
      <c r="T99" s="328"/>
      <c r="U99" s="328"/>
      <c r="V99" s="328"/>
      <c r="W99" s="328"/>
      <c r="X99" s="328"/>
      <c r="Y99" s="328"/>
      <c r="Z99" s="328"/>
      <c r="AA99" s="328"/>
      <c r="AB99" s="328"/>
      <c r="AC99" s="328"/>
      <c r="AD99" s="328"/>
      <c r="AE99" s="328"/>
      <c r="AF99" s="328"/>
      <c r="AG99" s="328"/>
      <c r="AH99" s="328"/>
      <c r="AI99" s="328">
        <f t="shared" si="30"/>
        <v>0</v>
      </c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</row>
    <row r="100" spans="1:52" ht="14.4" outlineLevel="3">
      <c r="A100" s="322" t="s">
        <v>831</v>
      </c>
      <c r="B100" s="326" t="s">
        <v>81</v>
      </c>
      <c r="C100" s="327" t="s">
        <v>1015</v>
      </c>
      <c r="D100" s="327" t="s">
        <v>826</v>
      </c>
      <c r="E100" s="324"/>
      <c r="F100" s="324"/>
      <c r="G100" s="324"/>
      <c r="H100" s="324"/>
      <c r="I100" s="324"/>
      <c r="J100" s="324"/>
      <c r="K100" s="328"/>
      <c r="L100" s="328"/>
      <c r="M100" s="328"/>
      <c r="N100" s="328"/>
      <c r="O100" s="328"/>
      <c r="P100" s="328"/>
      <c r="Q100" s="328"/>
      <c r="R100" s="328"/>
      <c r="S100" s="328"/>
      <c r="T100" s="328"/>
      <c r="U100" s="328"/>
      <c r="V100" s="328"/>
      <c r="W100" s="328"/>
      <c r="X100" s="328"/>
      <c r="Y100" s="328"/>
      <c r="Z100" s="328"/>
      <c r="AA100" s="328"/>
      <c r="AB100" s="328"/>
      <c r="AC100" s="328"/>
      <c r="AD100" s="328"/>
      <c r="AE100" s="328"/>
      <c r="AF100" s="328"/>
      <c r="AG100" s="328"/>
      <c r="AH100" s="328"/>
      <c r="AI100" s="328">
        <f t="shared" si="30"/>
        <v>0</v>
      </c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</row>
    <row r="101" spans="1:52" ht="14.4" outlineLevel="2">
      <c r="B101" s="10">
        <v>2</v>
      </c>
      <c r="C101" s="11" t="s">
        <v>867</v>
      </c>
      <c r="D101" s="11" t="s">
        <v>826</v>
      </c>
      <c r="E101" s="128">
        <f t="shared" ref="E101:AI101" si="31">SUM(E102:E109)</f>
        <v>0</v>
      </c>
      <c r="F101" s="128">
        <f t="shared" si="31"/>
        <v>46.717142857142868</v>
      </c>
      <c r="G101" s="128">
        <f t="shared" si="31"/>
        <v>46.717142857142868</v>
      </c>
      <c r="H101" s="128">
        <f t="shared" si="31"/>
        <v>46.717142857142868</v>
      </c>
      <c r="I101" s="128">
        <f t="shared" si="31"/>
        <v>46.717142857142868</v>
      </c>
      <c r="J101" s="128">
        <f t="shared" si="31"/>
        <v>46.717142857142868</v>
      </c>
      <c r="K101" s="128">
        <f t="shared" si="31"/>
        <v>46.717142857142868</v>
      </c>
      <c r="L101" s="128">
        <f t="shared" si="31"/>
        <v>46.717142857142868</v>
      </c>
      <c r="M101" s="128">
        <f t="shared" si="31"/>
        <v>0</v>
      </c>
      <c r="N101" s="128">
        <f t="shared" si="31"/>
        <v>0</v>
      </c>
      <c r="O101" s="128">
        <f t="shared" si="31"/>
        <v>0</v>
      </c>
      <c r="P101" s="128">
        <f t="shared" si="31"/>
        <v>0</v>
      </c>
      <c r="Q101" s="128">
        <f t="shared" si="31"/>
        <v>0</v>
      </c>
      <c r="R101" s="128">
        <f t="shared" si="31"/>
        <v>0</v>
      </c>
      <c r="S101" s="128">
        <f t="shared" si="31"/>
        <v>0</v>
      </c>
      <c r="T101" s="128">
        <f t="shared" si="31"/>
        <v>0</v>
      </c>
      <c r="U101" s="128">
        <f t="shared" si="31"/>
        <v>0</v>
      </c>
      <c r="V101" s="128">
        <f t="shared" si="31"/>
        <v>0</v>
      </c>
      <c r="W101" s="128">
        <f t="shared" si="31"/>
        <v>0</v>
      </c>
      <c r="X101" s="128">
        <f t="shared" si="31"/>
        <v>0</v>
      </c>
      <c r="Y101" s="128">
        <f t="shared" si="31"/>
        <v>0</v>
      </c>
      <c r="Z101" s="128">
        <f t="shared" si="31"/>
        <v>0</v>
      </c>
      <c r="AA101" s="128">
        <f t="shared" si="31"/>
        <v>0</v>
      </c>
      <c r="AB101" s="128">
        <f t="shared" si="31"/>
        <v>0</v>
      </c>
      <c r="AC101" s="128">
        <f t="shared" si="31"/>
        <v>0</v>
      </c>
      <c r="AD101" s="128">
        <f t="shared" si="31"/>
        <v>0</v>
      </c>
      <c r="AE101" s="128">
        <f t="shared" si="31"/>
        <v>0</v>
      </c>
      <c r="AF101" s="128">
        <f t="shared" si="31"/>
        <v>0</v>
      </c>
      <c r="AG101" s="128">
        <f t="shared" si="31"/>
        <v>0</v>
      </c>
      <c r="AH101" s="128">
        <f t="shared" si="31"/>
        <v>0</v>
      </c>
      <c r="AI101" s="128">
        <f t="shared" si="31"/>
        <v>327.02000000000004</v>
      </c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</row>
    <row r="102" spans="1:52" ht="14.4" outlineLevel="3">
      <c r="A102" s="322"/>
      <c r="B102" s="286" t="s">
        <v>835</v>
      </c>
      <c r="C102" s="323" t="s">
        <v>825</v>
      </c>
      <c r="D102" s="323" t="s">
        <v>826</v>
      </c>
      <c r="E102" s="324"/>
      <c r="F102" s="324">
        <f>(16.5-0)*2/7-($AI$93/7)-F42/7</f>
        <v>3.3542857142857145</v>
      </c>
      <c r="G102" s="324">
        <f>F102</f>
        <v>3.3542857142857145</v>
      </c>
      <c r="H102" s="324">
        <f t="shared" ref="H102:L109" si="32">G102</f>
        <v>3.3542857142857145</v>
      </c>
      <c r="I102" s="324">
        <f t="shared" si="32"/>
        <v>3.3542857142857145</v>
      </c>
      <c r="J102" s="324">
        <f t="shared" si="32"/>
        <v>3.3542857142857145</v>
      </c>
      <c r="K102" s="324">
        <f t="shared" si="32"/>
        <v>3.3542857142857145</v>
      </c>
      <c r="L102" s="324">
        <f t="shared" si="32"/>
        <v>3.3542857142857145</v>
      </c>
      <c r="M102" s="324"/>
      <c r="N102" s="324"/>
      <c r="O102" s="324"/>
      <c r="P102" s="324"/>
      <c r="Q102" s="324"/>
      <c r="R102" s="324"/>
      <c r="S102" s="324"/>
      <c r="T102" s="324"/>
      <c r="U102" s="324"/>
      <c r="V102" s="324"/>
      <c r="W102" s="324"/>
      <c r="X102" s="324"/>
      <c r="Y102" s="324"/>
      <c r="Z102" s="324"/>
      <c r="AA102" s="324"/>
      <c r="AB102" s="324"/>
      <c r="AC102" s="324"/>
      <c r="AD102" s="324"/>
      <c r="AE102" s="324"/>
      <c r="AF102" s="324"/>
      <c r="AG102" s="324"/>
      <c r="AH102" s="324"/>
      <c r="AI102" s="324">
        <f t="shared" ref="AI102:AI109" si="33">SUM(E102:AH102)</f>
        <v>23.480000000000004</v>
      </c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</row>
    <row r="103" spans="1:52" ht="14.4" outlineLevel="3">
      <c r="A103" s="322"/>
      <c r="B103" s="286" t="s">
        <v>199</v>
      </c>
      <c r="C103" s="323" t="s">
        <v>827</v>
      </c>
      <c r="D103" s="323" t="s">
        <v>826</v>
      </c>
      <c r="E103" s="324"/>
      <c r="F103" s="324">
        <f>(119.7-16.5)*2/7-($AI$94/7)-F43/7</f>
        <v>21.177142857142854</v>
      </c>
      <c r="G103" s="324">
        <f t="shared" ref="G103:K109" si="34">F103</f>
        <v>21.177142857142854</v>
      </c>
      <c r="H103" s="324">
        <f t="shared" si="34"/>
        <v>21.177142857142854</v>
      </c>
      <c r="I103" s="324">
        <f t="shared" si="34"/>
        <v>21.177142857142854</v>
      </c>
      <c r="J103" s="324">
        <f t="shared" si="34"/>
        <v>21.177142857142854</v>
      </c>
      <c r="K103" s="324">
        <f t="shared" si="34"/>
        <v>21.177142857142854</v>
      </c>
      <c r="L103" s="324">
        <f t="shared" si="32"/>
        <v>21.177142857142854</v>
      </c>
      <c r="M103" s="324"/>
      <c r="N103" s="324"/>
      <c r="O103" s="324"/>
      <c r="P103" s="324"/>
      <c r="Q103" s="324"/>
      <c r="R103" s="324"/>
      <c r="S103" s="324"/>
      <c r="T103" s="324"/>
      <c r="U103" s="324"/>
      <c r="V103" s="324"/>
      <c r="W103" s="324"/>
      <c r="X103" s="324"/>
      <c r="Y103" s="324"/>
      <c r="Z103" s="324"/>
      <c r="AA103" s="324"/>
      <c r="AB103" s="324"/>
      <c r="AC103" s="324"/>
      <c r="AD103" s="324"/>
      <c r="AE103" s="324"/>
      <c r="AF103" s="324"/>
      <c r="AG103" s="324"/>
      <c r="AH103" s="324"/>
      <c r="AI103" s="325">
        <f t="shared" si="33"/>
        <v>148.23999999999998</v>
      </c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</row>
    <row r="104" spans="1:52" ht="14.4" outlineLevel="3">
      <c r="A104" s="322"/>
      <c r="B104" s="286" t="s">
        <v>200</v>
      </c>
      <c r="C104" s="323" t="s">
        <v>828</v>
      </c>
      <c r="D104" s="323" t="s">
        <v>826</v>
      </c>
      <c r="E104" s="324"/>
      <c r="F104" s="324">
        <f>(139-119.7)*2/7-($AI$95/7)-F44/7</f>
        <v>3.4628571428571533</v>
      </c>
      <c r="G104" s="324">
        <f t="shared" si="34"/>
        <v>3.4628571428571533</v>
      </c>
      <c r="H104" s="324">
        <f t="shared" si="34"/>
        <v>3.4628571428571533</v>
      </c>
      <c r="I104" s="324">
        <f t="shared" si="34"/>
        <v>3.4628571428571533</v>
      </c>
      <c r="J104" s="324">
        <f t="shared" si="34"/>
        <v>3.4628571428571533</v>
      </c>
      <c r="K104" s="324">
        <f t="shared" si="34"/>
        <v>3.4628571428571533</v>
      </c>
      <c r="L104" s="324">
        <f t="shared" si="32"/>
        <v>3.4628571428571533</v>
      </c>
      <c r="M104" s="324"/>
      <c r="N104" s="324"/>
      <c r="O104" s="324"/>
      <c r="P104" s="324"/>
      <c r="Q104" s="324"/>
      <c r="R104" s="324"/>
      <c r="S104" s="324"/>
      <c r="T104" s="324"/>
      <c r="U104" s="324"/>
      <c r="V104" s="324"/>
      <c r="W104" s="324"/>
      <c r="X104" s="324"/>
      <c r="Y104" s="324"/>
      <c r="Z104" s="324"/>
      <c r="AA104" s="324"/>
      <c r="AB104" s="324"/>
      <c r="AC104" s="324"/>
      <c r="AD104" s="324"/>
      <c r="AE104" s="324"/>
      <c r="AF104" s="324"/>
      <c r="AG104" s="324"/>
      <c r="AH104" s="324"/>
      <c r="AI104" s="325">
        <f t="shared" si="33"/>
        <v>24.240000000000073</v>
      </c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</row>
    <row r="105" spans="1:52" ht="14.4" outlineLevel="3">
      <c r="A105" s="322"/>
      <c r="B105" s="286" t="s">
        <v>201</v>
      </c>
      <c r="C105" s="323" t="s">
        <v>829</v>
      </c>
      <c r="D105" s="323" t="s">
        <v>826</v>
      </c>
      <c r="E105" s="324"/>
      <c r="F105" s="324">
        <f>(186.5-139)*2/7-($AI$96/7)-F45/7</f>
        <v>11.035714285714285</v>
      </c>
      <c r="G105" s="324">
        <f t="shared" si="34"/>
        <v>11.035714285714285</v>
      </c>
      <c r="H105" s="324">
        <f t="shared" si="34"/>
        <v>11.035714285714285</v>
      </c>
      <c r="I105" s="324">
        <f t="shared" si="34"/>
        <v>11.035714285714285</v>
      </c>
      <c r="J105" s="324">
        <f t="shared" si="34"/>
        <v>11.035714285714285</v>
      </c>
      <c r="K105" s="324">
        <f t="shared" si="34"/>
        <v>11.035714285714285</v>
      </c>
      <c r="L105" s="324">
        <f t="shared" si="32"/>
        <v>11.035714285714285</v>
      </c>
      <c r="M105" s="324"/>
      <c r="N105" s="324"/>
      <c r="O105" s="324"/>
      <c r="P105" s="324"/>
      <c r="Q105" s="324"/>
      <c r="R105" s="324"/>
      <c r="S105" s="324"/>
      <c r="T105" s="324"/>
      <c r="U105" s="324"/>
      <c r="V105" s="324"/>
      <c r="W105" s="324"/>
      <c r="X105" s="324"/>
      <c r="Y105" s="324"/>
      <c r="Z105" s="324"/>
      <c r="AA105" s="324"/>
      <c r="AB105" s="324"/>
      <c r="AC105" s="324"/>
      <c r="AD105" s="324"/>
      <c r="AE105" s="324"/>
      <c r="AF105" s="324"/>
      <c r="AG105" s="324"/>
      <c r="AH105" s="324"/>
      <c r="AI105" s="325">
        <f t="shared" si="33"/>
        <v>77.25</v>
      </c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</row>
    <row r="106" spans="1:52" ht="14.4" outlineLevel="3">
      <c r="A106" s="322"/>
      <c r="B106" s="286" t="s">
        <v>836</v>
      </c>
      <c r="C106" s="323" t="s">
        <v>830</v>
      </c>
      <c r="D106" s="323" t="s">
        <v>826</v>
      </c>
      <c r="E106" s="324"/>
      <c r="F106" s="324">
        <f>(209.9-186.5)*2/7-($AI$97/7)-F46/7</f>
        <v>4.8742857142857181</v>
      </c>
      <c r="G106" s="324">
        <f t="shared" si="34"/>
        <v>4.8742857142857181</v>
      </c>
      <c r="H106" s="324">
        <f t="shared" si="34"/>
        <v>4.8742857142857181</v>
      </c>
      <c r="I106" s="324">
        <f t="shared" si="34"/>
        <v>4.8742857142857181</v>
      </c>
      <c r="J106" s="324">
        <f t="shared" si="34"/>
        <v>4.8742857142857181</v>
      </c>
      <c r="K106" s="324">
        <f t="shared" si="34"/>
        <v>4.8742857142857181</v>
      </c>
      <c r="L106" s="324">
        <f t="shared" si="32"/>
        <v>4.8742857142857181</v>
      </c>
      <c r="M106" s="324"/>
      <c r="N106" s="324"/>
      <c r="O106" s="324"/>
      <c r="P106" s="324"/>
      <c r="Q106" s="324"/>
      <c r="R106" s="324"/>
      <c r="S106" s="324"/>
      <c r="T106" s="324"/>
      <c r="U106" s="324"/>
      <c r="V106" s="324"/>
      <c r="W106" s="324"/>
      <c r="X106" s="324"/>
      <c r="Y106" s="324"/>
      <c r="Z106" s="324"/>
      <c r="AA106" s="324"/>
      <c r="AB106" s="324"/>
      <c r="AC106" s="324"/>
      <c r="AD106" s="324"/>
      <c r="AE106" s="324"/>
      <c r="AF106" s="324"/>
      <c r="AG106" s="324"/>
      <c r="AH106" s="324"/>
      <c r="AI106" s="325">
        <f t="shared" si="33"/>
        <v>34.120000000000026</v>
      </c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</row>
    <row r="107" spans="1:52" ht="14.4" outlineLevel="3">
      <c r="A107" s="322" t="s">
        <v>831</v>
      </c>
      <c r="B107" s="326" t="s">
        <v>837</v>
      </c>
      <c r="C107" s="327" t="s">
        <v>832</v>
      </c>
      <c r="D107" s="327" t="s">
        <v>826</v>
      </c>
      <c r="E107" s="324"/>
      <c r="F107" s="324">
        <f>(222.6-209.9)*2/7-($AI$98/7)-F47/7</f>
        <v>2.8128571428571409</v>
      </c>
      <c r="G107" s="324">
        <f t="shared" si="34"/>
        <v>2.8128571428571409</v>
      </c>
      <c r="H107" s="324">
        <f t="shared" si="34"/>
        <v>2.8128571428571409</v>
      </c>
      <c r="I107" s="324">
        <f t="shared" si="34"/>
        <v>2.8128571428571409</v>
      </c>
      <c r="J107" s="324">
        <f t="shared" si="34"/>
        <v>2.8128571428571409</v>
      </c>
      <c r="K107" s="328">
        <f t="shared" si="34"/>
        <v>2.8128571428571409</v>
      </c>
      <c r="L107" s="328">
        <f t="shared" si="32"/>
        <v>2.8128571428571409</v>
      </c>
      <c r="M107" s="328"/>
      <c r="N107" s="328"/>
      <c r="O107" s="328"/>
      <c r="P107" s="328"/>
      <c r="Q107" s="328"/>
      <c r="R107" s="328"/>
      <c r="S107" s="328"/>
      <c r="T107" s="328"/>
      <c r="U107" s="328"/>
      <c r="V107" s="328"/>
      <c r="W107" s="328"/>
      <c r="X107" s="328"/>
      <c r="Y107" s="328"/>
      <c r="Z107" s="328"/>
      <c r="AA107" s="328"/>
      <c r="AB107" s="328"/>
      <c r="AC107" s="328"/>
      <c r="AD107" s="328"/>
      <c r="AE107" s="328"/>
      <c r="AF107" s="328"/>
      <c r="AG107" s="328"/>
      <c r="AH107" s="328"/>
      <c r="AI107" s="328">
        <f t="shared" si="33"/>
        <v>19.689999999999987</v>
      </c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</row>
    <row r="108" spans="1:52" ht="14.4" outlineLevel="3">
      <c r="A108" s="322" t="s">
        <v>831</v>
      </c>
      <c r="B108" s="326" t="s">
        <v>838</v>
      </c>
      <c r="C108" s="327" t="s">
        <v>833</v>
      </c>
      <c r="D108" s="327" t="s">
        <v>826</v>
      </c>
      <c r="E108" s="324"/>
      <c r="F108" s="324">
        <f>((224.5-224.4)*2/7-($AI$99/7)-F48/7)*0</f>
        <v>0</v>
      </c>
      <c r="G108" s="324">
        <f t="shared" si="34"/>
        <v>0</v>
      </c>
      <c r="H108" s="324">
        <f t="shared" si="34"/>
        <v>0</v>
      </c>
      <c r="I108" s="324">
        <f t="shared" si="34"/>
        <v>0</v>
      </c>
      <c r="J108" s="324">
        <f t="shared" si="34"/>
        <v>0</v>
      </c>
      <c r="K108" s="328">
        <f t="shared" si="34"/>
        <v>0</v>
      </c>
      <c r="L108" s="328">
        <f t="shared" si="32"/>
        <v>0</v>
      </c>
      <c r="M108" s="328"/>
      <c r="N108" s="328"/>
      <c r="O108" s="328"/>
      <c r="P108" s="328"/>
      <c r="Q108" s="328"/>
      <c r="R108" s="328"/>
      <c r="S108" s="328"/>
      <c r="T108" s="328"/>
      <c r="U108" s="328"/>
      <c r="V108" s="328"/>
      <c r="W108" s="328"/>
      <c r="X108" s="328"/>
      <c r="Y108" s="328"/>
      <c r="Z108" s="328"/>
      <c r="AA108" s="328"/>
      <c r="AB108" s="328"/>
      <c r="AC108" s="328"/>
      <c r="AD108" s="328"/>
      <c r="AE108" s="328"/>
      <c r="AF108" s="328"/>
      <c r="AG108" s="328"/>
      <c r="AH108" s="328"/>
      <c r="AI108" s="328">
        <f t="shared" si="33"/>
        <v>0</v>
      </c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</row>
    <row r="109" spans="1:52" ht="14.4" outlineLevel="3">
      <c r="A109" s="322" t="s">
        <v>831</v>
      </c>
      <c r="B109" s="326" t="s">
        <v>839</v>
      </c>
      <c r="C109" s="327" t="s">
        <v>1015</v>
      </c>
      <c r="D109" s="327" t="s">
        <v>826</v>
      </c>
      <c r="E109" s="324"/>
      <c r="F109" s="324">
        <f>((226.3-224.5)*2/7-($AI$100/7)-F49/7)*0</f>
        <v>0</v>
      </c>
      <c r="G109" s="324">
        <f t="shared" si="34"/>
        <v>0</v>
      </c>
      <c r="H109" s="324">
        <f t="shared" si="34"/>
        <v>0</v>
      </c>
      <c r="I109" s="324">
        <f t="shared" si="34"/>
        <v>0</v>
      </c>
      <c r="J109" s="324">
        <f t="shared" si="34"/>
        <v>0</v>
      </c>
      <c r="K109" s="328">
        <f t="shared" si="34"/>
        <v>0</v>
      </c>
      <c r="L109" s="328">
        <f t="shared" si="32"/>
        <v>0</v>
      </c>
      <c r="M109" s="328"/>
      <c r="N109" s="328"/>
      <c r="O109" s="328"/>
      <c r="P109" s="328"/>
      <c r="Q109" s="328"/>
      <c r="R109" s="328"/>
      <c r="S109" s="328"/>
      <c r="T109" s="328"/>
      <c r="U109" s="328"/>
      <c r="V109" s="328"/>
      <c r="W109" s="328"/>
      <c r="X109" s="328"/>
      <c r="Y109" s="328"/>
      <c r="Z109" s="328"/>
      <c r="AA109" s="328"/>
      <c r="AB109" s="328"/>
      <c r="AC109" s="328"/>
      <c r="AD109" s="328"/>
      <c r="AE109" s="328"/>
      <c r="AF109" s="328"/>
      <c r="AG109" s="328"/>
      <c r="AH109" s="328"/>
      <c r="AI109" s="328">
        <f t="shared" si="33"/>
        <v>0</v>
      </c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</row>
    <row r="110" spans="1:52" ht="14.4" outlineLevel="2">
      <c r="A110" s="343"/>
      <c r="B110" s="10">
        <v>3</v>
      </c>
      <c r="C110" s="11" t="s">
        <v>868</v>
      </c>
      <c r="D110" s="11" t="s">
        <v>826</v>
      </c>
      <c r="E110" s="128">
        <f>E111+E112+E113+E114+E115+E116+E117+E118</f>
        <v>0</v>
      </c>
      <c r="F110" s="128">
        <f t="shared" ref="F110:AI110" si="35">F111+F112+F113+F114+F115+F116+F117+F118</f>
        <v>0</v>
      </c>
      <c r="G110" s="128">
        <f t="shared" si="35"/>
        <v>0</v>
      </c>
      <c r="H110" s="128">
        <f t="shared" si="35"/>
        <v>0</v>
      </c>
      <c r="I110" s="128">
        <f t="shared" si="35"/>
        <v>0</v>
      </c>
      <c r="J110" s="128">
        <f t="shared" si="35"/>
        <v>0</v>
      </c>
      <c r="K110" s="128">
        <f t="shared" si="35"/>
        <v>0</v>
      </c>
      <c r="L110" s="128">
        <f t="shared" si="35"/>
        <v>0</v>
      </c>
      <c r="M110" s="128">
        <f t="shared" si="35"/>
        <v>0</v>
      </c>
      <c r="N110" s="128">
        <f t="shared" si="35"/>
        <v>0</v>
      </c>
      <c r="O110" s="128">
        <f t="shared" si="35"/>
        <v>0</v>
      </c>
      <c r="P110" s="128">
        <f t="shared" si="35"/>
        <v>0</v>
      </c>
      <c r="Q110" s="128">
        <f t="shared" si="35"/>
        <v>0</v>
      </c>
      <c r="R110" s="128">
        <f t="shared" si="35"/>
        <v>0</v>
      </c>
      <c r="S110" s="128">
        <f t="shared" si="35"/>
        <v>0</v>
      </c>
      <c r="T110" s="128">
        <f t="shared" si="35"/>
        <v>0</v>
      </c>
      <c r="U110" s="128">
        <f t="shared" si="35"/>
        <v>0</v>
      </c>
      <c r="V110" s="128">
        <f t="shared" si="35"/>
        <v>0</v>
      </c>
      <c r="W110" s="128">
        <f t="shared" si="35"/>
        <v>0</v>
      </c>
      <c r="X110" s="128">
        <f t="shared" si="35"/>
        <v>0</v>
      </c>
      <c r="Y110" s="128">
        <f t="shared" si="35"/>
        <v>0</v>
      </c>
      <c r="Z110" s="128">
        <f t="shared" si="35"/>
        <v>0</v>
      </c>
      <c r="AA110" s="128">
        <f t="shared" si="35"/>
        <v>0</v>
      </c>
      <c r="AB110" s="128">
        <f t="shared" si="35"/>
        <v>0</v>
      </c>
      <c r="AC110" s="128">
        <f t="shared" si="35"/>
        <v>0</v>
      </c>
      <c r="AD110" s="128">
        <f t="shared" si="35"/>
        <v>0</v>
      </c>
      <c r="AE110" s="128">
        <f t="shared" si="35"/>
        <v>0</v>
      </c>
      <c r="AF110" s="128">
        <f t="shared" si="35"/>
        <v>0</v>
      </c>
      <c r="AG110" s="128">
        <f t="shared" si="35"/>
        <v>0</v>
      </c>
      <c r="AH110" s="128">
        <f t="shared" si="35"/>
        <v>0</v>
      </c>
      <c r="AI110" s="128">
        <f t="shared" si="35"/>
        <v>0</v>
      </c>
      <c r="AK110" s="9"/>
    </row>
    <row r="111" spans="1:52" ht="14.4" outlineLevel="3">
      <c r="A111" s="322"/>
      <c r="B111" s="286" t="s">
        <v>842</v>
      </c>
      <c r="C111" s="323" t="s">
        <v>825</v>
      </c>
      <c r="D111" s="323" t="s">
        <v>826</v>
      </c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>
        <f t="shared" ref="AI111:AI118" si="36">SUM(E111:AH111)</f>
        <v>0</v>
      </c>
    </row>
    <row r="112" spans="1:52" ht="14.4" outlineLevel="3">
      <c r="A112" s="322"/>
      <c r="B112" s="286" t="s">
        <v>203</v>
      </c>
      <c r="C112" s="323" t="s">
        <v>827</v>
      </c>
      <c r="D112" s="323" t="s">
        <v>826</v>
      </c>
      <c r="E112" s="132"/>
      <c r="F112" s="132"/>
      <c r="G112" s="132"/>
      <c r="H112" s="132"/>
      <c r="I112" s="132"/>
      <c r="J112" s="132"/>
      <c r="K112" s="132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3"/>
      <c r="AH112" s="133"/>
      <c r="AI112" s="133">
        <f t="shared" si="36"/>
        <v>0</v>
      </c>
    </row>
    <row r="113" spans="1:37" ht="14.4" outlineLevel="3">
      <c r="A113" s="322"/>
      <c r="B113" s="286" t="s">
        <v>843</v>
      </c>
      <c r="C113" s="323" t="s">
        <v>828</v>
      </c>
      <c r="D113" s="323" t="s">
        <v>826</v>
      </c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>
        <f t="shared" ref="AI113" si="37">SUM(E113:AH113)</f>
        <v>0</v>
      </c>
    </row>
    <row r="114" spans="1:37" ht="14.4" outlineLevel="3">
      <c r="A114" s="322"/>
      <c r="B114" s="286" t="s">
        <v>844</v>
      </c>
      <c r="C114" s="323" t="s">
        <v>829</v>
      </c>
      <c r="D114" s="323" t="s">
        <v>826</v>
      </c>
      <c r="E114" s="132"/>
      <c r="F114" s="132"/>
      <c r="G114" s="132"/>
      <c r="H114" s="132"/>
      <c r="I114" s="132"/>
      <c r="J114" s="132"/>
      <c r="K114" s="132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>
        <f t="shared" si="36"/>
        <v>0</v>
      </c>
    </row>
    <row r="115" spans="1:37" ht="14.4" outlineLevel="3">
      <c r="A115" s="322"/>
      <c r="B115" s="286" t="s">
        <v>845</v>
      </c>
      <c r="C115" s="323" t="s">
        <v>830</v>
      </c>
      <c r="D115" s="323" t="s">
        <v>826</v>
      </c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2"/>
      <c r="AH115" s="132"/>
      <c r="AI115" s="132">
        <f t="shared" si="36"/>
        <v>0</v>
      </c>
    </row>
    <row r="116" spans="1:37" ht="14.4" outlineLevel="3">
      <c r="A116" s="322" t="s">
        <v>831</v>
      </c>
      <c r="B116" s="326" t="s">
        <v>846</v>
      </c>
      <c r="C116" s="327" t="s">
        <v>832</v>
      </c>
      <c r="D116" s="327" t="s">
        <v>826</v>
      </c>
      <c r="E116" s="324"/>
      <c r="F116" s="324"/>
      <c r="G116" s="324"/>
      <c r="H116" s="324"/>
      <c r="I116" s="324"/>
      <c r="J116" s="324"/>
      <c r="K116" s="328"/>
      <c r="L116" s="328"/>
      <c r="M116" s="328"/>
      <c r="N116" s="328"/>
      <c r="O116" s="328"/>
      <c r="P116" s="328"/>
      <c r="Q116" s="328"/>
      <c r="R116" s="328"/>
      <c r="S116" s="328"/>
      <c r="T116" s="328"/>
      <c r="U116" s="328"/>
      <c r="V116" s="328"/>
      <c r="W116" s="328"/>
      <c r="X116" s="328"/>
      <c r="Y116" s="328"/>
      <c r="Z116" s="328"/>
      <c r="AA116" s="328"/>
      <c r="AB116" s="328"/>
      <c r="AC116" s="328"/>
      <c r="AD116" s="328"/>
      <c r="AE116" s="328"/>
      <c r="AF116" s="328"/>
      <c r="AG116" s="328"/>
      <c r="AH116" s="328"/>
      <c r="AI116" s="328">
        <f t="shared" si="36"/>
        <v>0</v>
      </c>
    </row>
    <row r="117" spans="1:37" ht="14.4" outlineLevel="3">
      <c r="A117" s="322" t="s">
        <v>831</v>
      </c>
      <c r="B117" s="326" t="s">
        <v>847</v>
      </c>
      <c r="C117" s="327" t="s">
        <v>833</v>
      </c>
      <c r="D117" s="327" t="s">
        <v>826</v>
      </c>
      <c r="E117" s="324"/>
      <c r="F117" s="324"/>
      <c r="G117" s="324"/>
      <c r="H117" s="324"/>
      <c r="I117" s="324"/>
      <c r="J117" s="324"/>
      <c r="K117" s="328"/>
      <c r="L117" s="328"/>
      <c r="M117" s="328"/>
      <c r="N117" s="328"/>
      <c r="O117" s="328"/>
      <c r="P117" s="328"/>
      <c r="Q117" s="328"/>
      <c r="R117" s="328"/>
      <c r="S117" s="328"/>
      <c r="T117" s="328"/>
      <c r="U117" s="328"/>
      <c r="V117" s="328"/>
      <c r="W117" s="328"/>
      <c r="X117" s="328"/>
      <c r="Y117" s="328"/>
      <c r="Z117" s="328"/>
      <c r="AA117" s="328"/>
      <c r="AB117" s="328"/>
      <c r="AC117" s="328"/>
      <c r="AD117" s="328"/>
      <c r="AE117" s="328"/>
      <c r="AF117" s="328"/>
      <c r="AG117" s="328"/>
      <c r="AH117" s="328"/>
      <c r="AI117" s="328">
        <f t="shared" si="36"/>
        <v>0</v>
      </c>
    </row>
    <row r="118" spans="1:37" ht="14.4" outlineLevel="3">
      <c r="A118" s="322" t="s">
        <v>831</v>
      </c>
      <c r="B118" s="326" t="s">
        <v>848</v>
      </c>
      <c r="C118" s="327" t="s">
        <v>1015</v>
      </c>
      <c r="D118" s="327" t="s">
        <v>826</v>
      </c>
      <c r="E118" s="324"/>
      <c r="F118" s="324"/>
      <c r="G118" s="324"/>
      <c r="H118" s="324"/>
      <c r="I118" s="324"/>
      <c r="J118" s="324"/>
      <c r="K118" s="328"/>
      <c r="L118" s="328"/>
      <c r="M118" s="328"/>
      <c r="N118" s="328"/>
      <c r="O118" s="328"/>
      <c r="P118" s="328"/>
      <c r="Q118" s="328"/>
      <c r="R118" s="328"/>
      <c r="S118" s="328"/>
      <c r="T118" s="328"/>
      <c r="U118" s="328"/>
      <c r="V118" s="328"/>
      <c r="W118" s="328"/>
      <c r="X118" s="328"/>
      <c r="Y118" s="328"/>
      <c r="Z118" s="328"/>
      <c r="AA118" s="328"/>
      <c r="AB118" s="328"/>
      <c r="AC118" s="328"/>
      <c r="AD118" s="328"/>
      <c r="AE118" s="328"/>
      <c r="AF118" s="328"/>
      <c r="AG118" s="328"/>
      <c r="AH118" s="328"/>
      <c r="AI118" s="328">
        <f t="shared" si="36"/>
        <v>0</v>
      </c>
    </row>
    <row r="119" spans="1:37" ht="14.4" outlineLevel="2">
      <c r="A119" s="342"/>
      <c r="B119" s="10">
        <v>4</v>
      </c>
      <c r="C119" s="11" t="s">
        <v>869</v>
      </c>
      <c r="D119" s="11" t="s">
        <v>826</v>
      </c>
      <c r="E119" s="128">
        <f t="shared" ref="E119:AI119" si="38">E120+E122+E133+E136+E142+E144+E147+E148</f>
        <v>0</v>
      </c>
      <c r="F119" s="128">
        <f t="shared" si="38"/>
        <v>0</v>
      </c>
      <c r="G119" s="128">
        <f t="shared" si="38"/>
        <v>0</v>
      </c>
      <c r="H119" s="128">
        <f t="shared" si="38"/>
        <v>0</v>
      </c>
      <c r="I119" s="128">
        <f t="shared" si="38"/>
        <v>0</v>
      </c>
      <c r="J119" s="128">
        <f t="shared" si="38"/>
        <v>1.3</v>
      </c>
      <c r="K119" s="128">
        <f t="shared" si="38"/>
        <v>0.65</v>
      </c>
      <c r="L119" s="128">
        <f t="shared" si="38"/>
        <v>0.65</v>
      </c>
      <c r="M119" s="128">
        <f t="shared" si="38"/>
        <v>0</v>
      </c>
      <c r="N119" s="128">
        <f t="shared" si="38"/>
        <v>1.3</v>
      </c>
      <c r="O119" s="128">
        <f t="shared" si="38"/>
        <v>0.65</v>
      </c>
      <c r="P119" s="128">
        <f t="shared" si="38"/>
        <v>0.65</v>
      </c>
      <c r="Q119" s="128">
        <f t="shared" si="38"/>
        <v>1.3</v>
      </c>
      <c r="R119" s="128">
        <f t="shared" si="38"/>
        <v>0.65</v>
      </c>
      <c r="S119" s="128">
        <f t="shared" si="38"/>
        <v>0</v>
      </c>
      <c r="T119" s="128">
        <f t="shared" si="38"/>
        <v>0.65</v>
      </c>
      <c r="U119" s="128">
        <f t="shared" si="38"/>
        <v>0</v>
      </c>
      <c r="V119" s="128">
        <f t="shared" si="38"/>
        <v>0</v>
      </c>
      <c r="W119" s="128">
        <f t="shared" si="38"/>
        <v>0</v>
      </c>
      <c r="X119" s="128">
        <f t="shared" si="38"/>
        <v>0</v>
      </c>
      <c r="Y119" s="128">
        <f t="shared" si="38"/>
        <v>0</v>
      </c>
      <c r="Z119" s="128">
        <f t="shared" si="38"/>
        <v>0</v>
      </c>
      <c r="AA119" s="128">
        <f t="shared" si="38"/>
        <v>0</v>
      </c>
      <c r="AB119" s="128">
        <f t="shared" si="38"/>
        <v>0</v>
      </c>
      <c r="AC119" s="128">
        <f t="shared" si="38"/>
        <v>0</v>
      </c>
      <c r="AD119" s="128">
        <f t="shared" si="38"/>
        <v>0</v>
      </c>
      <c r="AE119" s="128">
        <f t="shared" si="38"/>
        <v>0</v>
      </c>
      <c r="AF119" s="128">
        <f t="shared" si="38"/>
        <v>0</v>
      </c>
      <c r="AG119" s="128">
        <f t="shared" si="38"/>
        <v>0</v>
      </c>
      <c r="AH119" s="128">
        <f t="shared" si="38"/>
        <v>0</v>
      </c>
      <c r="AI119" s="128">
        <f t="shared" si="38"/>
        <v>7.8</v>
      </c>
      <c r="AK119" s="9"/>
    </row>
    <row r="120" spans="1:37" ht="14.4" outlineLevel="3">
      <c r="A120" s="322"/>
      <c r="B120" s="286" t="s">
        <v>851</v>
      </c>
      <c r="C120" s="323" t="s">
        <v>825</v>
      </c>
      <c r="D120" s="323" t="s">
        <v>826</v>
      </c>
      <c r="E120" s="132">
        <f>SUM(E121)</f>
        <v>0</v>
      </c>
      <c r="F120" s="132">
        <f t="shared" ref="F120:AH120" si="39">SUM(F121)</f>
        <v>0</v>
      </c>
      <c r="G120" s="132">
        <f t="shared" si="39"/>
        <v>0</v>
      </c>
      <c r="H120" s="132">
        <f t="shared" si="39"/>
        <v>0</v>
      </c>
      <c r="I120" s="132">
        <f t="shared" si="39"/>
        <v>0</v>
      </c>
      <c r="J120" s="132">
        <f t="shared" si="39"/>
        <v>0</v>
      </c>
      <c r="K120" s="132">
        <f t="shared" si="39"/>
        <v>0</v>
      </c>
      <c r="L120" s="132">
        <f t="shared" si="39"/>
        <v>0.65</v>
      </c>
      <c r="M120" s="132">
        <f t="shared" si="39"/>
        <v>0</v>
      </c>
      <c r="N120" s="132">
        <f t="shared" si="39"/>
        <v>0</v>
      </c>
      <c r="O120" s="132">
        <f t="shared" si="39"/>
        <v>0</v>
      </c>
      <c r="P120" s="132">
        <f t="shared" si="39"/>
        <v>0</v>
      </c>
      <c r="Q120" s="132">
        <f t="shared" si="39"/>
        <v>0</v>
      </c>
      <c r="R120" s="132">
        <f t="shared" si="39"/>
        <v>0</v>
      </c>
      <c r="S120" s="132">
        <f t="shared" si="39"/>
        <v>0</v>
      </c>
      <c r="T120" s="132">
        <f t="shared" si="39"/>
        <v>0</v>
      </c>
      <c r="U120" s="132">
        <f t="shared" si="39"/>
        <v>0</v>
      </c>
      <c r="V120" s="132">
        <f t="shared" si="39"/>
        <v>0</v>
      </c>
      <c r="W120" s="132">
        <f t="shared" si="39"/>
        <v>0</v>
      </c>
      <c r="X120" s="132">
        <f t="shared" si="39"/>
        <v>0</v>
      </c>
      <c r="Y120" s="132">
        <f t="shared" si="39"/>
        <v>0</v>
      </c>
      <c r="Z120" s="132">
        <f t="shared" si="39"/>
        <v>0</v>
      </c>
      <c r="AA120" s="132">
        <f t="shared" si="39"/>
        <v>0</v>
      </c>
      <c r="AB120" s="132">
        <f t="shared" si="39"/>
        <v>0</v>
      </c>
      <c r="AC120" s="132">
        <f t="shared" si="39"/>
        <v>0</v>
      </c>
      <c r="AD120" s="132">
        <f t="shared" si="39"/>
        <v>0</v>
      </c>
      <c r="AE120" s="132">
        <f t="shared" si="39"/>
        <v>0</v>
      </c>
      <c r="AF120" s="132">
        <f t="shared" si="39"/>
        <v>0</v>
      </c>
      <c r="AG120" s="132">
        <f t="shared" si="39"/>
        <v>0</v>
      </c>
      <c r="AH120" s="132">
        <f t="shared" si="39"/>
        <v>0</v>
      </c>
      <c r="AI120" s="132">
        <f t="shared" ref="AI120:AI148" si="40">SUM(E120:AH120)</f>
        <v>0.65</v>
      </c>
    </row>
    <row r="121" spans="1:37" ht="14.4" outlineLevel="3">
      <c r="A121" s="322"/>
      <c r="B121" s="286"/>
      <c r="C121" s="323" t="s">
        <v>1011</v>
      </c>
      <c r="D121" s="323" t="s">
        <v>826</v>
      </c>
      <c r="E121" s="324"/>
      <c r="F121" s="324"/>
      <c r="G121" s="324"/>
      <c r="H121" s="324"/>
      <c r="I121" s="324"/>
      <c r="J121" s="324"/>
      <c r="K121" s="324"/>
      <c r="L121" s="324">
        <f>0.65</f>
        <v>0.65</v>
      </c>
      <c r="M121" s="324"/>
      <c r="N121" s="324"/>
      <c r="O121" s="324"/>
      <c r="P121" s="324"/>
      <c r="Q121" s="324"/>
      <c r="R121" s="324"/>
      <c r="S121" s="324"/>
      <c r="T121" s="324"/>
      <c r="U121" s="324"/>
      <c r="V121" s="324"/>
      <c r="W121" s="324"/>
      <c r="X121" s="324"/>
      <c r="Y121" s="324"/>
      <c r="Z121" s="324"/>
      <c r="AA121" s="324"/>
      <c r="AB121" s="324"/>
      <c r="AC121" s="324"/>
      <c r="AD121" s="324"/>
      <c r="AE121" s="324"/>
      <c r="AF121" s="324"/>
      <c r="AG121" s="324"/>
      <c r="AH121" s="324"/>
      <c r="AI121" s="324">
        <f t="shared" si="40"/>
        <v>0.65</v>
      </c>
    </row>
    <row r="122" spans="1:37" ht="14.4" outlineLevel="3">
      <c r="A122" s="322"/>
      <c r="B122" s="286" t="s">
        <v>205</v>
      </c>
      <c r="C122" s="323" t="s">
        <v>827</v>
      </c>
      <c r="D122" s="323" t="s">
        <v>826</v>
      </c>
      <c r="E122" s="132">
        <f>SUM(E123:E132)</f>
        <v>0</v>
      </c>
      <c r="F122" s="132">
        <f t="shared" ref="F122:AH122" si="41">SUM(F123:F132)</f>
        <v>0</v>
      </c>
      <c r="G122" s="132">
        <f t="shared" si="41"/>
        <v>0</v>
      </c>
      <c r="H122" s="132">
        <f t="shared" si="41"/>
        <v>0</v>
      </c>
      <c r="I122" s="132">
        <f t="shared" si="41"/>
        <v>0</v>
      </c>
      <c r="J122" s="132">
        <f t="shared" si="41"/>
        <v>0</v>
      </c>
      <c r="K122" s="132">
        <f t="shared" si="41"/>
        <v>0</v>
      </c>
      <c r="L122" s="132">
        <f t="shared" si="41"/>
        <v>0</v>
      </c>
      <c r="M122" s="132">
        <f t="shared" si="41"/>
        <v>0</v>
      </c>
      <c r="N122" s="132">
        <f t="shared" si="41"/>
        <v>0.65</v>
      </c>
      <c r="O122" s="132">
        <f t="shared" si="41"/>
        <v>0.65</v>
      </c>
      <c r="P122" s="132">
        <f t="shared" si="41"/>
        <v>0.65</v>
      </c>
      <c r="Q122" s="132">
        <f t="shared" si="41"/>
        <v>1.3</v>
      </c>
      <c r="R122" s="132">
        <f t="shared" si="41"/>
        <v>0</v>
      </c>
      <c r="S122" s="132">
        <f t="shared" si="41"/>
        <v>0</v>
      </c>
      <c r="T122" s="132">
        <f t="shared" si="41"/>
        <v>0</v>
      </c>
      <c r="U122" s="132">
        <f t="shared" si="41"/>
        <v>0</v>
      </c>
      <c r="V122" s="132">
        <f t="shared" si="41"/>
        <v>0</v>
      </c>
      <c r="W122" s="132">
        <f t="shared" si="41"/>
        <v>0</v>
      </c>
      <c r="X122" s="132">
        <f t="shared" si="41"/>
        <v>0</v>
      </c>
      <c r="Y122" s="132">
        <f t="shared" si="41"/>
        <v>0</v>
      </c>
      <c r="Z122" s="132">
        <f t="shared" si="41"/>
        <v>0</v>
      </c>
      <c r="AA122" s="132">
        <f t="shared" si="41"/>
        <v>0</v>
      </c>
      <c r="AB122" s="132">
        <f t="shared" si="41"/>
        <v>0</v>
      </c>
      <c r="AC122" s="132">
        <f t="shared" si="41"/>
        <v>0</v>
      </c>
      <c r="AD122" s="132">
        <f t="shared" si="41"/>
        <v>0</v>
      </c>
      <c r="AE122" s="132">
        <f t="shared" si="41"/>
        <v>0</v>
      </c>
      <c r="AF122" s="132">
        <f t="shared" si="41"/>
        <v>0</v>
      </c>
      <c r="AG122" s="132">
        <f t="shared" si="41"/>
        <v>0</v>
      </c>
      <c r="AH122" s="132">
        <f t="shared" si="41"/>
        <v>0</v>
      </c>
      <c r="AI122" s="132">
        <f t="shared" si="40"/>
        <v>3.25</v>
      </c>
    </row>
    <row r="123" spans="1:37" ht="14.4" outlineLevel="3">
      <c r="A123" s="322"/>
      <c r="B123" s="286"/>
      <c r="C123" s="323" t="s">
        <v>870</v>
      </c>
      <c r="D123" s="323" t="s">
        <v>826</v>
      </c>
      <c r="E123" s="324"/>
      <c r="F123" s="324"/>
      <c r="G123" s="324"/>
      <c r="H123" s="324"/>
      <c r="I123" s="324"/>
      <c r="J123" s="324"/>
      <c r="K123" s="324"/>
      <c r="L123" s="324"/>
      <c r="M123" s="324"/>
      <c r="N123" s="324"/>
      <c r="O123" s="324"/>
      <c r="P123" s="324"/>
      <c r="Q123" s="324"/>
      <c r="R123" s="324"/>
      <c r="S123" s="324"/>
      <c r="T123" s="324"/>
      <c r="U123" s="324"/>
      <c r="V123" s="324"/>
      <c r="W123" s="324"/>
      <c r="X123" s="324"/>
      <c r="Y123" s="324"/>
      <c r="Z123" s="324"/>
      <c r="AA123" s="324"/>
      <c r="AB123" s="324"/>
      <c r="AC123" s="324"/>
      <c r="AD123" s="324"/>
      <c r="AE123" s="324"/>
      <c r="AF123" s="324"/>
      <c r="AG123" s="324"/>
      <c r="AH123" s="324"/>
      <c r="AI123" s="324">
        <f t="shared" si="40"/>
        <v>0</v>
      </c>
    </row>
    <row r="124" spans="1:37" ht="14.4" outlineLevel="3">
      <c r="A124" s="322"/>
      <c r="B124" s="286"/>
      <c r="C124" s="323" t="s">
        <v>871</v>
      </c>
      <c r="D124" s="323" t="s">
        <v>826</v>
      </c>
      <c r="E124" s="324"/>
      <c r="F124" s="324"/>
      <c r="G124" s="324"/>
      <c r="H124" s="324"/>
      <c r="I124" s="324"/>
      <c r="J124" s="324"/>
      <c r="K124" s="324"/>
      <c r="L124" s="324"/>
      <c r="M124" s="324"/>
      <c r="N124" s="324">
        <v>0.65</v>
      </c>
      <c r="O124" s="324"/>
      <c r="P124" s="324"/>
      <c r="Q124" s="324"/>
      <c r="R124" s="324"/>
      <c r="S124" s="324"/>
      <c r="T124" s="324"/>
      <c r="U124" s="324"/>
      <c r="V124" s="324"/>
      <c r="W124" s="324"/>
      <c r="X124" s="324"/>
      <c r="Y124" s="324"/>
      <c r="Z124" s="324"/>
      <c r="AA124" s="324"/>
      <c r="AB124" s="324"/>
      <c r="AC124" s="324"/>
      <c r="AD124" s="324"/>
      <c r="AE124" s="324"/>
      <c r="AF124" s="324"/>
      <c r="AG124" s="324"/>
      <c r="AH124" s="324"/>
      <c r="AI124" s="324">
        <f t="shared" si="40"/>
        <v>0.65</v>
      </c>
    </row>
    <row r="125" spans="1:37" ht="14.4" outlineLevel="3">
      <c r="A125" s="322"/>
      <c r="B125" s="286"/>
      <c r="C125" s="323" t="s">
        <v>872</v>
      </c>
      <c r="D125" s="323" t="s">
        <v>826</v>
      </c>
      <c r="E125" s="324"/>
      <c r="F125" s="324"/>
      <c r="G125" s="324"/>
      <c r="H125" s="324"/>
      <c r="I125" s="324"/>
      <c r="J125" s="324"/>
      <c r="K125" s="324"/>
      <c r="L125" s="324"/>
      <c r="M125" s="324"/>
      <c r="N125" s="324"/>
      <c r="O125" s="324"/>
      <c r="P125" s="324"/>
      <c r="Q125" s="324"/>
      <c r="R125" s="324"/>
      <c r="S125" s="324"/>
      <c r="T125" s="324"/>
      <c r="U125" s="324"/>
      <c r="V125" s="324"/>
      <c r="W125" s="324"/>
      <c r="X125" s="324"/>
      <c r="Y125" s="324"/>
      <c r="Z125" s="324"/>
      <c r="AA125" s="324"/>
      <c r="AB125" s="324"/>
      <c r="AC125" s="324"/>
      <c r="AD125" s="324"/>
      <c r="AE125" s="324"/>
      <c r="AF125" s="324"/>
      <c r="AG125" s="324"/>
      <c r="AH125" s="324"/>
      <c r="AI125" s="324">
        <f t="shared" si="40"/>
        <v>0</v>
      </c>
    </row>
    <row r="126" spans="1:37" ht="14.4" outlineLevel="3">
      <c r="A126" s="322"/>
      <c r="B126" s="286"/>
      <c r="C126" s="323" t="s">
        <v>873</v>
      </c>
      <c r="D126" s="323" t="s">
        <v>826</v>
      </c>
      <c r="E126" s="324"/>
      <c r="F126" s="324"/>
      <c r="G126" s="324"/>
      <c r="H126" s="324"/>
      <c r="I126" s="324"/>
      <c r="J126" s="324"/>
      <c r="K126" s="324"/>
      <c r="L126" s="324"/>
      <c r="M126" s="324"/>
      <c r="N126" s="324"/>
      <c r="O126" s="324">
        <v>0.65</v>
      </c>
      <c r="P126" s="324"/>
      <c r="Q126" s="324"/>
      <c r="R126" s="324"/>
      <c r="S126" s="324"/>
      <c r="T126" s="324"/>
      <c r="U126" s="324"/>
      <c r="V126" s="324"/>
      <c r="W126" s="324"/>
      <c r="X126" s="324"/>
      <c r="Y126" s="324"/>
      <c r="Z126" s="324"/>
      <c r="AA126" s="324"/>
      <c r="AB126" s="324"/>
      <c r="AC126" s="324"/>
      <c r="AD126" s="324"/>
      <c r="AE126" s="324"/>
      <c r="AF126" s="324"/>
      <c r="AG126" s="324"/>
      <c r="AH126" s="324"/>
      <c r="AI126" s="324">
        <f t="shared" si="40"/>
        <v>0.65</v>
      </c>
    </row>
    <row r="127" spans="1:37" ht="14.4" outlineLevel="3">
      <c r="A127" s="322"/>
      <c r="B127" s="286"/>
      <c r="C127" s="323" t="s">
        <v>874</v>
      </c>
      <c r="D127" s="323" t="s">
        <v>826</v>
      </c>
      <c r="E127" s="324"/>
      <c r="F127" s="324"/>
      <c r="G127" s="324"/>
      <c r="H127" s="324"/>
      <c r="I127" s="324"/>
      <c r="J127" s="324"/>
      <c r="K127" s="324"/>
      <c r="L127" s="324"/>
      <c r="M127" s="324"/>
      <c r="N127" s="324"/>
      <c r="O127" s="324"/>
      <c r="P127" s="324"/>
      <c r="Q127" s="324"/>
      <c r="R127" s="324"/>
      <c r="S127" s="324"/>
      <c r="T127" s="324"/>
      <c r="U127" s="324"/>
      <c r="V127" s="324"/>
      <c r="W127" s="324"/>
      <c r="X127" s="324"/>
      <c r="Y127" s="324"/>
      <c r="Z127" s="324"/>
      <c r="AA127" s="324"/>
      <c r="AB127" s="324"/>
      <c r="AC127" s="324"/>
      <c r="AD127" s="324"/>
      <c r="AE127" s="324"/>
      <c r="AF127" s="324"/>
      <c r="AG127" s="324"/>
      <c r="AH127" s="324"/>
      <c r="AI127" s="324">
        <f t="shared" si="40"/>
        <v>0</v>
      </c>
    </row>
    <row r="128" spans="1:37" ht="14.4" outlineLevel="3">
      <c r="A128" s="322"/>
      <c r="B128" s="286"/>
      <c r="C128" s="323" t="s">
        <v>875</v>
      </c>
      <c r="D128" s="323" t="s">
        <v>826</v>
      </c>
      <c r="E128" s="324"/>
      <c r="F128" s="324"/>
      <c r="G128" s="324"/>
      <c r="H128" s="324"/>
      <c r="I128" s="324"/>
      <c r="J128" s="324"/>
      <c r="K128" s="324"/>
      <c r="L128" s="324"/>
      <c r="M128" s="324"/>
      <c r="N128" s="324"/>
      <c r="O128" s="324"/>
      <c r="P128" s="324">
        <v>0.65</v>
      </c>
      <c r="Q128" s="324"/>
      <c r="R128" s="324"/>
      <c r="S128" s="324"/>
      <c r="T128" s="324"/>
      <c r="U128" s="324"/>
      <c r="V128" s="324"/>
      <c r="W128" s="324"/>
      <c r="X128" s="324"/>
      <c r="Y128" s="324"/>
      <c r="Z128" s="324"/>
      <c r="AA128" s="324"/>
      <c r="AB128" s="324"/>
      <c r="AC128" s="324"/>
      <c r="AD128" s="324"/>
      <c r="AE128" s="324"/>
      <c r="AF128" s="324"/>
      <c r="AG128" s="324"/>
      <c r="AH128" s="324"/>
      <c r="AI128" s="324">
        <f t="shared" si="40"/>
        <v>0.65</v>
      </c>
    </row>
    <row r="129" spans="1:35" ht="14.4" outlineLevel="3">
      <c r="A129" s="322"/>
      <c r="B129" s="286"/>
      <c r="C129" s="323" t="s">
        <v>876</v>
      </c>
      <c r="D129" s="323" t="s">
        <v>826</v>
      </c>
      <c r="E129" s="324"/>
      <c r="F129" s="324"/>
      <c r="G129" s="324"/>
      <c r="H129" s="324"/>
      <c r="I129" s="324"/>
      <c r="J129" s="324"/>
      <c r="K129" s="324"/>
      <c r="L129" s="324"/>
      <c r="M129" s="324"/>
      <c r="N129" s="324"/>
      <c r="O129" s="324"/>
      <c r="P129" s="324"/>
      <c r="Q129" s="324"/>
      <c r="R129" s="324"/>
      <c r="S129" s="324"/>
      <c r="T129" s="324"/>
      <c r="U129" s="324"/>
      <c r="V129" s="324"/>
      <c r="W129" s="324"/>
      <c r="X129" s="324"/>
      <c r="Y129" s="324"/>
      <c r="Z129" s="324"/>
      <c r="AA129" s="324"/>
      <c r="AB129" s="324"/>
      <c r="AC129" s="324"/>
      <c r="AD129" s="324"/>
      <c r="AE129" s="324"/>
      <c r="AF129" s="324"/>
      <c r="AG129" s="324"/>
      <c r="AH129" s="324"/>
      <c r="AI129" s="324">
        <f t="shared" si="40"/>
        <v>0</v>
      </c>
    </row>
    <row r="130" spans="1:35" ht="14.4" outlineLevel="3">
      <c r="A130" s="322"/>
      <c r="B130" s="286"/>
      <c r="C130" s="323" t="s">
        <v>877</v>
      </c>
      <c r="D130" s="323" t="s">
        <v>826</v>
      </c>
      <c r="E130" s="324"/>
      <c r="F130" s="324"/>
      <c r="G130" s="324"/>
      <c r="H130" s="324"/>
      <c r="I130" s="324"/>
      <c r="J130" s="324"/>
      <c r="K130" s="324"/>
      <c r="L130" s="324"/>
      <c r="M130" s="324"/>
      <c r="N130" s="324"/>
      <c r="O130" s="324"/>
      <c r="P130" s="324"/>
      <c r="Q130" s="324">
        <v>0.65</v>
      </c>
      <c r="R130" s="324"/>
      <c r="S130" s="324"/>
      <c r="T130" s="324"/>
      <c r="U130" s="324"/>
      <c r="V130" s="324"/>
      <c r="W130" s="324"/>
      <c r="X130" s="324"/>
      <c r="Y130" s="324"/>
      <c r="Z130" s="324"/>
      <c r="AA130" s="324"/>
      <c r="AB130" s="324"/>
      <c r="AC130" s="324"/>
      <c r="AD130" s="324"/>
      <c r="AE130" s="324"/>
      <c r="AF130" s="324"/>
      <c r="AG130" s="324"/>
      <c r="AH130" s="324"/>
      <c r="AI130" s="324">
        <f t="shared" si="40"/>
        <v>0.65</v>
      </c>
    </row>
    <row r="131" spans="1:35" ht="14.4" outlineLevel="3">
      <c r="A131" s="322"/>
      <c r="B131" s="286"/>
      <c r="C131" s="323" t="s">
        <v>878</v>
      </c>
      <c r="D131" s="323" t="s">
        <v>826</v>
      </c>
      <c r="E131" s="324"/>
      <c r="F131" s="324"/>
      <c r="G131" s="324"/>
      <c r="H131" s="324"/>
      <c r="I131" s="324"/>
      <c r="J131" s="324"/>
      <c r="K131" s="324"/>
      <c r="L131" s="324"/>
      <c r="M131" s="324"/>
      <c r="N131" s="324"/>
      <c r="O131" s="324"/>
      <c r="P131" s="324"/>
      <c r="Q131" s="324"/>
      <c r="R131" s="324"/>
      <c r="S131" s="324"/>
      <c r="T131" s="324"/>
      <c r="U131" s="324"/>
      <c r="V131" s="324"/>
      <c r="W131" s="324"/>
      <c r="X131" s="324"/>
      <c r="Y131" s="324"/>
      <c r="Z131" s="324"/>
      <c r="AA131" s="324"/>
      <c r="AB131" s="324"/>
      <c r="AC131" s="324"/>
      <c r="AD131" s="324"/>
      <c r="AE131" s="324"/>
      <c r="AF131" s="324"/>
      <c r="AG131" s="324"/>
      <c r="AH131" s="324"/>
      <c r="AI131" s="324">
        <f t="shared" si="40"/>
        <v>0</v>
      </c>
    </row>
    <row r="132" spans="1:35" ht="14.4" outlineLevel="3">
      <c r="A132" s="322"/>
      <c r="B132" s="286"/>
      <c r="C132" s="323" t="s">
        <v>879</v>
      </c>
      <c r="D132" s="323" t="s">
        <v>826</v>
      </c>
      <c r="E132" s="324"/>
      <c r="F132" s="324"/>
      <c r="G132" s="324"/>
      <c r="H132" s="324"/>
      <c r="I132" s="324"/>
      <c r="J132" s="324"/>
      <c r="K132" s="324"/>
      <c r="L132" s="324"/>
      <c r="M132" s="324"/>
      <c r="N132" s="324"/>
      <c r="O132" s="324"/>
      <c r="P132" s="324"/>
      <c r="Q132" s="324">
        <v>0.65</v>
      </c>
      <c r="R132" s="324"/>
      <c r="S132" s="324"/>
      <c r="T132" s="324"/>
      <c r="U132" s="324"/>
      <c r="V132" s="324"/>
      <c r="W132" s="324"/>
      <c r="X132" s="324"/>
      <c r="Y132" s="324"/>
      <c r="Z132" s="324"/>
      <c r="AA132" s="324"/>
      <c r="AB132" s="324"/>
      <c r="AC132" s="324"/>
      <c r="AD132" s="324"/>
      <c r="AE132" s="324"/>
      <c r="AF132" s="324"/>
      <c r="AG132" s="324"/>
      <c r="AH132" s="324"/>
      <c r="AI132" s="324">
        <f t="shared" si="40"/>
        <v>0.65</v>
      </c>
    </row>
    <row r="133" spans="1:35" ht="14.4" outlineLevel="3">
      <c r="A133" s="322"/>
      <c r="B133" s="286" t="s">
        <v>852</v>
      </c>
      <c r="C133" s="323" t="s">
        <v>828</v>
      </c>
      <c r="D133" s="323" t="s">
        <v>826</v>
      </c>
      <c r="E133" s="132">
        <f>SUM(E134:E135)</f>
        <v>0</v>
      </c>
      <c r="F133" s="132">
        <f t="shared" ref="F133:AH133" si="42">SUM(F134:F135)</f>
        <v>0</v>
      </c>
      <c r="G133" s="132">
        <f t="shared" si="42"/>
        <v>0</v>
      </c>
      <c r="H133" s="132">
        <f t="shared" si="42"/>
        <v>0</v>
      </c>
      <c r="I133" s="132">
        <f t="shared" si="42"/>
        <v>0</v>
      </c>
      <c r="J133" s="132">
        <f t="shared" si="42"/>
        <v>0</v>
      </c>
      <c r="K133" s="132">
        <f t="shared" si="42"/>
        <v>0</v>
      </c>
      <c r="L133" s="132">
        <f t="shared" si="42"/>
        <v>0</v>
      </c>
      <c r="M133" s="132">
        <f t="shared" si="42"/>
        <v>0</v>
      </c>
      <c r="N133" s="132">
        <f t="shared" si="42"/>
        <v>0.65</v>
      </c>
      <c r="O133" s="132">
        <f t="shared" si="42"/>
        <v>0</v>
      </c>
      <c r="P133" s="132">
        <f t="shared" si="42"/>
        <v>0</v>
      </c>
      <c r="Q133" s="132">
        <f t="shared" si="42"/>
        <v>0</v>
      </c>
      <c r="R133" s="132">
        <f t="shared" si="42"/>
        <v>0</v>
      </c>
      <c r="S133" s="132">
        <f t="shared" si="42"/>
        <v>0</v>
      </c>
      <c r="T133" s="132">
        <f t="shared" si="42"/>
        <v>0</v>
      </c>
      <c r="U133" s="132">
        <f t="shared" si="42"/>
        <v>0</v>
      </c>
      <c r="V133" s="132">
        <f t="shared" si="42"/>
        <v>0</v>
      </c>
      <c r="W133" s="132">
        <f t="shared" si="42"/>
        <v>0</v>
      </c>
      <c r="X133" s="132">
        <f t="shared" si="42"/>
        <v>0</v>
      </c>
      <c r="Y133" s="132">
        <f t="shared" si="42"/>
        <v>0</v>
      </c>
      <c r="Z133" s="132">
        <f t="shared" si="42"/>
        <v>0</v>
      </c>
      <c r="AA133" s="132">
        <f t="shared" si="42"/>
        <v>0</v>
      </c>
      <c r="AB133" s="132">
        <f t="shared" si="42"/>
        <v>0</v>
      </c>
      <c r="AC133" s="132">
        <f t="shared" si="42"/>
        <v>0</v>
      </c>
      <c r="AD133" s="132">
        <f t="shared" si="42"/>
        <v>0</v>
      </c>
      <c r="AE133" s="132">
        <f t="shared" si="42"/>
        <v>0</v>
      </c>
      <c r="AF133" s="132">
        <f t="shared" si="42"/>
        <v>0</v>
      </c>
      <c r="AG133" s="132">
        <f t="shared" si="42"/>
        <v>0</v>
      </c>
      <c r="AH133" s="132">
        <f t="shared" si="42"/>
        <v>0</v>
      </c>
      <c r="AI133" s="132">
        <f t="shared" si="40"/>
        <v>0.65</v>
      </c>
    </row>
    <row r="134" spans="1:35" ht="14.4" outlineLevel="3">
      <c r="A134" s="322"/>
      <c r="B134" s="286"/>
      <c r="C134" s="323" t="s">
        <v>880</v>
      </c>
      <c r="D134" s="323" t="s">
        <v>826</v>
      </c>
      <c r="E134" s="324"/>
      <c r="F134" s="324"/>
      <c r="G134" s="324"/>
      <c r="H134" s="324"/>
      <c r="I134" s="324"/>
      <c r="J134" s="324"/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4"/>
      <c r="V134" s="324"/>
      <c r="W134" s="324"/>
      <c r="X134" s="324"/>
      <c r="Y134" s="324"/>
      <c r="Z134" s="324"/>
      <c r="AA134" s="324"/>
      <c r="AB134" s="324"/>
      <c r="AC134" s="324"/>
      <c r="AD134" s="324"/>
      <c r="AE134" s="324"/>
      <c r="AF134" s="324"/>
      <c r="AG134" s="324"/>
      <c r="AH134" s="324"/>
      <c r="AI134" s="324">
        <f t="shared" si="40"/>
        <v>0</v>
      </c>
    </row>
    <row r="135" spans="1:35" ht="14.4" outlineLevel="3">
      <c r="A135" s="322"/>
      <c r="B135" s="286"/>
      <c r="C135" s="323" t="s">
        <v>1012</v>
      </c>
      <c r="D135" s="323" t="s">
        <v>826</v>
      </c>
      <c r="E135" s="324"/>
      <c r="F135" s="324"/>
      <c r="G135" s="324"/>
      <c r="H135" s="324"/>
      <c r="I135" s="324"/>
      <c r="J135" s="324"/>
      <c r="K135" s="324"/>
      <c r="L135" s="324"/>
      <c r="M135" s="324"/>
      <c r="N135" s="324">
        <v>0.65</v>
      </c>
      <c r="O135" s="324"/>
      <c r="P135" s="324"/>
      <c r="Q135" s="324"/>
      <c r="R135" s="324"/>
      <c r="S135" s="324"/>
      <c r="T135" s="324"/>
      <c r="U135" s="324"/>
      <c r="V135" s="324"/>
      <c r="W135" s="324"/>
      <c r="X135" s="324"/>
      <c r="Y135" s="324"/>
      <c r="Z135" s="324"/>
      <c r="AA135" s="324"/>
      <c r="AB135" s="324"/>
      <c r="AC135" s="324"/>
      <c r="AD135" s="324"/>
      <c r="AE135" s="324"/>
      <c r="AF135" s="324"/>
      <c r="AG135" s="324"/>
      <c r="AH135" s="324"/>
      <c r="AI135" s="324">
        <f t="shared" si="40"/>
        <v>0.65</v>
      </c>
    </row>
    <row r="136" spans="1:35" ht="14.4" outlineLevel="3">
      <c r="A136" s="322"/>
      <c r="B136" s="286" t="s">
        <v>853</v>
      </c>
      <c r="C136" s="323" t="s">
        <v>829</v>
      </c>
      <c r="D136" s="323" t="s">
        <v>826</v>
      </c>
      <c r="E136" s="132">
        <f>SUM(E137:E141)</f>
        <v>0</v>
      </c>
      <c r="F136" s="132">
        <f t="shared" ref="F136:AH136" si="43">SUM(F137:F141)</f>
        <v>0</v>
      </c>
      <c r="G136" s="132">
        <f t="shared" si="43"/>
        <v>0</v>
      </c>
      <c r="H136" s="132">
        <f t="shared" si="43"/>
        <v>0</v>
      </c>
      <c r="I136" s="132">
        <f t="shared" si="43"/>
        <v>0</v>
      </c>
      <c r="J136" s="132">
        <f t="shared" si="43"/>
        <v>0.65</v>
      </c>
      <c r="K136" s="132">
        <f t="shared" si="43"/>
        <v>0</v>
      </c>
      <c r="L136" s="132">
        <f t="shared" si="43"/>
        <v>0</v>
      </c>
      <c r="M136" s="132">
        <f t="shared" si="43"/>
        <v>0</v>
      </c>
      <c r="N136" s="132">
        <f t="shared" si="43"/>
        <v>0</v>
      </c>
      <c r="O136" s="132">
        <f t="shared" si="43"/>
        <v>0</v>
      </c>
      <c r="P136" s="132">
        <f t="shared" si="43"/>
        <v>0</v>
      </c>
      <c r="Q136" s="132">
        <f t="shared" si="43"/>
        <v>0</v>
      </c>
      <c r="R136" s="132">
        <f t="shared" si="43"/>
        <v>0.65</v>
      </c>
      <c r="S136" s="132">
        <f t="shared" si="43"/>
        <v>0</v>
      </c>
      <c r="T136" s="132">
        <f t="shared" si="43"/>
        <v>0</v>
      </c>
      <c r="U136" s="132">
        <f t="shared" si="43"/>
        <v>0</v>
      </c>
      <c r="V136" s="132">
        <f t="shared" si="43"/>
        <v>0</v>
      </c>
      <c r="W136" s="132">
        <f t="shared" si="43"/>
        <v>0</v>
      </c>
      <c r="X136" s="132">
        <f t="shared" si="43"/>
        <v>0</v>
      </c>
      <c r="Y136" s="132">
        <f t="shared" si="43"/>
        <v>0</v>
      </c>
      <c r="Z136" s="132">
        <f t="shared" si="43"/>
        <v>0</v>
      </c>
      <c r="AA136" s="132">
        <f t="shared" si="43"/>
        <v>0</v>
      </c>
      <c r="AB136" s="132">
        <f t="shared" si="43"/>
        <v>0</v>
      </c>
      <c r="AC136" s="132">
        <f t="shared" si="43"/>
        <v>0</v>
      </c>
      <c r="AD136" s="132">
        <f t="shared" si="43"/>
        <v>0</v>
      </c>
      <c r="AE136" s="132">
        <f t="shared" si="43"/>
        <v>0</v>
      </c>
      <c r="AF136" s="132">
        <f t="shared" si="43"/>
        <v>0</v>
      </c>
      <c r="AG136" s="132">
        <f t="shared" si="43"/>
        <v>0</v>
      </c>
      <c r="AH136" s="132">
        <f t="shared" si="43"/>
        <v>0</v>
      </c>
      <c r="AI136" s="132">
        <f t="shared" si="40"/>
        <v>1.3</v>
      </c>
    </row>
    <row r="137" spans="1:35" ht="14.4" outlineLevel="3">
      <c r="A137" s="322"/>
      <c r="B137" s="286"/>
      <c r="C137" s="323" t="s">
        <v>881</v>
      </c>
      <c r="D137" s="323" t="s">
        <v>826</v>
      </c>
      <c r="E137" s="324"/>
      <c r="F137" s="324"/>
      <c r="G137" s="324"/>
      <c r="H137" s="324"/>
      <c r="I137" s="324"/>
      <c r="J137" s="324"/>
      <c r="K137" s="324"/>
      <c r="L137" s="324"/>
      <c r="M137" s="324"/>
      <c r="N137" s="324"/>
      <c r="O137" s="324"/>
      <c r="P137" s="324"/>
      <c r="Q137" s="324"/>
      <c r="R137" s="324"/>
      <c r="S137" s="324"/>
      <c r="T137" s="324"/>
      <c r="U137" s="324"/>
      <c r="V137" s="324"/>
      <c r="W137" s="324"/>
      <c r="X137" s="324"/>
      <c r="Y137" s="324"/>
      <c r="Z137" s="324"/>
      <c r="AA137" s="324"/>
      <c r="AB137" s="324"/>
      <c r="AC137" s="324"/>
      <c r="AD137" s="324"/>
      <c r="AE137" s="324"/>
      <c r="AF137" s="324"/>
      <c r="AG137" s="324"/>
      <c r="AH137" s="324"/>
      <c r="AI137" s="324">
        <f t="shared" si="40"/>
        <v>0</v>
      </c>
    </row>
    <row r="138" spans="1:35" ht="14.4" outlineLevel="3">
      <c r="A138" s="322"/>
      <c r="B138" s="286"/>
      <c r="C138" s="323" t="s">
        <v>882</v>
      </c>
      <c r="D138" s="323" t="s">
        <v>826</v>
      </c>
      <c r="E138" s="324"/>
      <c r="F138" s="324"/>
      <c r="G138" s="324"/>
      <c r="H138" s="324"/>
      <c r="I138" s="324"/>
      <c r="J138" s="324"/>
      <c r="K138" s="324"/>
      <c r="L138" s="324"/>
      <c r="M138" s="324"/>
      <c r="N138" s="324"/>
      <c r="O138" s="324"/>
      <c r="P138" s="324"/>
      <c r="Q138" s="324"/>
      <c r="R138" s="324">
        <v>0.65</v>
      </c>
      <c r="S138" s="324"/>
      <c r="T138" s="324"/>
      <c r="U138" s="324"/>
      <c r="V138" s="324"/>
      <c r="W138" s="324"/>
      <c r="X138" s="324"/>
      <c r="Y138" s="324"/>
      <c r="Z138" s="324"/>
      <c r="AA138" s="324"/>
      <c r="AB138" s="324"/>
      <c r="AC138" s="324"/>
      <c r="AD138" s="324"/>
      <c r="AE138" s="324"/>
      <c r="AF138" s="324"/>
      <c r="AG138" s="324"/>
      <c r="AH138" s="324"/>
      <c r="AI138" s="324">
        <f t="shared" si="40"/>
        <v>0.65</v>
      </c>
    </row>
    <row r="139" spans="1:35" ht="14.4" outlineLevel="3">
      <c r="A139" s="322"/>
      <c r="B139" s="286"/>
      <c r="C139" s="323" t="s">
        <v>883</v>
      </c>
      <c r="D139" s="323" t="s">
        <v>826</v>
      </c>
      <c r="E139" s="324"/>
      <c r="F139" s="324"/>
      <c r="G139" s="324"/>
      <c r="H139" s="324"/>
      <c r="I139" s="324"/>
      <c r="J139" s="324"/>
      <c r="K139" s="324"/>
      <c r="L139" s="324"/>
      <c r="M139" s="324"/>
      <c r="N139" s="324"/>
      <c r="O139" s="324"/>
      <c r="P139" s="324"/>
      <c r="Q139" s="324"/>
      <c r="R139" s="324"/>
      <c r="S139" s="324"/>
      <c r="T139" s="324"/>
      <c r="U139" s="324"/>
      <c r="V139" s="324"/>
      <c r="W139" s="324"/>
      <c r="X139" s="324"/>
      <c r="Y139" s="324"/>
      <c r="Z139" s="324"/>
      <c r="AA139" s="324"/>
      <c r="AB139" s="324"/>
      <c r="AC139" s="324"/>
      <c r="AD139" s="324"/>
      <c r="AE139" s="324"/>
      <c r="AF139" s="324"/>
      <c r="AG139" s="324"/>
      <c r="AH139" s="324"/>
      <c r="AI139" s="324">
        <f t="shared" si="40"/>
        <v>0</v>
      </c>
    </row>
    <row r="140" spans="1:35" ht="14.4" outlineLevel="3">
      <c r="A140" s="322"/>
      <c r="B140" s="286"/>
      <c r="C140" s="323" t="s">
        <v>1013</v>
      </c>
      <c r="D140" s="323" t="s">
        <v>826</v>
      </c>
      <c r="E140" s="324"/>
      <c r="F140" s="324"/>
      <c r="G140" s="324"/>
      <c r="H140" s="324"/>
      <c r="I140" s="324"/>
      <c r="J140" s="324">
        <v>0.65</v>
      </c>
      <c r="K140" s="324"/>
      <c r="L140" s="324"/>
      <c r="M140" s="324"/>
      <c r="N140" s="324"/>
      <c r="O140" s="324"/>
      <c r="P140" s="324"/>
      <c r="Q140" s="324"/>
      <c r="R140" s="324"/>
      <c r="S140" s="324"/>
      <c r="T140" s="324"/>
      <c r="U140" s="324"/>
      <c r="V140" s="324"/>
      <c r="W140" s="324"/>
      <c r="X140" s="324"/>
      <c r="Y140" s="324"/>
      <c r="Z140" s="324"/>
      <c r="AA140" s="324"/>
      <c r="AB140" s="324"/>
      <c r="AC140" s="324"/>
      <c r="AD140" s="324"/>
      <c r="AE140" s="324"/>
      <c r="AF140" s="324"/>
      <c r="AG140" s="324"/>
      <c r="AH140" s="324"/>
      <c r="AI140" s="324">
        <f t="shared" si="40"/>
        <v>0.65</v>
      </c>
    </row>
    <row r="141" spans="1:35" ht="14.4" outlineLevel="3">
      <c r="A141" s="322"/>
      <c r="B141" s="286"/>
      <c r="C141" s="323" t="s">
        <v>884</v>
      </c>
      <c r="D141" s="323" t="s">
        <v>826</v>
      </c>
      <c r="E141" s="324"/>
      <c r="F141" s="324"/>
      <c r="G141" s="324"/>
      <c r="H141" s="324"/>
      <c r="I141" s="324"/>
      <c r="J141" s="324"/>
      <c r="K141" s="324"/>
      <c r="L141" s="324"/>
      <c r="M141" s="324"/>
      <c r="N141" s="324"/>
      <c r="O141" s="324"/>
      <c r="P141" s="324"/>
      <c r="Q141" s="324"/>
      <c r="R141" s="324"/>
      <c r="S141" s="324"/>
      <c r="T141" s="324"/>
      <c r="U141" s="324"/>
      <c r="V141" s="324"/>
      <c r="W141" s="324"/>
      <c r="X141" s="324"/>
      <c r="Y141" s="324"/>
      <c r="Z141" s="324"/>
      <c r="AA141" s="324"/>
      <c r="AB141" s="324"/>
      <c r="AC141" s="324"/>
      <c r="AD141" s="324"/>
      <c r="AE141" s="324"/>
      <c r="AF141" s="324"/>
      <c r="AG141" s="324"/>
      <c r="AH141" s="324"/>
      <c r="AI141" s="324">
        <f t="shared" si="40"/>
        <v>0</v>
      </c>
    </row>
    <row r="142" spans="1:35" ht="14.4" outlineLevel="3">
      <c r="A142" s="322"/>
      <c r="B142" s="286" t="s">
        <v>854</v>
      </c>
      <c r="C142" s="323" t="s">
        <v>830</v>
      </c>
      <c r="D142" s="323" t="s">
        <v>826</v>
      </c>
      <c r="E142" s="132">
        <f t="shared" ref="E142:AH142" si="44">SUM(E143:E143)</f>
        <v>0</v>
      </c>
      <c r="F142" s="132">
        <f t="shared" si="44"/>
        <v>0</v>
      </c>
      <c r="G142" s="132">
        <f t="shared" si="44"/>
        <v>0</v>
      </c>
      <c r="H142" s="132">
        <f t="shared" si="44"/>
        <v>0</v>
      </c>
      <c r="I142" s="132">
        <f t="shared" si="44"/>
        <v>0</v>
      </c>
      <c r="J142" s="132">
        <f t="shared" si="44"/>
        <v>0</v>
      </c>
      <c r="K142" s="132">
        <f t="shared" si="44"/>
        <v>0</v>
      </c>
      <c r="L142" s="132">
        <f t="shared" si="44"/>
        <v>0</v>
      </c>
      <c r="M142" s="132">
        <f t="shared" si="44"/>
        <v>0</v>
      </c>
      <c r="N142" s="132">
        <f t="shared" si="44"/>
        <v>0</v>
      </c>
      <c r="O142" s="132">
        <f t="shared" si="44"/>
        <v>0</v>
      </c>
      <c r="P142" s="132">
        <f t="shared" si="44"/>
        <v>0</v>
      </c>
      <c r="Q142" s="132">
        <f t="shared" si="44"/>
        <v>0</v>
      </c>
      <c r="R142" s="132">
        <f t="shared" si="44"/>
        <v>0</v>
      </c>
      <c r="S142" s="132">
        <f t="shared" si="44"/>
        <v>0</v>
      </c>
      <c r="T142" s="132">
        <f t="shared" si="44"/>
        <v>0.65</v>
      </c>
      <c r="U142" s="132">
        <f t="shared" si="44"/>
        <v>0</v>
      </c>
      <c r="V142" s="132">
        <f t="shared" si="44"/>
        <v>0</v>
      </c>
      <c r="W142" s="132">
        <f t="shared" si="44"/>
        <v>0</v>
      </c>
      <c r="X142" s="132">
        <f t="shared" si="44"/>
        <v>0</v>
      </c>
      <c r="Y142" s="132">
        <f t="shared" si="44"/>
        <v>0</v>
      </c>
      <c r="Z142" s="132">
        <f t="shared" si="44"/>
        <v>0</v>
      </c>
      <c r="AA142" s="132">
        <f t="shared" si="44"/>
        <v>0</v>
      </c>
      <c r="AB142" s="132">
        <f t="shared" si="44"/>
        <v>0</v>
      </c>
      <c r="AC142" s="132">
        <f t="shared" si="44"/>
        <v>0</v>
      </c>
      <c r="AD142" s="132">
        <f t="shared" si="44"/>
        <v>0</v>
      </c>
      <c r="AE142" s="132">
        <f t="shared" si="44"/>
        <v>0</v>
      </c>
      <c r="AF142" s="132">
        <f t="shared" si="44"/>
        <v>0</v>
      </c>
      <c r="AG142" s="132">
        <f t="shared" si="44"/>
        <v>0</v>
      </c>
      <c r="AH142" s="132">
        <f t="shared" si="44"/>
        <v>0</v>
      </c>
      <c r="AI142" s="132">
        <f t="shared" si="40"/>
        <v>0.65</v>
      </c>
    </row>
    <row r="143" spans="1:35" ht="14.4" outlineLevel="3">
      <c r="A143" s="322"/>
      <c r="B143" s="286"/>
      <c r="C143" s="323" t="s">
        <v>885</v>
      </c>
      <c r="D143" s="323" t="s">
        <v>826</v>
      </c>
      <c r="E143" s="324"/>
      <c r="F143" s="324"/>
      <c r="G143" s="324"/>
      <c r="H143" s="324"/>
      <c r="I143" s="324"/>
      <c r="J143" s="324"/>
      <c r="K143" s="324"/>
      <c r="L143" s="324"/>
      <c r="M143" s="324"/>
      <c r="N143" s="324"/>
      <c r="O143" s="324"/>
      <c r="P143" s="324"/>
      <c r="Q143" s="324"/>
      <c r="R143" s="324"/>
      <c r="S143" s="324"/>
      <c r="T143" s="324">
        <v>0.65</v>
      </c>
      <c r="U143" s="324"/>
      <c r="V143" s="324"/>
      <c r="W143" s="324"/>
      <c r="X143" s="324"/>
      <c r="Y143" s="324"/>
      <c r="Z143" s="324"/>
      <c r="AA143" s="324"/>
      <c r="AB143" s="324"/>
      <c r="AC143" s="324"/>
      <c r="AD143" s="324"/>
      <c r="AE143" s="324"/>
      <c r="AF143" s="324"/>
      <c r="AG143" s="324"/>
      <c r="AH143" s="324"/>
      <c r="AI143" s="324">
        <f t="shared" si="40"/>
        <v>0.65</v>
      </c>
    </row>
    <row r="144" spans="1:35" ht="14.4" outlineLevel="3">
      <c r="A144" s="322" t="s">
        <v>831</v>
      </c>
      <c r="B144" s="326" t="s">
        <v>855</v>
      </c>
      <c r="C144" s="327" t="s">
        <v>832</v>
      </c>
      <c r="D144" s="327" t="s">
        <v>826</v>
      </c>
      <c r="E144" s="132">
        <f>SUM(E145:E146)</f>
        <v>0</v>
      </c>
      <c r="F144" s="132">
        <f t="shared" ref="F144:AH144" si="45">SUM(F145:F146)</f>
        <v>0</v>
      </c>
      <c r="G144" s="132">
        <f t="shared" si="45"/>
        <v>0</v>
      </c>
      <c r="H144" s="132">
        <f t="shared" si="45"/>
        <v>0</v>
      </c>
      <c r="I144" s="132">
        <f t="shared" si="45"/>
        <v>0</v>
      </c>
      <c r="J144" s="132">
        <f t="shared" si="45"/>
        <v>0.65</v>
      </c>
      <c r="K144" s="134">
        <f t="shared" si="45"/>
        <v>0.65</v>
      </c>
      <c r="L144" s="134">
        <f t="shared" si="45"/>
        <v>0</v>
      </c>
      <c r="M144" s="134">
        <f t="shared" si="45"/>
        <v>0</v>
      </c>
      <c r="N144" s="134">
        <f t="shared" si="45"/>
        <v>0</v>
      </c>
      <c r="O144" s="134">
        <f t="shared" si="45"/>
        <v>0</v>
      </c>
      <c r="P144" s="134">
        <f t="shared" si="45"/>
        <v>0</v>
      </c>
      <c r="Q144" s="134">
        <f t="shared" si="45"/>
        <v>0</v>
      </c>
      <c r="R144" s="134">
        <f t="shared" si="45"/>
        <v>0</v>
      </c>
      <c r="S144" s="134">
        <f t="shared" si="45"/>
        <v>0</v>
      </c>
      <c r="T144" s="134">
        <f t="shared" si="45"/>
        <v>0</v>
      </c>
      <c r="U144" s="134">
        <f t="shared" si="45"/>
        <v>0</v>
      </c>
      <c r="V144" s="134">
        <f t="shared" si="45"/>
        <v>0</v>
      </c>
      <c r="W144" s="134">
        <f t="shared" si="45"/>
        <v>0</v>
      </c>
      <c r="X144" s="134">
        <f t="shared" si="45"/>
        <v>0</v>
      </c>
      <c r="Y144" s="134">
        <f t="shared" si="45"/>
        <v>0</v>
      </c>
      <c r="Z144" s="134">
        <f t="shared" si="45"/>
        <v>0</v>
      </c>
      <c r="AA144" s="134">
        <f t="shared" si="45"/>
        <v>0</v>
      </c>
      <c r="AB144" s="134">
        <f t="shared" si="45"/>
        <v>0</v>
      </c>
      <c r="AC144" s="134">
        <f t="shared" si="45"/>
        <v>0</v>
      </c>
      <c r="AD144" s="134">
        <f t="shared" si="45"/>
        <v>0</v>
      </c>
      <c r="AE144" s="134">
        <f t="shared" si="45"/>
        <v>0</v>
      </c>
      <c r="AF144" s="134">
        <f t="shared" si="45"/>
        <v>0</v>
      </c>
      <c r="AG144" s="134">
        <f t="shared" si="45"/>
        <v>0</v>
      </c>
      <c r="AH144" s="134">
        <f t="shared" si="45"/>
        <v>0</v>
      </c>
      <c r="AI144" s="134">
        <f t="shared" si="40"/>
        <v>1.3</v>
      </c>
    </row>
    <row r="145" spans="1:52" ht="14.4" outlineLevel="3">
      <c r="A145" s="322"/>
      <c r="B145" s="326"/>
      <c r="C145" s="327" t="s">
        <v>886</v>
      </c>
      <c r="D145" s="327" t="s">
        <v>826</v>
      </c>
      <c r="E145" s="324"/>
      <c r="F145" s="324"/>
      <c r="G145" s="324"/>
      <c r="H145" s="324"/>
      <c r="I145" s="324"/>
      <c r="J145" s="324"/>
      <c r="K145" s="328">
        <v>0.65</v>
      </c>
      <c r="L145" s="328"/>
      <c r="M145" s="328"/>
      <c r="N145" s="328"/>
      <c r="O145" s="328"/>
      <c r="P145" s="328"/>
      <c r="Q145" s="328"/>
      <c r="R145" s="328"/>
      <c r="S145" s="328"/>
      <c r="T145" s="328"/>
      <c r="U145" s="328"/>
      <c r="V145" s="328"/>
      <c r="W145" s="328"/>
      <c r="X145" s="328"/>
      <c r="Y145" s="328"/>
      <c r="Z145" s="328"/>
      <c r="AA145" s="328"/>
      <c r="AB145" s="328"/>
      <c r="AC145" s="328"/>
      <c r="AD145" s="328"/>
      <c r="AE145" s="328"/>
      <c r="AF145" s="328"/>
      <c r="AG145" s="328"/>
      <c r="AH145" s="328"/>
      <c r="AI145" s="328">
        <f t="shared" si="40"/>
        <v>0.65</v>
      </c>
    </row>
    <row r="146" spans="1:52" ht="14.4" outlineLevel="3">
      <c r="A146" s="322"/>
      <c r="B146" s="326"/>
      <c r="C146" s="327" t="s">
        <v>1014</v>
      </c>
      <c r="D146" s="327" t="s">
        <v>826</v>
      </c>
      <c r="E146" s="324"/>
      <c r="F146" s="324"/>
      <c r="G146" s="324"/>
      <c r="H146" s="324"/>
      <c r="I146" s="324"/>
      <c r="J146" s="324">
        <v>0.65</v>
      </c>
      <c r="K146" s="328"/>
      <c r="L146" s="328"/>
      <c r="M146" s="328"/>
      <c r="N146" s="328"/>
      <c r="O146" s="328"/>
      <c r="P146" s="328"/>
      <c r="Q146" s="328"/>
      <c r="R146" s="328"/>
      <c r="S146" s="328"/>
      <c r="T146" s="328"/>
      <c r="U146" s="328"/>
      <c r="V146" s="328"/>
      <c r="W146" s="328"/>
      <c r="X146" s="328"/>
      <c r="Y146" s="328"/>
      <c r="Z146" s="328"/>
      <c r="AA146" s="328"/>
      <c r="AB146" s="328"/>
      <c r="AC146" s="328"/>
      <c r="AD146" s="328"/>
      <c r="AE146" s="328"/>
      <c r="AF146" s="328"/>
      <c r="AG146" s="328"/>
      <c r="AH146" s="328"/>
      <c r="AI146" s="328">
        <f t="shared" si="40"/>
        <v>0.65</v>
      </c>
    </row>
    <row r="147" spans="1:52" ht="14.4" outlineLevel="3">
      <c r="A147" s="322" t="s">
        <v>831</v>
      </c>
      <c r="B147" s="326" t="s">
        <v>856</v>
      </c>
      <c r="C147" s="327" t="s">
        <v>833</v>
      </c>
      <c r="D147" s="327" t="s">
        <v>826</v>
      </c>
      <c r="E147" s="324">
        <v>0</v>
      </c>
      <c r="F147" s="324">
        <v>0</v>
      </c>
      <c r="G147" s="324">
        <v>0</v>
      </c>
      <c r="H147" s="324">
        <v>0</v>
      </c>
      <c r="I147" s="324">
        <v>0</v>
      </c>
      <c r="J147" s="324">
        <v>0</v>
      </c>
      <c r="K147" s="328">
        <v>0</v>
      </c>
      <c r="L147" s="328">
        <v>0</v>
      </c>
      <c r="M147" s="328">
        <v>0</v>
      </c>
      <c r="N147" s="328">
        <v>0</v>
      </c>
      <c r="O147" s="328">
        <v>0</v>
      </c>
      <c r="P147" s="328">
        <v>0</v>
      </c>
      <c r="Q147" s="328">
        <v>0</v>
      </c>
      <c r="R147" s="328">
        <v>0</v>
      </c>
      <c r="S147" s="328">
        <v>0</v>
      </c>
      <c r="T147" s="328">
        <v>0</v>
      </c>
      <c r="U147" s="328">
        <v>0</v>
      </c>
      <c r="V147" s="328">
        <v>0</v>
      </c>
      <c r="W147" s="328">
        <v>0</v>
      </c>
      <c r="X147" s="328">
        <v>0</v>
      </c>
      <c r="Y147" s="328">
        <v>0</v>
      </c>
      <c r="Z147" s="328">
        <v>0</v>
      </c>
      <c r="AA147" s="328">
        <v>0</v>
      </c>
      <c r="AB147" s="328">
        <v>0</v>
      </c>
      <c r="AC147" s="328">
        <v>0</v>
      </c>
      <c r="AD147" s="328">
        <v>0</v>
      </c>
      <c r="AE147" s="328">
        <v>0</v>
      </c>
      <c r="AF147" s="328">
        <v>0</v>
      </c>
      <c r="AG147" s="328">
        <v>0</v>
      </c>
      <c r="AH147" s="328">
        <v>0</v>
      </c>
      <c r="AI147" s="328">
        <f t="shared" si="40"/>
        <v>0</v>
      </c>
    </row>
    <row r="148" spans="1:52" ht="14.4" outlineLevel="3">
      <c r="A148" s="322" t="s">
        <v>831</v>
      </c>
      <c r="B148" s="326" t="s">
        <v>857</v>
      </c>
      <c r="C148" s="327" t="s">
        <v>1015</v>
      </c>
      <c r="D148" s="327" t="s">
        <v>826</v>
      </c>
      <c r="E148" s="324">
        <v>0</v>
      </c>
      <c r="F148" s="324">
        <v>0</v>
      </c>
      <c r="G148" s="324">
        <v>0</v>
      </c>
      <c r="H148" s="324">
        <v>0</v>
      </c>
      <c r="I148" s="324">
        <v>0</v>
      </c>
      <c r="J148" s="324">
        <v>0</v>
      </c>
      <c r="K148" s="328">
        <v>0</v>
      </c>
      <c r="L148" s="328">
        <v>0</v>
      </c>
      <c r="M148" s="328">
        <v>0</v>
      </c>
      <c r="N148" s="328">
        <v>0</v>
      </c>
      <c r="O148" s="328">
        <v>0</v>
      </c>
      <c r="P148" s="328">
        <v>0</v>
      </c>
      <c r="Q148" s="328">
        <v>0</v>
      </c>
      <c r="R148" s="328">
        <v>0</v>
      </c>
      <c r="S148" s="328">
        <v>0</v>
      </c>
      <c r="T148" s="328">
        <v>0</v>
      </c>
      <c r="U148" s="328">
        <v>0</v>
      </c>
      <c r="V148" s="328">
        <v>0</v>
      </c>
      <c r="W148" s="328">
        <v>0</v>
      </c>
      <c r="X148" s="328">
        <v>0</v>
      </c>
      <c r="Y148" s="328">
        <v>0</v>
      </c>
      <c r="Z148" s="328">
        <v>0</v>
      </c>
      <c r="AA148" s="328">
        <v>0</v>
      </c>
      <c r="AB148" s="328">
        <v>0</v>
      </c>
      <c r="AC148" s="328">
        <v>0</v>
      </c>
      <c r="AD148" s="328">
        <v>0</v>
      </c>
      <c r="AE148" s="328">
        <v>0</v>
      </c>
      <c r="AF148" s="328">
        <v>0</v>
      </c>
      <c r="AG148" s="328">
        <v>0</v>
      </c>
      <c r="AH148" s="328">
        <v>0</v>
      </c>
      <c r="AI148" s="328">
        <f t="shared" si="40"/>
        <v>0</v>
      </c>
    </row>
    <row r="149" spans="1:52" ht="14.4" outlineLevel="2">
      <c r="B149" s="10">
        <v>5</v>
      </c>
      <c r="C149" s="11" t="s">
        <v>887</v>
      </c>
      <c r="D149" s="11" t="s">
        <v>826</v>
      </c>
      <c r="E149" s="128">
        <f t="shared" ref="E149:AH149" si="46">E150+E151+E152+E153+E154+E155+E156+E157</f>
        <v>0</v>
      </c>
      <c r="F149" s="128">
        <f t="shared" si="46"/>
        <v>0</v>
      </c>
      <c r="G149" s="128">
        <f t="shared" si="46"/>
        <v>0</v>
      </c>
      <c r="H149" s="128">
        <f t="shared" si="46"/>
        <v>0</v>
      </c>
      <c r="I149" s="128">
        <f t="shared" si="46"/>
        <v>0</v>
      </c>
      <c r="J149" s="128">
        <f t="shared" si="46"/>
        <v>0</v>
      </c>
      <c r="K149" s="128">
        <f t="shared" si="46"/>
        <v>0</v>
      </c>
      <c r="L149" s="128">
        <f t="shared" si="46"/>
        <v>0</v>
      </c>
      <c r="M149" s="128">
        <f t="shared" si="46"/>
        <v>0</v>
      </c>
      <c r="N149" s="128">
        <f t="shared" si="46"/>
        <v>0</v>
      </c>
      <c r="O149" s="128">
        <f t="shared" si="46"/>
        <v>0</v>
      </c>
      <c r="P149" s="128">
        <f t="shared" si="46"/>
        <v>0</v>
      </c>
      <c r="Q149" s="128">
        <f t="shared" si="46"/>
        <v>0</v>
      </c>
      <c r="R149" s="128">
        <f t="shared" si="46"/>
        <v>0</v>
      </c>
      <c r="S149" s="128">
        <f t="shared" si="46"/>
        <v>0</v>
      </c>
      <c r="T149" s="128">
        <f t="shared" si="46"/>
        <v>0</v>
      </c>
      <c r="U149" s="128">
        <f t="shared" si="46"/>
        <v>0</v>
      </c>
      <c r="V149" s="128">
        <f t="shared" si="46"/>
        <v>0</v>
      </c>
      <c r="W149" s="128">
        <f t="shared" si="46"/>
        <v>0</v>
      </c>
      <c r="X149" s="128">
        <f t="shared" si="46"/>
        <v>0</v>
      </c>
      <c r="Y149" s="128">
        <f t="shared" si="46"/>
        <v>0</v>
      </c>
      <c r="Z149" s="128">
        <f t="shared" si="46"/>
        <v>0</v>
      </c>
      <c r="AA149" s="128">
        <f t="shared" si="46"/>
        <v>0</v>
      </c>
      <c r="AB149" s="128">
        <f t="shared" si="46"/>
        <v>0</v>
      </c>
      <c r="AC149" s="128">
        <f t="shared" si="46"/>
        <v>0</v>
      </c>
      <c r="AD149" s="128">
        <f t="shared" si="46"/>
        <v>0</v>
      </c>
      <c r="AE149" s="128">
        <f t="shared" si="46"/>
        <v>0</v>
      </c>
      <c r="AF149" s="128">
        <f t="shared" si="46"/>
        <v>0</v>
      </c>
      <c r="AG149" s="128">
        <f t="shared" si="46"/>
        <v>0</v>
      </c>
      <c r="AH149" s="128">
        <f t="shared" si="46"/>
        <v>0</v>
      </c>
      <c r="AI149" s="128">
        <f>AI150+AI151+AI152+AI153+AI154+AI155+AI156+AI157</f>
        <v>0</v>
      </c>
    </row>
    <row r="150" spans="1:52" ht="14.4" outlineLevel="3">
      <c r="A150" s="322"/>
      <c r="B150" s="286" t="s">
        <v>888</v>
      </c>
      <c r="C150" s="323" t="s">
        <v>825</v>
      </c>
      <c r="D150" s="323" t="s">
        <v>826</v>
      </c>
      <c r="E150" s="324"/>
      <c r="F150" s="324"/>
      <c r="G150" s="324"/>
      <c r="H150" s="324"/>
      <c r="I150" s="324"/>
      <c r="J150" s="324"/>
      <c r="K150" s="324"/>
      <c r="L150" s="324"/>
      <c r="M150" s="324"/>
      <c r="N150" s="324"/>
      <c r="O150" s="324"/>
      <c r="P150" s="324"/>
      <c r="Q150" s="324"/>
      <c r="R150" s="324"/>
      <c r="S150" s="324"/>
      <c r="T150" s="324"/>
      <c r="U150" s="324"/>
      <c r="V150" s="324"/>
      <c r="W150" s="324"/>
      <c r="X150" s="324"/>
      <c r="Y150" s="324"/>
      <c r="Z150" s="324"/>
      <c r="AA150" s="324"/>
      <c r="AB150" s="324"/>
      <c r="AC150" s="324"/>
      <c r="AD150" s="324"/>
      <c r="AE150" s="324"/>
      <c r="AF150" s="324"/>
      <c r="AG150" s="324"/>
      <c r="AH150" s="324"/>
      <c r="AI150" s="324">
        <f t="shared" ref="AI150:AI157" si="47">SUM(E150:AH150)</f>
        <v>0</v>
      </c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</row>
    <row r="151" spans="1:52" ht="14.4" outlineLevel="3">
      <c r="A151" s="322"/>
      <c r="B151" s="286" t="s">
        <v>889</v>
      </c>
      <c r="C151" s="323" t="s">
        <v>827</v>
      </c>
      <c r="D151" s="323" t="s">
        <v>826</v>
      </c>
      <c r="E151" s="133"/>
      <c r="F151" s="133"/>
      <c r="G151" s="133"/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3"/>
      <c r="AF151" s="133"/>
      <c r="AG151" s="133"/>
      <c r="AH151" s="133"/>
      <c r="AI151" s="133">
        <f t="shared" si="47"/>
        <v>0</v>
      </c>
    </row>
    <row r="152" spans="1:52" ht="14.4" outlineLevel="3">
      <c r="A152" s="322"/>
      <c r="B152" s="286" t="s">
        <v>890</v>
      </c>
      <c r="C152" s="323" t="s">
        <v>828</v>
      </c>
      <c r="D152" s="323" t="s">
        <v>826</v>
      </c>
      <c r="E152" s="132"/>
      <c r="F152" s="132"/>
      <c r="G152" s="132"/>
      <c r="H152" s="132"/>
      <c r="I152" s="132"/>
      <c r="J152" s="132"/>
      <c r="K152" s="132"/>
      <c r="L152" s="132"/>
      <c r="M152" s="132"/>
      <c r="N152" s="132"/>
      <c r="O152" s="132"/>
      <c r="P152" s="132"/>
      <c r="Q152" s="132"/>
      <c r="R152" s="132"/>
      <c r="S152" s="132"/>
      <c r="T152" s="132"/>
      <c r="U152" s="132"/>
      <c r="V152" s="132"/>
      <c r="W152" s="132"/>
      <c r="X152" s="132"/>
      <c r="Y152" s="132"/>
      <c r="Z152" s="132"/>
      <c r="AA152" s="132"/>
      <c r="AB152" s="132"/>
      <c r="AC152" s="132"/>
      <c r="AD152" s="132"/>
      <c r="AE152" s="132"/>
      <c r="AF152" s="132"/>
      <c r="AG152" s="132"/>
      <c r="AH152" s="132"/>
      <c r="AI152" s="132">
        <f t="shared" si="47"/>
        <v>0</v>
      </c>
    </row>
    <row r="153" spans="1:52" ht="14.4" outlineLevel="3">
      <c r="A153" s="322"/>
      <c r="B153" s="286" t="s">
        <v>891</v>
      </c>
      <c r="C153" s="323" t="s">
        <v>829</v>
      </c>
      <c r="D153" s="323" t="s">
        <v>826</v>
      </c>
      <c r="E153" s="324"/>
      <c r="F153" s="324"/>
      <c r="G153" s="324"/>
      <c r="H153" s="324"/>
      <c r="I153" s="324"/>
      <c r="J153" s="324"/>
      <c r="K153" s="324"/>
      <c r="L153" s="324"/>
      <c r="M153" s="324"/>
      <c r="N153" s="324"/>
      <c r="O153" s="324"/>
      <c r="P153" s="324"/>
      <c r="Q153" s="324"/>
      <c r="R153" s="324"/>
      <c r="S153" s="324"/>
      <c r="T153" s="324"/>
      <c r="U153" s="324"/>
      <c r="V153" s="324"/>
      <c r="W153" s="324"/>
      <c r="X153" s="324"/>
      <c r="Y153" s="324"/>
      <c r="Z153" s="324"/>
      <c r="AA153" s="324"/>
      <c r="AB153" s="324"/>
      <c r="AC153" s="324"/>
      <c r="AD153" s="324"/>
      <c r="AE153" s="324"/>
      <c r="AF153" s="324"/>
      <c r="AG153" s="324"/>
      <c r="AH153" s="324"/>
      <c r="AI153" s="324">
        <f t="shared" si="47"/>
        <v>0</v>
      </c>
    </row>
    <row r="154" spans="1:52" ht="14.4" outlineLevel="3">
      <c r="A154" s="322"/>
      <c r="B154" s="286" t="s">
        <v>892</v>
      </c>
      <c r="C154" s="323" t="s">
        <v>830</v>
      </c>
      <c r="D154" s="323" t="s">
        <v>826</v>
      </c>
      <c r="E154" s="324"/>
      <c r="F154" s="324"/>
      <c r="G154" s="324"/>
      <c r="H154" s="324"/>
      <c r="I154" s="324"/>
      <c r="J154" s="324"/>
      <c r="K154" s="324"/>
      <c r="L154" s="324"/>
      <c r="M154" s="324"/>
      <c r="N154" s="324"/>
      <c r="O154" s="324"/>
      <c r="P154" s="324"/>
      <c r="Q154" s="324"/>
      <c r="R154" s="324"/>
      <c r="S154" s="324"/>
      <c r="T154" s="324"/>
      <c r="U154" s="324"/>
      <c r="V154" s="324"/>
      <c r="W154" s="324"/>
      <c r="X154" s="324"/>
      <c r="Y154" s="324"/>
      <c r="Z154" s="324"/>
      <c r="AA154" s="324"/>
      <c r="AB154" s="324"/>
      <c r="AC154" s="324"/>
      <c r="AD154" s="324"/>
      <c r="AE154" s="324"/>
      <c r="AF154" s="324"/>
      <c r="AG154" s="324"/>
      <c r="AH154" s="324"/>
      <c r="AI154" s="324">
        <f t="shared" si="47"/>
        <v>0</v>
      </c>
    </row>
    <row r="155" spans="1:52" ht="14.4" outlineLevel="3">
      <c r="A155" s="322" t="s">
        <v>831</v>
      </c>
      <c r="B155" s="326" t="s">
        <v>893</v>
      </c>
      <c r="C155" s="327" t="s">
        <v>832</v>
      </c>
      <c r="D155" s="327" t="s">
        <v>826</v>
      </c>
      <c r="E155" s="324"/>
      <c r="F155" s="324"/>
      <c r="G155" s="324"/>
      <c r="H155" s="324"/>
      <c r="I155" s="324"/>
      <c r="J155" s="324"/>
      <c r="K155" s="328"/>
      <c r="L155" s="328"/>
      <c r="M155" s="328"/>
      <c r="N155" s="328"/>
      <c r="O155" s="328"/>
      <c r="P155" s="328"/>
      <c r="Q155" s="328"/>
      <c r="R155" s="328"/>
      <c r="S155" s="328"/>
      <c r="T155" s="328"/>
      <c r="U155" s="328"/>
      <c r="V155" s="328"/>
      <c r="W155" s="328"/>
      <c r="X155" s="328"/>
      <c r="Y155" s="328"/>
      <c r="Z155" s="328"/>
      <c r="AA155" s="328"/>
      <c r="AB155" s="328"/>
      <c r="AC155" s="328"/>
      <c r="AD155" s="328"/>
      <c r="AE155" s="328"/>
      <c r="AF155" s="328"/>
      <c r="AG155" s="328"/>
      <c r="AH155" s="328"/>
      <c r="AI155" s="328">
        <f t="shared" si="47"/>
        <v>0</v>
      </c>
    </row>
    <row r="156" spans="1:52" ht="14.4" outlineLevel="3">
      <c r="A156" s="322" t="s">
        <v>831</v>
      </c>
      <c r="B156" s="326" t="s">
        <v>894</v>
      </c>
      <c r="C156" s="327" t="s">
        <v>833</v>
      </c>
      <c r="D156" s="327" t="s">
        <v>826</v>
      </c>
      <c r="E156" s="324"/>
      <c r="F156" s="324"/>
      <c r="G156" s="324"/>
      <c r="H156" s="324"/>
      <c r="I156" s="324"/>
      <c r="J156" s="324"/>
      <c r="K156" s="328"/>
      <c r="L156" s="328"/>
      <c r="M156" s="328"/>
      <c r="N156" s="328"/>
      <c r="O156" s="328"/>
      <c r="P156" s="328"/>
      <c r="Q156" s="328"/>
      <c r="R156" s="328"/>
      <c r="S156" s="328"/>
      <c r="T156" s="328"/>
      <c r="U156" s="328"/>
      <c r="V156" s="328"/>
      <c r="W156" s="328"/>
      <c r="X156" s="328"/>
      <c r="Y156" s="328"/>
      <c r="Z156" s="328"/>
      <c r="AA156" s="328"/>
      <c r="AB156" s="328"/>
      <c r="AC156" s="328"/>
      <c r="AD156" s="328"/>
      <c r="AE156" s="328"/>
      <c r="AF156" s="328"/>
      <c r="AG156" s="328"/>
      <c r="AH156" s="328"/>
      <c r="AI156" s="328">
        <f t="shared" si="47"/>
        <v>0</v>
      </c>
    </row>
    <row r="157" spans="1:52" ht="14.4" outlineLevel="3">
      <c r="A157" s="322" t="s">
        <v>831</v>
      </c>
      <c r="B157" s="326" t="s">
        <v>895</v>
      </c>
      <c r="C157" s="327" t="s">
        <v>1015</v>
      </c>
      <c r="D157" s="327" t="s">
        <v>826</v>
      </c>
      <c r="E157" s="324"/>
      <c r="F157" s="324"/>
      <c r="G157" s="324"/>
      <c r="H157" s="324"/>
      <c r="I157" s="324"/>
      <c r="J157" s="324"/>
      <c r="K157" s="328"/>
      <c r="L157" s="328"/>
      <c r="M157" s="328"/>
      <c r="N157" s="328"/>
      <c r="O157" s="328"/>
      <c r="P157" s="328"/>
      <c r="Q157" s="328"/>
      <c r="R157" s="328"/>
      <c r="S157" s="328"/>
      <c r="T157" s="328"/>
      <c r="U157" s="328"/>
      <c r="V157" s="328"/>
      <c r="W157" s="328"/>
      <c r="X157" s="328"/>
      <c r="Y157" s="328"/>
      <c r="Z157" s="328"/>
      <c r="AA157" s="328"/>
      <c r="AB157" s="328"/>
      <c r="AC157" s="328"/>
      <c r="AD157" s="328"/>
      <c r="AE157" s="328"/>
      <c r="AF157" s="328"/>
      <c r="AG157" s="328"/>
      <c r="AH157" s="328"/>
      <c r="AI157" s="328">
        <f t="shared" si="47"/>
        <v>0</v>
      </c>
    </row>
    <row r="158" spans="1:52" ht="14.4" outlineLevel="2">
      <c r="B158" s="10">
        <v>6</v>
      </c>
      <c r="C158" s="11" t="s">
        <v>896</v>
      </c>
      <c r="D158" s="11" t="s">
        <v>826</v>
      </c>
      <c r="E158" s="128">
        <f>E159+E160+E161+E162+E163+E164+E165+E166</f>
        <v>0</v>
      </c>
      <c r="F158" s="128">
        <f t="shared" ref="F158:AI158" si="48">F159+F160+F161+F162+F163+F164+F165+F166</f>
        <v>0</v>
      </c>
      <c r="G158" s="128">
        <f t="shared" si="48"/>
        <v>0</v>
      </c>
      <c r="H158" s="128">
        <f t="shared" si="48"/>
        <v>0</v>
      </c>
      <c r="I158" s="128">
        <f t="shared" si="48"/>
        <v>0</v>
      </c>
      <c r="J158" s="128">
        <f t="shared" si="48"/>
        <v>0</v>
      </c>
      <c r="K158" s="128">
        <f t="shared" si="48"/>
        <v>0</v>
      </c>
      <c r="L158" s="128">
        <f t="shared" si="48"/>
        <v>0</v>
      </c>
      <c r="M158" s="128">
        <f t="shared" si="48"/>
        <v>0</v>
      </c>
      <c r="N158" s="128">
        <f t="shared" si="48"/>
        <v>0</v>
      </c>
      <c r="O158" s="128">
        <f t="shared" si="48"/>
        <v>0</v>
      </c>
      <c r="P158" s="128">
        <f t="shared" si="48"/>
        <v>0</v>
      </c>
      <c r="Q158" s="128">
        <f t="shared" si="48"/>
        <v>0</v>
      </c>
      <c r="R158" s="128">
        <f t="shared" si="48"/>
        <v>0</v>
      </c>
      <c r="S158" s="128">
        <f t="shared" si="48"/>
        <v>0</v>
      </c>
      <c r="T158" s="128">
        <f t="shared" si="48"/>
        <v>0</v>
      </c>
      <c r="U158" s="128">
        <f t="shared" si="48"/>
        <v>0</v>
      </c>
      <c r="V158" s="128">
        <f t="shared" si="48"/>
        <v>0</v>
      </c>
      <c r="W158" s="128">
        <f t="shared" si="48"/>
        <v>0</v>
      </c>
      <c r="X158" s="128">
        <f t="shared" si="48"/>
        <v>0</v>
      </c>
      <c r="Y158" s="128">
        <f t="shared" si="48"/>
        <v>0</v>
      </c>
      <c r="Z158" s="128">
        <f t="shared" si="48"/>
        <v>0</v>
      </c>
      <c r="AA158" s="128">
        <f t="shared" si="48"/>
        <v>0</v>
      </c>
      <c r="AB158" s="128">
        <f t="shared" si="48"/>
        <v>0</v>
      </c>
      <c r="AC158" s="128">
        <f t="shared" si="48"/>
        <v>0</v>
      </c>
      <c r="AD158" s="128">
        <f t="shared" si="48"/>
        <v>0</v>
      </c>
      <c r="AE158" s="128">
        <f t="shared" si="48"/>
        <v>0</v>
      </c>
      <c r="AF158" s="128">
        <f t="shared" si="48"/>
        <v>0</v>
      </c>
      <c r="AG158" s="128">
        <f t="shared" si="48"/>
        <v>0</v>
      </c>
      <c r="AH158" s="128">
        <f t="shared" si="48"/>
        <v>0</v>
      </c>
      <c r="AI158" s="128">
        <f t="shared" si="48"/>
        <v>0</v>
      </c>
    </row>
    <row r="159" spans="1:52" ht="14.4" outlineLevel="3">
      <c r="A159" s="322"/>
      <c r="B159" s="286" t="s">
        <v>897</v>
      </c>
      <c r="C159" s="323" t="s">
        <v>825</v>
      </c>
      <c r="D159" s="323" t="s">
        <v>826</v>
      </c>
      <c r="E159" s="329"/>
      <c r="F159" s="329"/>
      <c r="G159" s="329"/>
      <c r="H159" s="329"/>
      <c r="I159" s="329"/>
      <c r="J159" s="329"/>
      <c r="K159" s="329"/>
      <c r="L159" s="329"/>
      <c r="M159" s="329"/>
      <c r="N159" s="329"/>
      <c r="O159" s="329"/>
      <c r="P159" s="329"/>
      <c r="Q159" s="329"/>
      <c r="R159" s="329"/>
      <c r="S159" s="329"/>
      <c r="T159" s="329"/>
      <c r="U159" s="329"/>
      <c r="V159" s="329"/>
      <c r="W159" s="329"/>
      <c r="X159" s="329"/>
      <c r="Y159" s="329"/>
      <c r="Z159" s="329"/>
      <c r="AA159" s="329"/>
      <c r="AB159" s="329"/>
      <c r="AC159" s="329"/>
      <c r="AD159" s="329"/>
      <c r="AE159" s="329"/>
      <c r="AF159" s="329"/>
      <c r="AG159" s="329"/>
      <c r="AH159" s="329"/>
      <c r="AI159" s="324">
        <f t="shared" ref="AI159:AI166" si="49">SUM(E159:AH159)</f>
        <v>0</v>
      </c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</row>
    <row r="160" spans="1:52" ht="14.4" outlineLevel="3">
      <c r="A160" s="322"/>
      <c r="B160" s="286" t="s">
        <v>208</v>
      </c>
      <c r="C160" s="323" t="s">
        <v>827</v>
      </c>
      <c r="D160" s="323" t="s">
        <v>826</v>
      </c>
      <c r="E160" s="139"/>
      <c r="F160" s="139"/>
      <c r="G160" s="139"/>
      <c r="H160" s="139"/>
      <c r="I160" s="139"/>
      <c r="J160" s="139"/>
      <c r="K160" s="139"/>
      <c r="L160" s="139"/>
      <c r="M160" s="139"/>
      <c r="N160" s="139"/>
      <c r="O160" s="139"/>
      <c r="P160" s="139"/>
      <c r="Q160" s="139"/>
      <c r="R160" s="139"/>
      <c r="S160" s="139"/>
      <c r="T160" s="139"/>
      <c r="U160" s="139"/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/>
      <c r="AF160" s="139"/>
      <c r="AG160" s="139"/>
      <c r="AH160" s="139"/>
      <c r="AI160" s="133">
        <f t="shared" si="49"/>
        <v>0</v>
      </c>
    </row>
    <row r="161" spans="1:52" ht="14.4" outlineLevel="3">
      <c r="A161" s="322"/>
      <c r="B161" s="286" t="s">
        <v>898</v>
      </c>
      <c r="C161" s="323" t="s">
        <v>828</v>
      </c>
      <c r="D161" s="323" t="s">
        <v>826</v>
      </c>
      <c r="E161" s="139"/>
      <c r="F161" s="139"/>
      <c r="G161" s="139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/>
      <c r="AF161" s="139"/>
      <c r="AG161" s="139"/>
      <c r="AH161" s="139"/>
      <c r="AI161" s="133">
        <f t="shared" si="49"/>
        <v>0</v>
      </c>
    </row>
    <row r="162" spans="1:52" ht="14.4" outlineLevel="3">
      <c r="A162" s="322"/>
      <c r="B162" s="286" t="s">
        <v>899</v>
      </c>
      <c r="C162" s="323" t="s">
        <v>829</v>
      </c>
      <c r="D162" s="323" t="s">
        <v>826</v>
      </c>
      <c r="E162" s="139"/>
      <c r="F162" s="139"/>
      <c r="G162" s="139"/>
      <c r="H162" s="139"/>
      <c r="I162" s="139"/>
      <c r="J162" s="139"/>
      <c r="K162" s="139"/>
      <c r="L162" s="139"/>
      <c r="M162" s="139"/>
      <c r="N162" s="139"/>
      <c r="O162" s="139"/>
      <c r="P162" s="139"/>
      <c r="Q162" s="139"/>
      <c r="R162" s="139"/>
      <c r="S162" s="139"/>
      <c r="T162" s="139"/>
      <c r="U162" s="139"/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/>
      <c r="AF162" s="139"/>
      <c r="AG162" s="139"/>
      <c r="AH162" s="139"/>
      <c r="AI162" s="133">
        <f t="shared" si="49"/>
        <v>0</v>
      </c>
    </row>
    <row r="163" spans="1:52" ht="14.4" outlineLevel="3">
      <c r="A163" s="322"/>
      <c r="B163" s="286" t="s">
        <v>900</v>
      </c>
      <c r="C163" s="323" t="s">
        <v>830</v>
      </c>
      <c r="D163" s="323" t="s">
        <v>826</v>
      </c>
      <c r="E163" s="139"/>
      <c r="F163" s="139"/>
      <c r="G163" s="139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/>
      <c r="AF163" s="139"/>
      <c r="AG163" s="139"/>
      <c r="AH163" s="139"/>
      <c r="AI163" s="133">
        <f t="shared" si="49"/>
        <v>0</v>
      </c>
    </row>
    <row r="164" spans="1:52" ht="14.4" outlineLevel="3">
      <c r="A164" s="322"/>
      <c r="B164" s="286" t="s">
        <v>901</v>
      </c>
      <c r="C164" s="323" t="s">
        <v>832</v>
      </c>
      <c r="D164" s="323" t="s">
        <v>826</v>
      </c>
      <c r="E164" s="139"/>
      <c r="F164" s="139"/>
      <c r="G164" s="139"/>
      <c r="H164" s="139"/>
      <c r="I164" s="139"/>
      <c r="J164" s="139"/>
      <c r="K164" s="139"/>
      <c r="L164" s="139"/>
      <c r="M164" s="139"/>
      <c r="N164" s="139"/>
      <c r="O164" s="139"/>
      <c r="P164" s="139"/>
      <c r="Q164" s="139"/>
      <c r="R164" s="139"/>
      <c r="S164" s="139"/>
      <c r="T164" s="139"/>
      <c r="U164" s="139"/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/>
      <c r="AF164" s="139"/>
      <c r="AG164" s="139"/>
      <c r="AH164" s="139"/>
      <c r="AI164" s="133">
        <f t="shared" si="49"/>
        <v>0</v>
      </c>
    </row>
    <row r="165" spans="1:52" ht="14.4" outlineLevel="3">
      <c r="A165" s="322"/>
      <c r="B165" s="286" t="s">
        <v>902</v>
      </c>
      <c r="C165" s="323" t="s">
        <v>833</v>
      </c>
      <c r="D165" s="323" t="s">
        <v>826</v>
      </c>
      <c r="E165" s="139"/>
      <c r="F165" s="139"/>
      <c r="G165" s="139"/>
      <c r="H165" s="139"/>
      <c r="I165" s="139"/>
      <c r="J165" s="139"/>
      <c r="K165" s="139"/>
      <c r="L165" s="139"/>
      <c r="M165" s="139"/>
      <c r="N165" s="139"/>
      <c r="O165" s="139"/>
      <c r="P165" s="139"/>
      <c r="Q165" s="139"/>
      <c r="R165" s="139"/>
      <c r="S165" s="139"/>
      <c r="T165" s="139"/>
      <c r="U165" s="139"/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/>
      <c r="AF165" s="139"/>
      <c r="AG165" s="139"/>
      <c r="AH165" s="139"/>
      <c r="AI165" s="133">
        <f t="shared" si="49"/>
        <v>0</v>
      </c>
    </row>
    <row r="166" spans="1:52" ht="14.4" outlineLevel="3">
      <c r="A166" s="322"/>
      <c r="B166" s="286" t="s">
        <v>903</v>
      </c>
      <c r="C166" s="323" t="s">
        <v>1015</v>
      </c>
      <c r="D166" s="323" t="s">
        <v>826</v>
      </c>
      <c r="E166" s="139"/>
      <c r="F166" s="139"/>
      <c r="G166" s="139"/>
      <c r="H166" s="139"/>
      <c r="I166" s="139"/>
      <c r="J166" s="139"/>
      <c r="K166" s="139"/>
      <c r="L166" s="139"/>
      <c r="M166" s="139"/>
      <c r="N166" s="139"/>
      <c r="O166" s="139"/>
      <c r="P166" s="139"/>
      <c r="Q166" s="139"/>
      <c r="R166" s="139"/>
      <c r="S166" s="139"/>
      <c r="T166" s="139"/>
      <c r="U166" s="139"/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/>
      <c r="AF166" s="139"/>
      <c r="AG166" s="139"/>
      <c r="AH166" s="139"/>
      <c r="AI166" s="133">
        <f t="shared" si="49"/>
        <v>0</v>
      </c>
    </row>
    <row r="167" spans="1:52" ht="14.4" outlineLevel="1">
      <c r="B167" s="403" t="s">
        <v>904</v>
      </c>
      <c r="C167" s="404"/>
      <c r="D167" s="6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  <c r="AA167" s="126"/>
      <c r="AB167" s="126"/>
      <c r="AC167" s="126"/>
      <c r="AD167" s="126"/>
      <c r="AE167" s="126"/>
      <c r="AF167" s="126"/>
      <c r="AG167" s="126"/>
      <c r="AH167" s="126"/>
      <c r="AI167" s="127" t="s">
        <v>821</v>
      </c>
    </row>
    <row r="168" spans="1:52" ht="14.4" outlineLevel="2">
      <c r="B168" s="10">
        <v>1</v>
      </c>
      <c r="C168" s="11" t="s">
        <v>905</v>
      </c>
      <c r="D168" s="11" t="s">
        <v>826</v>
      </c>
      <c r="E168" s="128">
        <f t="shared" ref="E168:AI168" si="50">SUM(E169:E176)</f>
        <v>459.99999999999994</v>
      </c>
      <c r="F168" s="128">
        <f t="shared" si="50"/>
        <v>459.99999999999994</v>
      </c>
      <c r="G168" s="128">
        <f t="shared" si="50"/>
        <v>459.99999999999994</v>
      </c>
      <c r="H168" s="128">
        <f t="shared" si="50"/>
        <v>459.99999999999994</v>
      </c>
      <c r="I168" s="128">
        <f t="shared" si="50"/>
        <v>459.99999999999994</v>
      </c>
      <c r="J168" s="128">
        <f t="shared" si="50"/>
        <v>461.2999999999999</v>
      </c>
      <c r="K168" s="128">
        <f t="shared" si="50"/>
        <v>447.15</v>
      </c>
      <c r="L168" s="128">
        <f t="shared" si="50"/>
        <v>447.79999999999995</v>
      </c>
      <c r="M168" s="128">
        <f t="shared" si="50"/>
        <v>447.79999999999995</v>
      </c>
      <c r="N168" s="128">
        <f t="shared" si="50"/>
        <v>449.1</v>
      </c>
      <c r="O168" s="128">
        <f t="shared" si="50"/>
        <v>449.75</v>
      </c>
      <c r="P168" s="128">
        <f t="shared" si="50"/>
        <v>450.4</v>
      </c>
      <c r="Q168" s="128">
        <f t="shared" si="50"/>
        <v>451.70000000000005</v>
      </c>
      <c r="R168" s="128">
        <f t="shared" si="50"/>
        <v>452.35</v>
      </c>
      <c r="S168" s="128">
        <f t="shared" si="50"/>
        <v>452.35</v>
      </c>
      <c r="T168" s="128">
        <f t="shared" si="50"/>
        <v>453</v>
      </c>
      <c r="U168" s="128">
        <f t="shared" si="50"/>
        <v>453</v>
      </c>
      <c r="V168" s="128">
        <f t="shared" si="50"/>
        <v>453</v>
      </c>
      <c r="W168" s="128">
        <f t="shared" si="50"/>
        <v>453</v>
      </c>
      <c r="X168" s="128">
        <f t="shared" si="50"/>
        <v>453</v>
      </c>
      <c r="Y168" s="128">
        <f t="shared" si="50"/>
        <v>453</v>
      </c>
      <c r="Z168" s="128">
        <f t="shared" si="50"/>
        <v>453</v>
      </c>
      <c r="AA168" s="128">
        <f t="shared" si="50"/>
        <v>453</v>
      </c>
      <c r="AB168" s="128">
        <f t="shared" si="50"/>
        <v>453</v>
      </c>
      <c r="AC168" s="128">
        <f t="shared" si="50"/>
        <v>453</v>
      </c>
      <c r="AD168" s="128">
        <f t="shared" si="50"/>
        <v>453</v>
      </c>
      <c r="AE168" s="128">
        <f t="shared" si="50"/>
        <v>453</v>
      </c>
      <c r="AF168" s="128">
        <f t="shared" si="50"/>
        <v>453</v>
      </c>
      <c r="AG168" s="128">
        <f t="shared" si="50"/>
        <v>453</v>
      </c>
      <c r="AH168" s="128">
        <f t="shared" si="50"/>
        <v>453</v>
      </c>
      <c r="AI168" s="128">
        <f t="shared" si="50"/>
        <v>13604.699999999995</v>
      </c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</row>
    <row r="169" spans="1:52" ht="14.4" outlineLevel="3">
      <c r="A169" s="322"/>
      <c r="B169" s="286" t="s">
        <v>824</v>
      </c>
      <c r="C169" s="323" t="s">
        <v>825</v>
      </c>
      <c r="D169" s="323" t="s">
        <v>826</v>
      </c>
      <c r="E169" s="324">
        <f>E22+E32+SUM($E111:E111)+SUM($E120:E120)+SUM($E150:E150)*0.085+SUM($E159:E159)</f>
        <v>33</v>
      </c>
      <c r="F169" s="324">
        <f>F22+F32+SUM($E111:F111)+SUM($E120:F120)+SUM($E150:F150)*0.085+SUM($E159:F159)</f>
        <v>33</v>
      </c>
      <c r="G169" s="324">
        <f>G22+G32+SUM($E111:G111)+SUM($E120:G120)+SUM($E150:G150)*0.085+SUM($E159:G159)</f>
        <v>33</v>
      </c>
      <c r="H169" s="324">
        <f>H22+H32+SUM($E111:H111)+SUM($E120:H120)+SUM($E150:H150)*0.085+SUM($E159:H159)</f>
        <v>33</v>
      </c>
      <c r="I169" s="324">
        <f>I22+I32+SUM($E111:I111)+SUM($E120:I120)+SUM($E150:I150)*0.085+SUM($E159:I159)</f>
        <v>33</v>
      </c>
      <c r="J169" s="324">
        <f>J22+J32+SUM($E111:J111)+SUM($E120:J120)+SUM($E150:J150)*0.085+SUM($E159:J159)</f>
        <v>33</v>
      </c>
      <c r="K169" s="324">
        <f>K22+K32+SUM($E111:K111)+SUM($E120:K120)+SUM($E150:K150)*0.085+SUM($E159:K159)</f>
        <v>33</v>
      </c>
      <c r="L169" s="324">
        <f>L22+L32+SUM($E111:L111)+SUM($E120:L120)+SUM($E150:L150)*0.085+SUM($E159:L159)</f>
        <v>33.65</v>
      </c>
      <c r="M169" s="324">
        <f>M22+M32+SUM($E111:M111)+SUM($E120:M120)+SUM($E150:M150)*0.085+SUM($E159:M159)</f>
        <v>33.65</v>
      </c>
      <c r="N169" s="324">
        <f>N22+N32+SUM($E111:N111)+SUM($E120:N120)+SUM($E150:N150)*0.085+SUM($E159:N159)</f>
        <v>33.65</v>
      </c>
      <c r="O169" s="324">
        <f>O22+O32+SUM($E111:O111)+SUM($E120:O120)+SUM($E150:O150)*0.085+SUM($E159:O159)</f>
        <v>33.65</v>
      </c>
      <c r="P169" s="324">
        <f>P22+P32+SUM($E111:P111)+SUM($E120:P120)+SUM($E150:P150)*0.085+SUM($E159:P159)</f>
        <v>33.65</v>
      </c>
      <c r="Q169" s="324">
        <f>Q22+Q32+SUM($E111:Q111)+SUM($E120:Q120)+SUM($E150:Q150)*0.085+SUM($E159:Q159)</f>
        <v>33.65</v>
      </c>
      <c r="R169" s="324">
        <f>R22+R32+SUM($E111:R111)+SUM($E120:R120)+SUM($E150:R150)*0.085+SUM($E159:R159)</f>
        <v>33.65</v>
      </c>
      <c r="S169" s="324">
        <f>S22+S32+SUM($E111:S111)+SUM($E120:S120)+SUM($E150:S150)*0.085+SUM($E159:S159)</f>
        <v>33.65</v>
      </c>
      <c r="T169" s="324">
        <f>T22+T32+SUM($E111:T111)+SUM($E120:T120)+SUM($E150:T150)*0.085+SUM($E159:T159)</f>
        <v>33.65</v>
      </c>
      <c r="U169" s="324">
        <f>U22+U32+SUM($E111:U111)+SUM($E120:U120)+SUM($E150:U150)*0.085+SUM($E159:U159)</f>
        <v>33.65</v>
      </c>
      <c r="V169" s="324">
        <f>V22+V32+SUM($E111:V111)+SUM($E120:V120)+SUM($E150:V150)*0.085+SUM($E159:V159)</f>
        <v>33.65</v>
      </c>
      <c r="W169" s="324">
        <f>W22+W32+SUM($E111:W111)+SUM($E120:W120)+SUM($E150:W150)*0.085+SUM($E159:W159)</f>
        <v>33.65</v>
      </c>
      <c r="X169" s="324">
        <f>X22+X32+SUM($E111:X111)+SUM($E120:X120)+SUM($E150:X150)*0.085+SUM($E159:X159)</f>
        <v>33.65</v>
      </c>
      <c r="Y169" s="324">
        <f>Y22+Y32+SUM($E111:Y111)+SUM($E120:Y120)+SUM($E150:Y150)*0.085+SUM($E159:Y159)</f>
        <v>33.65</v>
      </c>
      <c r="Z169" s="324">
        <f>Z22+Z32+SUM($E111:Z111)+SUM($E120:Z120)+SUM($E150:Z150)*0.085+SUM($E159:Z159)</f>
        <v>33.65</v>
      </c>
      <c r="AA169" s="324">
        <f>AA22+AA32+SUM($E111:AA111)+SUM($E120:AA120)+SUM($E150:AA150)*0.085+SUM($E159:AA159)</f>
        <v>33.65</v>
      </c>
      <c r="AB169" s="324">
        <f>AB22+AB32+SUM($E111:AB111)+SUM($E120:AB120)+SUM($E150:AB150)*0.085+SUM($E159:AB159)</f>
        <v>33.65</v>
      </c>
      <c r="AC169" s="324">
        <f>AC22+AC32+SUM($E111:AC111)+SUM($E120:AC120)+SUM($E150:AC150)*0.085+SUM($E159:AC159)</f>
        <v>33.65</v>
      </c>
      <c r="AD169" s="324">
        <f>AD22+AD32+SUM($E111:AD111)+SUM($E120:AD120)+SUM($E150:AD150)*0.085+SUM($E159:AD159)</f>
        <v>33.65</v>
      </c>
      <c r="AE169" s="324">
        <f>AE22+AE32+SUM($E111:AE111)+SUM($E120:AE120)+SUM($E150:AE150)*0.085+SUM($E159:AE159)</f>
        <v>33.65</v>
      </c>
      <c r="AF169" s="324">
        <f>AF22+AF32+SUM($E111:AF111)+SUM($E120:AF120)+SUM($E150:AF150)*0.085+SUM($E159:AF159)</f>
        <v>33.65</v>
      </c>
      <c r="AG169" s="324">
        <f>AG22+AG32+SUM($E111:AG111)+SUM($E120:AG120)+SUM($E150:AG150)*0.085+SUM($E159:AG159)</f>
        <v>33.65</v>
      </c>
      <c r="AH169" s="324">
        <f>AH22+AH32+SUM($E111:AH111)+SUM($E120:AH120)+SUM($E150:AH150)*0.085+SUM($E159:AH159)</f>
        <v>33.65</v>
      </c>
      <c r="AI169" s="324">
        <f t="shared" ref="AI169:AI176" si="51">SUM(E169:AH169)</f>
        <v>1004.9499999999995</v>
      </c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</row>
    <row r="170" spans="1:52" ht="14.4" outlineLevel="3">
      <c r="A170" s="322"/>
      <c r="B170" s="286" t="s">
        <v>74</v>
      </c>
      <c r="C170" s="323" t="s">
        <v>827</v>
      </c>
      <c r="D170" s="323" t="s">
        <v>826</v>
      </c>
      <c r="E170" s="324">
        <f>E23+E33+SUM($E112:E112)+SUM($E122:E122)+SUM($E151:E151)*0.085+SUM($E160:E160)</f>
        <v>206.4</v>
      </c>
      <c r="F170" s="324">
        <f>F23+F33+SUM($E112:F112)+SUM($E122:F122)+SUM($E151:F151)*0.085+SUM($E160:F160)</f>
        <v>206.4</v>
      </c>
      <c r="G170" s="324">
        <f>G23+G33+SUM($E112:G112)+SUM($E122:G122)+SUM($E151:G151)*0.085+SUM($E160:G160)</f>
        <v>206.4</v>
      </c>
      <c r="H170" s="324">
        <f>H23+H33+SUM($E112:H112)+SUM($E122:H122)+SUM($E151:H151)*0.085+SUM($E160:H160)</f>
        <v>206.4</v>
      </c>
      <c r="I170" s="324">
        <f>I23+I33+SUM($E112:I112)+SUM($E122:I122)+SUM($E151:I151)*0.085+SUM($E160:I160)</f>
        <v>206.4</v>
      </c>
      <c r="J170" s="324">
        <f>J23+J33+SUM($E112:J112)+SUM($E122:J122)+SUM($E151:J151)*0.085+SUM($E160:J160)</f>
        <v>206.4</v>
      </c>
      <c r="K170" s="324">
        <f>K23+K33+SUM($E112:K112)+SUM($E122:K122)+SUM($E151:K151)*0.085+SUM($E160:K160)</f>
        <v>206.4</v>
      </c>
      <c r="L170" s="324">
        <f>L23+L33+SUM($E112:L112)+SUM($E122:L122)+SUM($E151:L151)*0.085+SUM($E160:L160)</f>
        <v>206.4</v>
      </c>
      <c r="M170" s="324">
        <f>M23+M33+SUM($E112:M112)+SUM($E122:M122)+SUM($E151:M151)*0.085+SUM($E160:M160)</f>
        <v>206.4</v>
      </c>
      <c r="N170" s="324">
        <f>N23+N33+SUM($E112:N112)+SUM($E122:N122)+SUM($E151:N151)*0.085+SUM($E160:N160)</f>
        <v>207.05</v>
      </c>
      <c r="O170" s="324">
        <f>O23+O33+SUM($E112:O112)+SUM($E122:O122)+SUM($E151:O151)*0.085+SUM($E160:O160)</f>
        <v>207.70000000000002</v>
      </c>
      <c r="P170" s="324">
        <f>P23+P33+SUM($E112:P112)+SUM($E122:P122)+SUM($E151:P151)*0.085+SUM($E160:P160)</f>
        <v>208.35</v>
      </c>
      <c r="Q170" s="324">
        <f>Q23+Q33+SUM($E112:Q112)+SUM($E122:Q122)+SUM($E151:Q151)*0.085+SUM($E160:Q160)</f>
        <v>209.65</v>
      </c>
      <c r="R170" s="324">
        <f>R23+R33+SUM($E112:R112)+SUM($E122:R122)+SUM($E151:R151)*0.085+SUM($E160:R160)</f>
        <v>209.65</v>
      </c>
      <c r="S170" s="324">
        <f>S23+S33+SUM($E112:S112)+SUM($E122:S122)+SUM($E151:S151)*0.085+SUM($E160:S160)</f>
        <v>209.65</v>
      </c>
      <c r="T170" s="324">
        <f>T23+T33+SUM($E112:T112)+SUM($E122:T122)+SUM($E151:T151)*0.085+SUM($E160:T160)</f>
        <v>209.65</v>
      </c>
      <c r="U170" s="324">
        <f>U23+U33+SUM($E112:U112)+SUM($E122:U122)+SUM($E151:U151)*0.085+SUM($E160:U160)</f>
        <v>209.65</v>
      </c>
      <c r="V170" s="324">
        <f>V23+V33+SUM($E112:V112)+SUM($E122:V122)+SUM($E151:V151)*0.085+SUM($E160:V160)</f>
        <v>209.65</v>
      </c>
      <c r="W170" s="324">
        <f>W23+W33+SUM($E112:W112)+SUM($E122:W122)+SUM($E151:W151)*0.085+SUM($E160:W160)</f>
        <v>209.65</v>
      </c>
      <c r="X170" s="324">
        <f>X23+X33+SUM($E112:X112)+SUM($E122:X122)+SUM($E151:X151)*0.085+SUM($E160:X160)</f>
        <v>209.65</v>
      </c>
      <c r="Y170" s="324">
        <f>Y23+Y33+SUM($E112:Y112)+SUM($E122:Y122)+SUM($E151:Y151)*0.085+SUM($E160:Y160)</f>
        <v>209.65</v>
      </c>
      <c r="Z170" s="324">
        <f>Z23+Z33+SUM($E112:Z112)+SUM($E122:Z122)+SUM($E151:Z151)*0.085+SUM($E160:Z160)</f>
        <v>209.65</v>
      </c>
      <c r="AA170" s="324">
        <f>AA23+AA33+SUM($E112:AA112)+SUM($E122:AA122)+SUM($E151:AA151)*0.085+SUM($E160:AA160)</f>
        <v>209.65</v>
      </c>
      <c r="AB170" s="324">
        <f>AB23+AB33+SUM($E112:AB112)+SUM($E122:AB122)+SUM($E151:AB151)*0.085+SUM($E160:AB160)</f>
        <v>209.65</v>
      </c>
      <c r="AC170" s="324">
        <f>AC23+AC33+SUM($E112:AC112)+SUM($E122:AC122)+SUM($E151:AC151)*0.085+SUM($E160:AC160)</f>
        <v>209.65</v>
      </c>
      <c r="AD170" s="324">
        <f>AD23+AD33+SUM($E112:AD112)+SUM($E122:AD122)+SUM($E151:AD151)*0.085+SUM($E160:AD160)</f>
        <v>209.65</v>
      </c>
      <c r="AE170" s="324">
        <f>AE23+AE33+SUM($E112:AE112)+SUM($E122:AE122)+SUM($E151:AE151)*0.085+SUM($E160:AE160)</f>
        <v>209.65</v>
      </c>
      <c r="AF170" s="324">
        <f>AF23+AF33+SUM($E112:AF112)+SUM($E122:AF122)+SUM($E151:AF151)*0.085+SUM($E160:AF160)</f>
        <v>209.65</v>
      </c>
      <c r="AG170" s="324">
        <f>AG23+AG33+SUM($E112:AG112)+SUM($E122:AG122)+SUM($E151:AG151)*0.085+SUM($E160:AG160)</f>
        <v>209.65</v>
      </c>
      <c r="AH170" s="324">
        <f>AH23+AH33+SUM($E112:AH112)+SUM($E122:AH122)+SUM($E151:AH151)*0.085+SUM($E160:AH160)</f>
        <v>209.65</v>
      </c>
      <c r="AI170" s="324">
        <f t="shared" si="51"/>
        <v>6254.3999999999969</v>
      </c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</row>
    <row r="171" spans="1:52" ht="14.4" outlineLevel="3">
      <c r="A171" s="322"/>
      <c r="B171" s="286" t="s">
        <v>76</v>
      </c>
      <c r="C171" s="323" t="s">
        <v>828</v>
      </c>
      <c r="D171" s="323" t="s">
        <v>826</v>
      </c>
      <c r="E171" s="324">
        <f>E24+E34+SUM($E113:E113)+SUM($E133:E133)+SUM($E152:E152)*0.085+SUM($E161:E161)</f>
        <v>38.599999999999994</v>
      </c>
      <c r="F171" s="324">
        <f>F24+F34+SUM($E113:F113)+SUM($E133:F133)+SUM($E152:F152)*0.085+SUM($E161:F161)</f>
        <v>38.599999999999994</v>
      </c>
      <c r="G171" s="324">
        <f>G24+G34+SUM($E113:G113)+SUM($E133:G133)+SUM($E152:G152)*0.085+SUM($E161:G161)</f>
        <v>38.599999999999994</v>
      </c>
      <c r="H171" s="324">
        <f>H24+H34+SUM($E113:H113)+SUM($E133:H133)+SUM($E152:H152)*0.085+SUM($E161:H161)</f>
        <v>38.599999999999994</v>
      </c>
      <c r="I171" s="324">
        <f>I24+I34+SUM($E113:I113)+SUM($E133:I133)+SUM($E152:I152)*0.085+SUM($E161:I161)</f>
        <v>38.599999999999994</v>
      </c>
      <c r="J171" s="324">
        <f>J24+J34+SUM($E113:J113)+SUM($E133:J133)+SUM($E152:J152)*0.085+SUM($E161:J161)</f>
        <v>38.599999999999994</v>
      </c>
      <c r="K171" s="324">
        <f>K24+K34+SUM($E113:K113)+SUM($E133:K133)+SUM($E152:K152)*0.085+SUM($E161:K161)</f>
        <v>38.599999999999994</v>
      </c>
      <c r="L171" s="324">
        <f>L24+L34+SUM($E113:L113)+SUM($E133:L133)+SUM($E152:L152)*0.085+SUM($E161:L161)</f>
        <v>38.599999999999994</v>
      </c>
      <c r="M171" s="324">
        <f>M24+M34+SUM($E113:M113)+SUM($E133:M133)+SUM($E152:M152)*0.085+SUM($E161:M161)</f>
        <v>38.599999999999994</v>
      </c>
      <c r="N171" s="324">
        <f>N24+N34+SUM($E113:N113)+SUM($E133:N133)+SUM($E152:N152)*0.085+SUM($E161:N161)</f>
        <v>39.249999999999993</v>
      </c>
      <c r="O171" s="324">
        <f>O24+O34+SUM($E113:O113)+SUM($E133:O133)+SUM($E152:O152)*0.085+SUM($E161:O161)</f>
        <v>39.249999999999993</v>
      </c>
      <c r="P171" s="324">
        <f>P24+P34+SUM($E113:P113)+SUM($E133:P133)+SUM($E152:P152)*0.085+SUM($E161:P161)</f>
        <v>39.249999999999993</v>
      </c>
      <c r="Q171" s="324">
        <f>Q24+Q34+SUM($E113:Q113)+SUM($E133:Q133)+SUM($E152:Q152)*0.085+SUM($E161:Q161)</f>
        <v>39.249999999999993</v>
      </c>
      <c r="R171" s="324">
        <f>R24+R34+SUM($E113:R113)+SUM($E133:R133)+SUM($E152:R152)*0.085+SUM($E161:R161)</f>
        <v>39.249999999999993</v>
      </c>
      <c r="S171" s="324">
        <f>S24+S34+SUM($E113:S113)+SUM($E133:S133)+SUM($E152:S152)*0.085+SUM($E161:S161)</f>
        <v>39.249999999999993</v>
      </c>
      <c r="T171" s="324">
        <f>T24+T34+SUM($E113:T113)+SUM($E133:T133)+SUM($E152:T152)*0.085+SUM($E161:T161)</f>
        <v>39.249999999999993</v>
      </c>
      <c r="U171" s="324">
        <f>U24+U34+SUM($E113:U113)+SUM($E133:U133)+SUM($E152:U152)*0.085+SUM($E161:U161)</f>
        <v>39.249999999999993</v>
      </c>
      <c r="V171" s="324">
        <f>V24+V34+SUM($E113:V113)+SUM($E133:V133)+SUM($E152:V152)*0.085+SUM($E161:V161)</f>
        <v>39.249999999999993</v>
      </c>
      <c r="W171" s="324">
        <f>W24+W34+SUM($E113:W113)+SUM($E133:W133)+SUM($E152:W152)*0.085+SUM($E161:W161)</f>
        <v>39.249999999999993</v>
      </c>
      <c r="X171" s="324">
        <f>X24+X34+SUM($E113:X113)+SUM($E133:X133)+SUM($E152:X152)*0.085+SUM($E161:X161)</f>
        <v>39.249999999999993</v>
      </c>
      <c r="Y171" s="324">
        <f>Y24+Y34+SUM($E113:Y113)+SUM($E133:Y133)+SUM($E152:Y152)*0.085+SUM($E161:Y161)</f>
        <v>39.249999999999993</v>
      </c>
      <c r="Z171" s="324">
        <f>Z24+Z34+SUM($E113:Z113)+SUM($E133:Z133)+SUM($E152:Z152)*0.085+SUM($E161:Z161)</f>
        <v>39.249999999999993</v>
      </c>
      <c r="AA171" s="324">
        <f>AA24+AA34+SUM($E113:AA113)+SUM($E133:AA133)+SUM($E152:AA152)*0.085+SUM($E161:AA161)</f>
        <v>39.249999999999993</v>
      </c>
      <c r="AB171" s="324">
        <f>AB24+AB34+SUM($E113:AB113)+SUM($E133:AB133)+SUM($E152:AB152)*0.085+SUM($E161:AB161)</f>
        <v>39.249999999999993</v>
      </c>
      <c r="AC171" s="324">
        <f>AC24+AC34+SUM($E113:AC113)+SUM($E133:AC133)+SUM($E152:AC152)*0.085+SUM($E161:AC161)</f>
        <v>39.249999999999993</v>
      </c>
      <c r="AD171" s="324">
        <f>AD24+AD34+SUM($E113:AD113)+SUM($E133:AD133)+SUM($E152:AD152)*0.085+SUM($E161:AD161)</f>
        <v>39.249999999999993</v>
      </c>
      <c r="AE171" s="324">
        <f>AE24+AE34+SUM($E113:AE113)+SUM($E133:AE133)+SUM($E152:AE152)*0.085+SUM($E161:AE161)</f>
        <v>39.249999999999993</v>
      </c>
      <c r="AF171" s="324">
        <f>AF24+AF34+SUM($E113:AF113)+SUM($E133:AF133)+SUM($E152:AF152)*0.085+SUM($E161:AF161)</f>
        <v>39.249999999999993</v>
      </c>
      <c r="AG171" s="324">
        <f>AG24+AG34+SUM($E113:AG113)+SUM($E133:AG133)+SUM($E152:AG152)*0.085+SUM($E161:AG161)</f>
        <v>39.249999999999993</v>
      </c>
      <c r="AH171" s="324">
        <f>AH24+AH34+SUM($E113:AH113)+SUM($E133:AH133)+SUM($E152:AH152)*0.085+SUM($E161:AH161)</f>
        <v>39.249999999999993</v>
      </c>
      <c r="AI171" s="324">
        <f t="shared" si="51"/>
        <v>1171.6499999999999</v>
      </c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</row>
    <row r="172" spans="1:52" ht="14.4" outlineLevel="3">
      <c r="A172" s="322"/>
      <c r="B172" s="286" t="s">
        <v>77</v>
      </c>
      <c r="C172" s="323" t="s">
        <v>829</v>
      </c>
      <c r="D172" s="323" t="s">
        <v>826</v>
      </c>
      <c r="E172" s="324">
        <f>E25+E35+SUM($E114:E114)+SUM($E136:E136)+SUM($E153:E153)*0.085+SUM($E162:E162)</f>
        <v>95</v>
      </c>
      <c r="F172" s="324">
        <f>F25+F35+SUM($E114:F114)+SUM($E136:F136)+SUM($E153:F153)*0.085+SUM($E162:F162)</f>
        <v>95</v>
      </c>
      <c r="G172" s="324">
        <f>G25+G35+SUM($E114:G114)+SUM($E136:G136)+SUM($E153:G153)*0.085+SUM($E162:G162)</f>
        <v>95</v>
      </c>
      <c r="H172" s="324">
        <f>H25+H35+SUM($E114:H114)+SUM($E136:H136)+SUM($E153:H153)*0.085+SUM($E162:H162)</f>
        <v>95</v>
      </c>
      <c r="I172" s="324">
        <f>I25+I35+SUM($E114:I114)+SUM($E136:I136)+SUM($E153:I153)*0.085+SUM($E162:I162)</f>
        <v>95</v>
      </c>
      <c r="J172" s="324">
        <f>J25+J35+SUM($E114:J114)+SUM($E136:J136)+SUM($E153:J153)*0.085+SUM($E162:J162)</f>
        <v>95.65</v>
      </c>
      <c r="K172" s="324">
        <f>K25+K35+SUM($E114:K114)+SUM($E136:K136)+SUM($E153:K153)*0.085+SUM($E162:K162)</f>
        <v>95.65</v>
      </c>
      <c r="L172" s="324">
        <f>L25+L35+SUM($E114:L114)+SUM($E136:L136)+SUM($E153:L153)*0.085+SUM($E162:L162)</f>
        <v>95.65</v>
      </c>
      <c r="M172" s="324">
        <f>M25+M35+SUM($E114:M114)+SUM($E136:M136)+SUM($E153:M153)*0.085+SUM($E162:M162)</f>
        <v>95.65</v>
      </c>
      <c r="N172" s="324">
        <f>N25+N35+SUM($E114:N114)+SUM($E136:N136)+SUM($E153:N153)*0.085+SUM($E162:N162)</f>
        <v>95.65</v>
      </c>
      <c r="O172" s="324">
        <f>O25+O35+SUM($E114:O114)+SUM($E136:O136)+SUM($E153:O153)*0.085+SUM($E162:O162)</f>
        <v>95.65</v>
      </c>
      <c r="P172" s="324">
        <f>P25+P35+SUM($E114:P114)+SUM($E136:P136)+SUM($E153:P153)*0.085+SUM($E162:P162)</f>
        <v>95.65</v>
      </c>
      <c r="Q172" s="324">
        <f>Q25+Q35+SUM($E114:Q114)+SUM($E136:Q136)+SUM($E153:Q153)*0.085+SUM($E162:Q162)</f>
        <v>95.65</v>
      </c>
      <c r="R172" s="324">
        <f>R25+R35+SUM($E114:R114)+SUM($E136:R136)+SUM($E153:R153)*0.085+SUM($E162:R162)</f>
        <v>96.3</v>
      </c>
      <c r="S172" s="324">
        <f>S25+S35+SUM($E114:S114)+SUM($E136:S136)+SUM($E153:S153)*0.085+SUM($E162:S162)</f>
        <v>96.3</v>
      </c>
      <c r="T172" s="324">
        <f>T25+T35+SUM($E114:T114)+SUM($E136:T136)+SUM($E153:T153)*0.085+SUM($E162:T162)</f>
        <v>96.3</v>
      </c>
      <c r="U172" s="324">
        <f>U25+U35+SUM($E114:U114)+SUM($E136:U136)+SUM($E153:U153)*0.085+SUM($E162:U162)</f>
        <v>96.3</v>
      </c>
      <c r="V172" s="324">
        <f>V25+V35+SUM($E114:V114)+SUM($E136:V136)+SUM($E153:V153)*0.085+SUM($E162:V162)</f>
        <v>96.3</v>
      </c>
      <c r="W172" s="324">
        <f>W25+W35+SUM($E114:W114)+SUM($E136:W136)+SUM($E153:W153)*0.085+SUM($E162:W162)</f>
        <v>96.3</v>
      </c>
      <c r="X172" s="324">
        <f>X25+X35+SUM($E114:X114)+SUM($E136:X136)+SUM($E153:X153)*0.085+SUM($E162:X162)</f>
        <v>96.3</v>
      </c>
      <c r="Y172" s="324">
        <f>Y25+Y35+SUM($E114:Y114)+SUM($E136:Y136)+SUM($E153:Y153)*0.085+SUM($E162:Y162)</f>
        <v>96.3</v>
      </c>
      <c r="Z172" s="324">
        <f>Z25+Z35+SUM($E114:Z114)+SUM($E136:Z136)+SUM($E153:Z153)*0.085+SUM($E162:Z162)</f>
        <v>96.3</v>
      </c>
      <c r="AA172" s="324">
        <f>AA25+AA35+SUM($E114:AA114)+SUM($E136:AA136)+SUM($E153:AA153)*0.085+SUM($E162:AA162)</f>
        <v>96.3</v>
      </c>
      <c r="AB172" s="324">
        <f>AB25+AB35+SUM($E114:AB114)+SUM($E136:AB136)+SUM($E153:AB153)*0.085+SUM($E162:AB162)</f>
        <v>96.3</v>
      </c>
      <c r="AC172" s="324">
        <f>AC25+AC35+SUM($E114:AC114)+SUM($E136:AC136)+SUM($E153:AC153)*0.085+SUM($E162:AC162)</f>
        <v>96.3</v>
      </c>
      <c r="AD172" s="324">
        <f>AD25+AD35+SUM($E114:AD114)+SUM($E136:AD136)+SUM($E153:AD153)*0.085+SUM($E162:AD162)</f>
        <v>96.3</v>
      </c>
      <c r="AE172" s="324">
        <f>AE25+AE35+SUM($E114:AE114)+SUM($E136:AE136)+SUM($E153:AE153)*0.085+SUM($E162:AE162)</f>
        <v>96.3</v>
      </c>
      <c r="AF172" s="324">
        <f>AF25+AF35+SUM($E114:AF114)+SUM($E136:AF136)+SUM($E153:AF153)*0.085+SUM($E162:AF162)</f>
        <v>96.3</v>
      </c>
      <c r="AG172" s="324">
        <f>AG25+AG35+SUM($E114:AG114)+SUM($E136:AG136)+SUM($E153:AG153)*0.085+SUM($E162:AG162)</f>
        <v>96.3</v>
      </c>
      <c r="AH172" s="324">
        <f>AH25+AH35+SUM($E114:AH114)+SUM($E136:AH136)+SUM($E153:AH153)*0.085+SUM($E162:AH162)</f>
        <v>96.3</v>
      </c>
      <c r="AI172" s="324">
        <f t="shared" si="51"/>
        <v>2877.3000000000011</v>
      </c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</row>
    <row r="173" spans="1:52" ht="14.4" outlineLevel="3">
      <c r="A173" s="322"/>
      <c r="B173" s="286" t="s">
        <v>78</v>
      </c>
      <c r="C173" s="323" t="s">
        <v>830</v>
      </c>
      <c r="D173" s="323" t="s">
        <v>826</v>
      </c>
      <c r="E173" s="324">
        <f>E26+E36+SUM($E115:E115)+SUM($E142:E142)+SUM($E154:E154)*0.085+SUM($E163:E163)</f>
        <v>46.800000000000011</v>
      </c>
      <c r="F173" s="324">
        <f>F26+F36+SUM($E115:F115)+SUM($E142:F142)+SUM($E154:F154)*0.085+SUM($E163:F163)</f>
        <v>46.800000000000011</v>
      </c>
      <c r="G173" s="324">
        <f>G26+G36+SUM($E115:G115)+SUM($E142:G142)+SUM($E154:G154)*0.085+SUM($E163:G163)</f>
        <v>46.800000000000011</v>
      </c>
      <c r="H173" s="324">
        <f>H26+H36+SUM($E115:H115)+SUM($E142:H142)+SUM($E154:H154)*0.085+SUM($E163:H163)</f>
        <v>46.800000000000011</v>
      </c>
      <c r="I173" s="324">
        <f>I26+I36+SUM($E115:I115)+SUM($E142:I142)+SUM($E154:I154)*0.085+SUM($E163:I163)</f>
        <v>46.800000000000011</v>
      </c>
      <c r="J173" s="324">
        <f>J26+J36+SUM($E115:J115)+SUM($E142:J142)+SUM($E154:J154)*0.085+SUM($E163:J163)</f>
        <v>46.800000000000011</v>
      </c>
      <c r="K173" s="324">
        <f>K26+K36+SUM($E115:K115)+SUM($E142:K142)+SUM($E154:K154)*0.085+SUM($E163:K163)</f>
        <v>46.800000000000011</v>
      </c>
      <c r="L173" s="324">
        <f>L26+L36+SUM($E115:L115)+SUM($E142:L142)+SUM($E154:L154)*0.085+SUM($E163:L163)</f>
        <v>46.800000000000011</v>
      </c>
      <c r="M173" s="324">
        <f>M26+M36+SUM($E115:M115)+SUM($E142:M142)+SUM($E154:M154)*0.085+SUM($E163:M163)</f>
        <v>46.800000000000011</v>
      </c>
      <c r="N173" s="324">
        <f>N26+N36+SUM($E115:N115)+SUM($E142:N142)+SUM($E154:N154)*0.085+SUM($E163:N163)</f>
        <v>46.800000000000011</v>
      </c>
      <c r="O173" s="324">
        <f>O26+O36+SUM($E115:O115)+SUM($E142:O142)+SUM($E154:O154)*0.085+SUM($E163:O163)</f>
        <v>46.800000000000011</v>
      </c>
      <c r="P173" s="324">
        <f>P26+P36+SUM($E115:P115)+SUM($E142:P142)+SUM($E154:P154)*0.085+SUM($E163:P163)</f>
        <v>46.800000000000011</v>
      </c>
      <c r="Q173" s="324">
        <f>Q26+Q36+SUM($E115:Q115)+SUM($E142:Q142)+SUM($E154:Q154)*0.085+SUM($E163:Q163)</f>
        <v>46.800000000000011</v>
      </c>
      <c r="R173" s="324">
        <f>R26+R36+SUM($E115:R115)+SUM($E142:R142)+SUM($E154:R154)*0.085+SUM($E163:R163)</f>
        <v>46.800000000000011</v>
      </c>
      <c r="S173" s="324">
        <f>S26+S36+SUM($E115:S115)+SUM($E142:S142)+SUM($E154:S154)*0.085+SUM($E163:S163)</f>
        <v>46.800000000000011</v>
      </c>
      <c r="T173" s="324">
        <f>T26+T36+SUM($E115:T115)+SUM($E142:T142)+SUM($E154:T154)*0.085+SUM($E163:T163)</f>
        <v>47.45000000000001</v>
      </c>
      <c r="U173" s="324">
        <f>U26+U36+SUM($E115:U115)+SUM($E142:U142)+SUM($E154:U154)*0.085+SUM($E163:U163)</f>
        <v>47.45000000000001</v>
      </c>
      <c r="V173" s="324">
        <f>V26+V36+SUM($E115:V115)+SUM($E142:V142)+SUM($E154:V154)*0.085+SUM($E163:V163)</f>
        <v>47.45000000000001</v>
      </c>
      <c r="W173" s="324">
        <f>W26+W36+SUM($E115:W115)+SUM($E142:W142)+SUM($E154:W154)*0.085+SUM($E163:W163)</f>
        <v>47.45000000000001</v>
      </c>
      <c r="X173" s="324">
        <f>X26+X36+SUM($E115:X115)+SUM($E142:X142)+SUM($E154:X154)*0.085+SUM($E163:X163)</f>
        <v>47.45000000000001</v>
      </c>
      <c r="Y173" s="324">
        <f>Y26+Y36+SUM($E115:Y115)+SUM($E142:Y142)+SUM($E154:Y154)*0.085+SUM($E163:Y163)</f>
        <v>47.45000000000001</v>
      </c>
      <c r="Z173" s="324">
        <f>Z26+Z36+SUM($E115:Z115)+SUM($E142:Z142)+SUM($E154:Z154)*0.085+SUM($E163:Z163)</f>
        <v>47.45000000000001</v>
      </c>
      <c r="AA173" s="324">
        <f>AA26+AA36+SUM($E115:AA115)+SUM($E142:AA142)+SUM($E154:AA154)*0.085+SUM($E163:AA163)</f>
        <v>47.45000000000001</v>
      </c>
      <c r="AB173" s="324">
        <f>AB26+AB36+SUM($E115:AB115)+SUM($E142:AB142)+SUM($E154:AB154)*0.085+SUM($E163:AB163)</f>
        <v>47.45000000000001</v>
      </c>
      <c r="AC173" s="324">
        <f>AC26+AC36+SUM($E115:AC115)+SUM($E142:AC142)+SUM($E154:AC154)*0.085+SUM($E163:AC163)</f>
        <v>47.45000000000001</v>
      </c>
      <c r="AD173" s="324">
        <f>AD26+AD36+SUM($E115:AD115)+SUM($E142:AD142)+SUM($E154:AD154)*0.085+SUM($E163:AD163)</f>
        <v>47.45000000000001</v>
      </c>
      <c r="AE173" s="324">
        <f>AE26+AE36+SUM($E115:AE115)+SUM($E142:AE142)+SUM($E154:AE154)*0.085+SUM($E163:AE163)</f>
        <v>47.45000000000001</v>
      </c>
      <c r="AF173" s="324">
        <f>AF26+AF36+SUM($E115:AF115)+SUM($E142:AF142)+SUM($E154:AF154)*0.085+SUM($E163:AF163)</f>
        <v>47.45000000000001</v>
      </c>
      <c r="AG173" s="324">
        <f>AG26+AG36+SUM($E115:AG115)+SUM($E142:AG142)+SUM($E154:AG154)*0.085+SUM($E163:AG163)</f>
        <v>47.45000000000001</v>
      </c>
      <c r="AH173" s="324">
        <f>AH26+AH36+SUM($E115:AH115)+SUM($E142:AH142)+SUM($E154:AH154)*0.085+SUM($E163:AH163)</f>
        <v>47.45000000000001</v>
      </c>
      <c r="AI173" s="324">
        <f t="shared" si="51"/>
        <v>1413.7500000000007</v>
      </c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</row>
    <row r="174" spans="1:52" ht="14.4" outlineLevel="3">
      <c r="A174" s="322" t="s">
        <v>831</v>
      </c>
      <c r="B174" s="326" t="s">
        <v>79</v>
      </c>
      <c r="C174" s="327" t="s">
        <v>832</v>
      </c>
      <c r="D174" s="327" t="s">
        <v>826</v>
      </c>
      <c r="E174" s="324">
        <f>E27+E37+SUM($E116:E116)+SUM($E144:E144)+SUM($E155:E155)*0.085+SUM($E164:E164)</f>
        <v>29</v>
      </c>
      <c r="F174" s="324">
        <f>F27+F37+SUM($E116:F116)+SUM($E144:F144)+SUM($E155:F155)*0.085+SUM($E164:F164)</f>
        <v>29</v>
      </c>
      <c r="G174" s="324">
        <f>G27+G37+SUM($E116:G116)+SUM($E144:G144)+SUM($E155:G155)*0.085+SUM($E164:G164)</f>
        <v>29</v>
      </c>
      <c r="H174" s="324">
        <f>H27+H37+SUM($E116:H116)+SUM($E144:H144)+SUM($E155:H155)*0.085+SUM($E164:H164)</f>
        <v>29</v>
      </c>
      <c r="I174" s="324">
        <f>I27+I37+SUM($E116:I116)+SUM($E144:I144)+SUM($E155:I155)*0.085+SUM($E164:I164)</f>
        <v>29</v>
      </c>
      <c r="J174" s="324">
        <f>J27+J37+SUM($E116:J116)+SUM($E144:J144)+SUM($E155:J155)*0.085+SUM($E164:J164)</f>
        <v>29.65</v>
      </c>
      <c r="K174" s="328">
        <f>K27+K37+SUM($E116:K116)+SUM($E144:K144)+SUM($E155:K155)*0.085+SUM($E164:K164)</f>
        <v>26.699999999999978</v>
      </c>
      <c r="L174" s="328">
        <f>L27+L37+SUM($E116:L116)+SUM($E144:L144)+SUM($E155:L155)*0.085+SUM($E164:L164)</f>
        <v>26.699999999999978</v>
      </c>
      <c r="M174" s="328">
        <f>M27+M37+SUM($E116:M116)+SUM($E144:M144)+SUM($E155:M155)*0.085+SUM($E164:M164)</f>
        <v>26.699999999999978</v>
      </c>
      <c r="N174" s="328">
        <f>N27+N37+SUM($E116:N116)+SUM($E144:N144)+SUM($E155:N155)*0.085+SUM($E164:N164)</f>
        <v>26.699999999999978</v>
      </c>
      <c r="O174" s="328">
        <f>O27+O37+SUM($E116:O116)+SUM($E144:O144)+SUM($E155:O155)*0.085+SUM($E164:O164)</f>
        <v>26.699999999999978</v>
      </c>
      <c r="P174" s="328">
        <f>P27+P37+SUM($E116:P116)+SUM($E144:P144)+SUM($E155:P155)*0.085+SUM($E164:P164)</f>
        <v>26.699999999999978</v>
      </c>
      <c r="Q174" s="328">
        <f>Q27+Q37+SUM($E116:Q116)+SUM($E144:Q144)+SUM($E155:Q155)*0.085+SUM($E164:Q164)</f>
        <v>26.699999999999978</v>
      </c>
      <c r="R174" s="328">
        <f>R27+R37+SUM($E116:R116)+SUM($E144:R144)+SUM($E155:R155)*0.085+SUM($E164:R164)</f>
        <v>26.699999999999978</v>
      </c>
      <c r="S174" s="328">
        <f>S27+S37+SUM($E116:S116)+SUM($E144:S144)+SUM($E155:S155)*0.085+SUM($E164:S164)</f>
        <v>26.699999999999978</v>
      </c>
      <c r="T174" s="328">
        <f>T27+T37+SUM($E116:T116)+SUM($E144:T144)+SUM($E155:T155)*0.085+SUM($E164:T164)</f>
        <v>26.699999999999978</v>
      </c>
      <c r="U174" s="328">
        <f>U27+U37+SUM($E116:U116)+SUM($E144:U144)+SUM($E155:U155)*0.085+SUM($E164:U164)</f>
        <v>26.699999999999978</v>
      </c>
      <c r="V174" s="328">
        <f>V27+V37+SUM($E116:V116)+SUM($E144:V144)+SUM($E155:V155)*0.085+SUM($E164:V164)</f>
        <v>26.699999999999978</v>
      </c>
      <c r="W174" s="328">
        <f>W27+W37+SUM($E116:W116)+SUM($E144:W144)+SUM($E155:W155)*0.085+SUM($E164:W164)</f>
        <v>26.699999999999978</v>
      </c>
      <c r="X174" s="328">
        <f>X27+X37+SUM($E116:X116)+SUM($E144:X144)+SUM($E155:X155)*0.085+SUM($E164:X164)</f>
        <v>26.699999999999978</v>
      </c>
      <c r="Y174" s="328">
        <f>Y27+Y37+SUM($E116:Y116)+SUM($E144:Y144)+SUM($E155:Y155)*0.085+SUM($E164:Y164)</f>
        <v>26.699999999999978</v>
      </c>
      <c r="Z174" s="328">
        <f>Z27+Z37+SUM($E116:Z116)+SUM($E144:Z144)+SUM($E155:Z155)*0.085+SUM($E164:Z164)</f>
        <v>26.699999999999978</v>
      </c>
      <c r="AA174" s="328">
        <f>AA27+AA37+SUM($E116:AA116)+SUM($E144:AA144)+SUM($E155:AA155)*0.085+SUM($E164:AA164)</f>
        <v>26.699999999999978</v>
      </c>
      <c r="AB174" s="328">
        <f>AB27+AB37+SUM($E116:AB116)+SUM($E144:AB144)+SUM($E155:AB155)*0.085+SUM($E164:AB164)</f>
        <v>26.699999999999978</v>
      </c>
      <c r="AC174" s="328">
        <f>AC27+AC37+SUM($E116:AC116)+SUM($E144:AC144)+SUM($E155:AC155)*0.085+SUM($E164:AC164)</f>
        <v>26.699999999999978</v>
      </c>
      <c r="AD174" s="328">
        <f>AD27+AD37+SUM($E116:AD116)+SUM($E144:AD144)+SUM($E155:AD155)*0.085+SUM($E164:AD164)</f>
        <v>26.699999999999978</v>
      </c>
      <c r="AE174" s="328">
        <f>AE27+AE37+SUM($E116:AE116)+SUM($E144:AE144)+SUM($E155:AE155)*0.085+SUM($E164:AE164)</f>
        <v>26.699999999999978</v>
      </c>
      <c r="AF174" s="328">
        <f>AF27+AF37+SUM($E116:AF116)+SUM($E144:AF144)+SUM($E155:AF155)*0.085+SUM($E164:AF164)</f>
        <v>26.699999999999978</v>
      </c>
      <c r="AG174" s="328">
        <f>AG27+AG37+SUM($E116:AG116)+SUM($E144:AG144)+SUM($E155:AG155)*0.085+SUM($E164:AG164)</f>
        <v>26.699999999999978</v>
      </c>
      <c r="AH174" s="328">
        <f>AH27+AH37+SUM($E116:AH116)+SUM($E144:AH144)+SUM($E155:AH155)*0.085+SUM($E164:AH164)</f>
        <v>26.699999999999978</v>
      </c>
      <c r="AI174" s="328">
        <f t="shared" si="51"/>
        <v>815.44999999999902</v>
      </c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</row>
    <row r="175" spans="1:52" ht="14.4" outlineLevel="3">
      <c r="A175" s="322" t="s">
        <v>831</v>
      </c>
      <c r="B175" s="326" t="s">
        <v>80</v>
      </c>
      <c r="C175" s="327" t="s">
        <v>833</v>
      </c>
      <c r="D175" s="327" t="s">
        <v>826</v>
      </c>
      <c r="E175" s="324">
        <f>E28+E38+SUM($E117:E117)+SUM($E147:E147)+SUM($E156:E156)*0.085+SUM($E165:E165)</f>
        <v>0.39999999999997726</v>
      </c>
      <c r="F175" s="324">
        <f>F28+F38+SUM($E117:F117)+SUM($E147:F147)+SUM($E156:F156)*0.085+SUM($E165:F165)</f>
        <v>0.39999999999997726</v>
      </c>
      <c r="G175" s="324">
        <f>G28+G38+SUM($E117:G117)+SUM($E147:G147)+SUM($E156:G156)*0.085+SUM($E165:G165)</f>
        <v>0.39999999999997726</v>
      </c>
      <c r="H175" s="324">
        <f>H28+H38+SUM($E117:H117)+SUM($E147:H147)+SUM($E156:H156)*0.085+SUM($E165:H165)</f>
        <v>0.39999999999997726</v>
      </c>
      <c r="I175" s="324">
        <f>I28+I38+SUM($E117:I117)+SUM($E147:I147)+SUM($E156:I156)*0.085+SUM($E165:I165)</f>
        <v>0.39999999999997726</v>
      </c>
      <c r="J175" s="324">
        <f>J28+J38+SUM($E117:J117)+SUM($E147:J147)+SUM($E156:J156)*0.085+SUM($E165:J165)</f>
        <v>0.39999999999997726</v>
      </c>
      <c r="K175" s="328">
        <f>K28+K38+SUM($E117:K117)+SUM($E147:K147)+SUM($E156:K156)*0.085+SUM($E165:K165)</f>
        <v>0</v>
      </c>
      <c r="L175" s="328">
        <f>L28+L38+SUM($E117:L117)+SUM($E147:L147)+SUM($E156:L156)*0.085+SUM($E165:L165)</f>
        <v>0</v>
      </c>
      <c r="M175" s="328">
        <f>M28+M38+SUM($E117:M117)+SUM($E147:M147)+SUM($E156:M156)*0.085+SUM($E165:M165)</f>
        <v>0</v>
      </c>
      <c r="N175" s="328">
        <f>N28+N38+SUM($E117:N117)+SUM($E147:N147)+SUM($E156:N156)*0.085+SUM($E165:N165)</f>
        <v>0</v>
      </c>
      <c r="O175" s="328">
        <f>O28+O38+SUM($E117:O117)+SUM($E147:O147)+SUM($E156:O156)*0.085+SUM($E165:O165)</f>
        <v>0</v>
      </c>
      <c r="P175" s="328">
        <f>P28+P38+SUM($E117:P117)+SUM($E147:P147)+SUM($E156:P156)*0.085+SUM($E165:P165)</f>
        <v>0</v>
      </c>
      <c r="Q175" s="328">
        <f>Q28+Q38+SUM($E117:Q117)+SUM($E147:Q147)+SUM($E156:Q156)*0.085+SUM($E165:Q165)</f>
        <v>0</v>
      </c>
      <c r="R175" s="328">
        <f>R28+R38+SUM($E117:R117)+SUM($E147:R147)+SUM($E156:R156)*0.085+SUM($E165:R165)</f>
        <v>0</v>
      </c>
      <c r="S175" s="328">
        <f>S28+S38+SUM($E117:S117)+SUM($E147:S147)+SUM($E156:S156)*0.085+SUM($E165:S165)</f>
        <v>0</v>
      </c>
      <c r="T175" s="328">
        <f>T28+T38+SUM($E117:T117)+SUM($E147:T147)+SUM($E156:T156)*0.085+SUM($E165:T165)</f>
        <v>0</v>
      </c>
      <c r="U175" s="328">
        <f>U28+U38+SUM($E117:U117)+SUM($E147:U147)+SUM($E156:U156)*0.085+SUM($E165:U165)</f>
        <v>0</v>
      </c>
      <c r="V175" s="328">
        <f>V28+V38+SUM($E117:V117)+SUM($E147:V147)+SUM($E156:V156)*0.085+SUM($E165:V165)</f>
        <v>0</v>
      </c>
      <c r="W175" s="328">
        <f>W28+W38+SUM($E117:W117)+SUM($E147:W147)+SUM($E156:W156)*0.085+SUM($E165:W165)</f>
        <v>0</v>
      </c>
      <c r="X175" s="328">
        <f>X28+X38+SUM($E117:X117)+SUM($E147:X147)+SUM($E156:X156)*0.085+SUM($E165:X165)</f>
        <v>0</v>
      </c>
      <c r="Y175" s="328">
        <f>Y28+Y38+SUM($E117:Y117)+SUM($E147:Y147)+SUM($E156:Y156)*0.085+SUM($E165:Y165)</f>
        <v>0</v>
      </c>
      <c r="Z175" s="328">
        <f>Z28+Z38+SUM($E117:Z117)+SUM($E147:Z147)+SUM($E156:Z156)*0.085+SUM($E165:Z165)</f>
        <v>0</v>
      </c>
      <c r="AA175" s="328">
        <f>AA28+AA38+SUM($E117:AA117)+SUM($E147:AA147)+SUM($E156:AA156)*0.085+SUM($E165:AA165)</f>
        <v>0</v>
      </c>
      <c r="AB175" s="328">
        <f>AB28+AB38+SUM($E117:AB117)+SUM($E147:AB147)+SUM($E156:AB156)*0.085+SUM($E165:AB165)</f>
        <v>0</v>
      </c>
      <c r="AC175" s="328">
        <f>AC28+AC38+SUM($E117:AC117)+SUM($E147:AC147)+SUM($E156:AC156)*0.085+SUM($E165:AC165)</f>
        <v>0</v>
      </c>
      <c r="AD175" s="328">
        <f>AD28+AD38+SUM($E117:AD117)+SUM($E147:AD147)+SUM($E156:AD156)*0.085+SUM($E165:AD165)</f>
        <v>0</v>
      </c>
      <c r="AE175" s="328">
        <f>AE28+AE38+SUM($E117:AE117)+SUM($E147:AE147)+SUM($E156:AE156)*0.085+SUM($E165:AE165)</f>
        <v>0</v>
      </c>
      <c r="AF175" s="328">
        <f>AF28+AF38+SUM($E117:AF117)+SUM($E147:AF147)+SUM($E156:AF156)*0.085+SUM($E165:AF165)</f>
        <v>0</v>
      </c>
      <c r="AG175" s="328">
        <f>AG28+AG38+SUM($E117:AG117)+SUM($E147:AG147)+SUM($E156:AG156)*0.085+SUM($E165:AG165)</f>
        <v>0</v>
      </c>
      <c r="AH175" s="328">
        <f>AH28+AH38+SUM($E117:AH117)+SUM($E147:AH147)+SUM($E156:AH156)*0.085+SUM($E165:AH165)</f>
        <v>0</v>
      </c>
      <c r="AI175" s="328">
        <f t="shared" si="51"/>
        <v>2.3999999999998636</v>
      </c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</row>
    <row r="176" spans="1:52" ht="14.4" outlineLevel="3">
      <c r="A176" s="322" t="s">
        <v>831</v>
      </c>
      <c r="B176" s="326" t="s">
        <v>81</v>
      </c>
      <c r="C176" s="327" t="s">
        <v>1015</v>
      </c>
      <c r="D176" s="327" t="s">
        <v>826</v>
      </c>
      <c r="E176" s="324">
        <f>E29+E39+SUM($E118:E118)+SUM($E148:E148)+SUM($E157:E157)*0.085+SUM($E166:E166)</f>
        <v>10.799999999999955</v>
      </c>
      <c r="F176" s="324">
        <f>F29+F39+SUM($E118:F118)+SUM($E148:F148)+SUM($E157:F157)*0.085+SUM($E166:F166)</f>
        <v>10.799999999999955</v>
      </c>
      <c r="G176" s="324">
        <f>G29+G39+SUM($E118:G118)+SUM($E148:G148)+SUM($E157:G157)*0.085+SUM($E166:G166)</f>
        <v>10.799999999999955</v>
      </c>
      <c r="H176" s="324">
        <f>H29+H39+SUM($E118:H118)+SUM($E148:H148)+SUM($E157:H157)*0.085+SUM($E166:H166)</f>
        <v>10.799999999999955</v>
      </c>
      <c r="I176" s="324">
        <f>I29+I39+SUM($E118:I118)+SUM($E148:I148)+SUM($E157:I157)*0.085+SUM($E166:I166)</f>
        <v>10.799999999999955</v>
      </c>
      <c r="J176" s="324">
        <f>J29+J39+SUM($E118:J118)+SUM($E148:J148)+SUM($E157:J157)*0.085+SUM($E166:J166)</f>
        <v>10.799999999999955</v>
      </c>
      <c r="K176" s="328">
        <f>K29+K39+SUM($E118:K118)+SUM($E148:K148)+SUM($E157:K157)*0.085+SUM($E166:K166)</f>
        <v>0</v>
      </c>
      <c r="L176" s="328">
        <f>L29+L39+SUM($E118:L118)+SUM($E148:L148)+SUM($E157:L157)*0.085+SUM($E166:L166)</f>
        <v>0</v>
      </c>
      <c r="M176" s="328">
        <f>M29+M39+SUM($E118:M118)+SUM($E148:M148)+SUM($E157:M157)*0.085+SUM($E166:M166)</f>
        <v>0</v>
      </c>
      <c r="N176" s="328">
        <f>N29+N39+SUM($E118:N118)+SUM($E148:N148)+SUM($E157:N157)*0.085+SUM($E166:N166)</f>
        <v>0</v>
      </c>
      <c r="O176" s="328">
        <f>O29+O39+SUM($E118:O118)+SUM($E148:O148)+SUM($E157:O157)*0.085+SUM($E166:O166)</f>
        <v>0</v>
      </c>
      <c r="P176" s="328">
        <f>P29+P39+SUM($E118:P118)+SUM($E148:P148)+SUM($E157:P157)*0.085+SUM($E166:P166)</f>
        <v>0</v>
      </c>
      <c r="Q176" s="328">
        <f>Q29+Q39+SUM($E118:Q118)+SUM($E148:Q148)+SUM($E157:Q157)*0.085+SUM($E166:Q166)</f>
        <v>0</v>
      </c>
      <c r="R176" s="328">
        <f>R29+R39+SUM($E118:R118)+SUM($E148:R148)+SUM($E157:R157)*0.085+SUM($E166:R166)</f>
        <v>0</v>
      </c>
      <c r="S176" s="328">
        <f>S29+S39+SUM($E118:S118)+SUM($E148:S148)+SUM($E157:S157)*0.085+SUM($E166:S166)</f>
        <v>0</v>
      </c>
      <c r="T176" s="328">
        <f>T29+T39+SUM($E118:T118)+SUM($E148:T148)+SUM($E157:T157)*0.085+SUM($E166:T166)</f>
        <v>0</v>
      </c>
      <c r="U176" s="328">
        <f>U29+U39+SUM($E118:U118)+SUM($E148:U148)+SUM($E157:U157)*0.085+SUM($E166:U166)</f>
        <v>0</v>
      </c>
      <c r="V176" s="328">
        <f>V29+V39+SUM($E118:V118)+SUM($E148:V148)+SUM($E157:V157)*0.085+SUM($E166:V166)</f>
        <v>0</v>
      </c>
      <c r="W176" s="328">
        <f>W29+W39+SUM($E118:W118)+SUM($E148:W148)+SUM($E157:W157)*0.085+SUM($E166:W166)</f>
        <v>0</v>
      </c>
      <c r="X176" s="328">
        <f>X29+X39+SUM($E118:X118)+SUM($E148:X148)+SUM($E157:X157)*0.085+SUM($E166:X166)</f>
        <v>0</v>
      </c>
      <c r="Y176" s="328">
        <f>Y29+Y39+SUM($E118:Y118)+SUM($E148:Y148)+SUM($E157:Y157)*0.085+SUM($E166:Y166)</f>
        <v>0</v>
      </c>
      <c r="Z176" s="328">
        <f>Z29+Z39+SUM($E118:Z118)+SUM($E148:Z148)+SUM($E157:Z157)*0.085+SUM($E166:Z166)</f>
        <v>0</v>
      </c>
      <c r="AA176" s="328">
        <f>AA29+AA39+SUM($E118:AA118)+SUM($E148:AA148)+SUM($E157:AA157)*0.085+SUM($E166:AA166)</f>
        <v>0</v>
      </c>
      <c r="AB176" s="328">
        <f>AB29+AB39+SUM($E118:AB118)+SUM($E148:AB148)+SUM($E157:AB157)*0.085+SUM($E166:AB166)</f>
        <v>0</v>
      </c>
      <c r="AC176" s="328">
        <f>AC29+AC39+SUM($E118:AC118)+SUM($E148:AC148)+SUM($E157:AC157)*0.085+SUM($E166:AC166)</f>
        <v>0</v>
      </c>
      <c r="AD176" s="328">
        <f>AD29+AD39+SUM($E118:AD118)+SUM($E148:AD148)+SUM($E157:AD157)*0.085+SUM($E166:AD166)</f>
        <v>0</v>
      </c>
      <c r="AE176" s="328">
        <f>AE29+AE39+SUM($E118:AE118)+SUM($E148:AE148)+SUM($E157:AE157)*0.085+SUM($E166:AE166)</f>
        <v>0</v>
      </c>
      <c r="AF176" s="328">
        <f>AF29+AF39+SUM($E118:AF118)+SUM($E148:AF148)+SUM($E157:AF157)*0.085+SUM($E166:AF166)</f>
        <v>0</v>
      </c>
      <c r="AG176" s="328">
        <f>AG29+AG39+SUM($E118:AG118)+SUM($E148:AG148)+SUM($E157:AG157)*0.085+SUM($E166:AG166)</f>
        <v>0</v>
      </c>
      <c r="AH176" s="328">
        <f>AH29+AH39+SUM($E118:AH118)+SUM($E148:AH148)+SUM($E157:AH157)*0.085+SUM($E166:AH166)</f>
        <v>0</v>
      </c>
      <c r="AI176" s="328">
        <f t="shared" si="51"/>
        <v>64.799999999999727</v>
      </c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</row>
    <row r="177" spans="1:52" ht="14.4" outlineLevel="1">
      <c r="B177" s="403" t="s">
        <v>906</v>
      </c>
      <c r="C177" s="404"/>
      <c r="D177" s="6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  <c r="AA177" s="126"/>
      <c r="AB177" s="126"/>
      <c r="AC177" s="126"/>
      <c r="AD177" s="126"/>
      <c r="AE177" s="126"/>
      <c r="AF177" s="126"/>
      <c r="AG177" s="126"/>
      <c r="AH177" s="126"/>
      <c r="AI177" s="127" t="s">
        <v>821</v>
      </c>
    </row>
    <row r="178" spans="1:52" ht="14.4" outlineLevel="2">
      <c r="B178" s="10">
        <v>2</v>
      </c>
      <c r="C178" s="11" t="s">
        <v>907</v>
      </c>
      <c r="D178" s="11" t="s">
        <v>826</v>
      </c>
      <c r="E178" s="128">
        <f t="shared" ref="E178:AI178" si="52">SUM(E179:E186)</f>
        <v>14.399999999999944</v>
      </c>
      <c r="F178" s="128">
        <f t="shared" si="52"/>
        <v>14.399999999999944</v>
      </c>
      <c r="G178" s="128">
        <f t="shared" si="52"/>
        <v>14.399999999999944</v>
      </c>
      <c r="H178" s="128">
        <f t="shared" si="52"/>
        <v>14.399999999999944</v>
      </c>
      <c r="I178" s="128">
        <f t="shared" si="52"/>
        <v>14.399999999999944</v>
      </c>
      <c r="J178" s="128">
        <f t="shared" si="52"/>
        <v>14.399999999999944</v>
      </c>
      <c r="K178" s="128">
        <f t="shared" si="52"/>
        <v>14.399999999999944</v>
      </c>
      <c r="L178" s="128">
        <f t="shared" si="52"/>
        <v>14.399999999999944</v>
      </c>
      <c r="M178" s="128">
        <f t="shared" si="52"/>
        <v>29.019999999999943</v>
      </c>
      <c r="N178" s="128">
        <f t="shared" si="52"/>
        <v>29.019999999999943</v>
      </c>
      <c r="O178" s="128">
        <f t="shared" si="52"/>
        <v>29.019999999999943</v>
      </c>
      <c r="P178" s="128">
        <f t="shared" si="52"/>
        <v>34.529999999999944</v>
      </c>
      <c r="Q178" s="128">
        <f t="shared" si="52"/>
        <v>34.529999999999944</v>
      </c>
      <c r="R178" s="128">
        <f t="shared" si="52"/>
        <v>41.67999999999995</v>
      </c>
      <c r="S178" s="128">
        <f t="shared" si="52"/>
        <v>41.67999999999995</v>
      </c>
      <c r="T178" s="128">
        <f t="shared" si="52"/>
        <v>41.67999999999995</v>
      </c>
      <c r="U178" s="128">
        <f t="shared" si="52"/>
        <v>41.67999999999995</v>
      </c>
      <c r="V178" s="128">
        <f t="shared" si="52"/>
        <v>41.67999999999995</v>
      </c>
      <c r="W178" s="128">
        <f t="shared" si="52"/>
        <v>41.67999999999995</v>
      </c>
      <c r="X178" s="128">
        <f t="shared" si="52"/>
        <v>81.399999999999949</v>
      </c>
      <c r="Y178" s="128">
        <f t="shared" si="52"/>
        <v>81.399999999999949</v>
      </c>
      <c r="Z178" s="128">
        <f t="shared" si="52"/>
        <v>81.399999999999949</v>
      </c>
      <c r="AA178" s="128">
        <f t="shared" si="52"/>
        <v>81.399999999999949</v>
      </c>
      <c r="AB178" s="128">
        <f t="shared" si="52"/>
        <v>118.17999999999995</v>
      </c>
      <c r="AC178" s="128">
        <f t="shared" si="52"/>
        <v>118.17999999999995</v>
      </c>
      <c r="AD178" s="128">
        <f t="shared" si="52"/>
        <v>118.17999999999995</v>
      </c>
      <c r="AE178" s="128">
        <f t="shared" si="52"/>
        <v>118.17999999999995</v>
      </c>
      <c r="AF178" s="128">
        <f t="shared" si="52"/>
        <v>118.17999999999995</v>
      </c>
      <c r="AG178" s="128">
        <f t="shared" si="52"/>
        <v>118.17999999999995</v>
      </c>
      <c r="AH178" s="128">
        <f t="shared" si="52"/>
        <v>118.17999999999995</v>
      </c>
      <c r="AI178" s="128">
        <f t="shared" si="52"/>
        <v>1674.2599999999986</v>
      </c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</row>
    <row r="179" spans="1:52" ht="14.4" outlineLevel="3">
      <c r="A179" s="322"/>
      <c r="B179" s="286" t="s">
        <v>835</v>
      </c>
      <c r="C179" s="323" t="s">
        <v>825</v>
      </c>
      <c r="D179" s="323" t="s">
        <v>826</v>
      </c>
      <c r="E179" s="324">
        <f>E42+SUM($E93:E93)</f>
        <v>0.90000000000000069</v>
      </c>
      <c r="F179" s="324">
        <f>F42+SUM($E93:F93)</f>
        <v>0.90000000000000069</v>
      </c>
      <c r="G179" s="324">
        <f>G42+SUM($E93:G93)</f>
        <v>0.90000000000000069</v>
      </c>
      <c r="H179" s="324">
        <f>H42+SUM($E93:H93)</f>
        <v>0.90000000000000069</v>
      </c>
      <c r="I179" s="324">
        <f>I42+SUM($E93:I93)</f>
        <v>0.90000000000000069</v>
      </c>
      <c r="J179" s="324">
        <f>J42+SUM($E93:J93)</f>
        <v>0.90000000000000069</v>
      </c>
      <c r="K179" s="324">
        <f>K42+SUM($E93:K93)</f>
        <v>0.90000000000000069</v>
      </c>
      <c r="L179" s="324">
        <f>L42+SUM($E93:L93)</f>
        <v>0.90000000000000069</v>
      </c>
      <c r="M179" s="324">
        <f>M42+SUM($E93:M93)</f>
        <v>2.3700000000000006</v>
      </c>
      <c r="N179" s="324">
        <f>N42+SUM($E93:N93)</f>
        <v>2.3700000000000006</v>
      </c>
      <c r="O179" s="324">
        <f>O42+SUM($E93:O93)</f>
        <v>2.3700000000000006</v>
      </c>
      <c r="P179" s="324">
        <f>P42+SUM($E93:P93)</f>
        <v>2.3700000000000006</v>
      </c>
      <c r="Q179" s="324">
        <f>Q42+SUM($E93:Q93)</f>
        <v>2.3700000000000006</v>
      </c>
      <c r="R179" s="324">
        <f>R42+SUM($E93:R93)</f>
        <v>9.5200000000000014</v>
      </c>
      <c r="S179" s="324">
        <f>S42+SUM($E93:S93)</f>
        <v>9.5200000000000014</v>
      </c>
      <c r="T179" s="324">
        <f>T42+SUM($E93:T93)</f>
        <v>9.5200000000000014</v>
      </c>
      <c r="U179" s="324">
        <f>U42+SUM($E93:U93)</f>
        <v>9.5200000000000014</v>
      </c>
      <c r="V179" s="324">
        <f>V42+SUM($E93:V93)</f>
        <v>9.5200000000000014</v>
      </c>
      <c r="W179" s="324">
        <f>W42+SUM($E93:W93)</f>
        <v>9.5200000000000014</v>
      </c>
      <c r="X179" s="324">
        <f>X42+SUM($E93:X93)</f>
        <v>9.5200000000000014</v>
      </c>
      <c r="Y179" s="324">
        <f>Y42+SUM($E93:Y93)</f>
        <v>9.5200000000000014</v>
      </c>
      <c r="Z179" s="324">
        <f>Z42+SUM($E93:Z93)</f>
        <v>9.5200000000000014</v>
      </c>
      <c r="AA179" s="324">
        <f>AA42+SUM($E93:AA93)</f>
        <v>9.5200000000000014</v>
      </c>
      <c r="AB179" s="324">
        <f>AB42+SUM($E93:AB93)</f>
        <v>9.5200000000000014</v>
      </c>
      <c r="AC179" s="324">
        <f>AC42+SUM($E93:AC93)</f>
        <v>9.5200000000000014</v>
      </c>
      <c r="AD179" s="324">
        <f>AD42+SUM($E93:AD93)</f>
        <v>9.5200000000000014</v>
      </c>
      <c r="AE179" s="324">
        <f>AE42+SUM($E93:AE93)</f>
        <v>9.5200000000000014</v>
      </c>
      <c r="AF179" s="324">
        <f>AF42+SUM($E93:AF93)</f>
        <v>9.5200000000000014</v>
      </c>
      <c r="AG179" s="324">
        <f>AG42+SUM($E93:AG93)</f>
        <v>9.5200000000000014</v>
      </c>
      <c r="AH179" s="324">
        <f>AH42+SUM($E93:AH93)</f>
        <v>9.5200000000000014</v>
      </c>
      <c r="AI179" s="324">
        <f t="shared" ref="AI179:AI186" si="53">SUM(E179:AH179)</f>
        <v>180.89000000000004</v>
      </c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</row>
    <row r="180" spans="1:52" ht="14.4" outlineLevel="3">
      <c r="A180" s="322"/>
      <c r="B180" s="286" t="s">
        <v>199</v>
      </c>
      <c r="C180" s="323" t="s">
        <v>827</v>
      </c>
      <c r="D180" s="323" t="s">
        <v>826</v>
      </c>
      <c r="E180" s="324">
        <f>E43+SUM($E94:E94)</f>
        <v>9.3000000000000398</v>
      </c>
      <c r="F180" s="324">
        <f>F43+SUM($E94:F94)</f>
        <v>9.3000000000000398</v>
      </c>
      <c r="G180" s="324">
        <f>G43+SUM($E94:G94)</f>
        <v>9.3000000000000398</v>
      </c>
      <c r="H180" s="324">
        <f>H43+SUM($E94:H94)</f>
        <v>9.3000000000000398</v>
      </c>
      <c r="I180" s="324">
        <f>I43+SUM($E94:I94)</f>
        <v>9.3000000000000398</v>
      </c>
      <c r="J180" s="324">
        <f>J43+SUM($E94:J94)</f>
        <v>9.3000000000000398</v>
      </c>
      <c r="K180" s="324">
        <f>K43+SUM($E94:K94)</f>
        <v>9.3000000000000398</v>
      </c>
      <c r="L180" s="324">
        <f>L43+SUM($E94:L94)</f>
        <v>9.3000000000000398</v>
      </c>
      <c r="M180" s="324">
        <f>M43+SUM($E94:M94)</f>
        <v>18.44000000000004</v>
      </c>
      <c r="N180" s="324">
        <f>N43+SUM($E94:N94)</f>
        <v>18.44000000000004</v>
      </c>
      <c r="O180" s="324">
        <f>O43+SUM($E94:O94)</f>
        <v>18.44000000000004</v>
      </c>
      <c r="P180" s="324">
        <f>P43+SUM($E94:P94)</f>
        <v>18.44000000000004</v>
      </c>
      <c r="Q180" s="324">
        <f>Q43+SUM($E94:Q94)</f>
        <v>18.44000000000004</v>
      </c>
      <c r="R180" s="324">
        <f>R43+SUM($E94:R94)</f>
        <v>18.44000000000004</v>
      </c>
      <c r="S180" s="324">
        <f>S43+SUM($E94:S94)</f>
        <v>18.44000000000004</v>
      </c>
      <c r="T180" s="324">
        <f>T43+SUM($E94:T94)</f>
        <v>18.44000000000004</v>
      </c>
      <c r="U180" s="324">
        <f>U43+SUM($E94:U94)</f>
        <v>18.44000000000004</v>
      </c>
      <c r="V180" s="324">
        <f>V43+SUM($E94:V94)</f>
        <v>18.44000000000004</v>
      </c>
      <c r="W180" s="324">
        <f>W43+SUM($E94:W94)</f>
        <v>18.44000000000004</v>
      </c>
      <c r="X180" s="324">
        <f>X43+SUM($E94:X94)</f>
        <v>58.160000000000039</v>
      </c>
      <c r="Y180" s="324">
        <f>Y43+SUM($E94:Y94)</f>
        <v>58.160000000000039</v>
      </c>
      <c r="Z180" s="324">
        <f>Z43+SUM($E94:Z94)</f>
        <v>58.160000000000039</v>
      </c>
      <c r="AA180" s="324">
        <f>AA43+SUM($E94:AA94)</f>
        <v>58.160000000000039</v>
      </c>
      <c r="AB180" s="324">
        <f>AB43+SUM($E94:AB94)</f>
        <v>58.160000000000039</v>
      </c>
      <c r="AC180" s="324">
        <f>AC43+SUM($E94:AC94)</f>
        <v>58.160000000000039</v>
      </c>
      <c r="AD180" s="324">
        <f>AD43+SUM($E94:AD94)</f>
        <v>58.160000000000039</v>
      </c>
      <c r="AE180" s="324">
        <f>AE43+SUM($E94:AE94)</f>
        <v>58.160000000000039</v>
      </c>
      <c r="AF180" s="324">
        <f>AF43+SUM($E94:AF94)</f>
        <v>58.160000000000039</v>
      </c>
      <c r="AG180" s="324">
        <f>AG43+SUM($E94:AG94)</f>
        <v>58.160000000000039</v>
      </c>
      <c r="AH180" s="324">
        <f>AH43+SUM($E94:AH94)</f>
        <v>58.160000000000039</v>
      </c>
      <c r="AI180" s="324">
        <f t="shared" si="53"/>
        <v>917.00000000000148</v>
      </c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</row>
    <row r="181" spans="1:52" ht="14.4" outlineLevel="3">
      <c r="A181" s="322"/>
      <c r="B181" s="286" t="s">
        <v>200</v>
      </c>
      <c r="C181" s="323" t="s">
        <v>828</v>
      </c>
      <c r="D181" s="323" t="s">
        <v>826</v>
      </c>
      <c r="E181" s="324">
        <f>E44+SUM($E95:E95)</f>
        <v>2.8999999999999204</v>
      </c>
      <c r="F181" s="324">
        <f>F44+SUM($E95:F95)</f>
        <v>2.8999999999999204</v>
      </c>
      <c r="G181" s="324">
        <f>G44+SUM($E95:G95)</f>
        <v>2.8999999999999204</v>
      </c>
      <c r="H181" s="324">
        <f>H44+SUM($E95:H95)</f>
        <v>2.8999999999999204</v>
      </c>
      <c r="I181" s="324">
        <f>I44+SUM($E95:I95)</f>
        <v>2.8999999999999204</v>
      </c>
      <c r="J181" s="324">
        <f>J44+SUM($E95:J95)</f>
        <v>2.8999999999999204</v>
      </c>
      <c r="K181" s="324">
        <f>K44+SUM($E95:K95)</f>
        <v>2.8999999999999204</v>
      </c>
      <c r="L181" s="324">
        <f>L44+SUM($E95:L95)</f>
        <v>2.8999999999999204</v>
      </c>
      <c r="M181" s="324">
        <f>M44+SUM($E95:M95)</f>
        <v>2.8999999999999204</v>
      </c>
      <c r="N181" s="324">
        <f>N44+SUM($E95:N95)</f>
        <v>2.8999999999999204</v>
      </c>
      <c r="O181" s="324">
        <f>O44+SUM($E95:O95)</f>
        <v>2.8999999999999204</v>
      </c>
      <c r="P181" s="324">
        <f>P44+SUM($E95:P95)</f>
        <v>2.8999999999999204</v>
      </c>
      <c r="Q181" s="324">
        <f>Q44+SUM($E95:Q95)</f>
        <v>2.8999999999999204</v>
      </c>
      <c r="R181" s="324">
        <f>R44+SUM($E95:R95)</f>
        <v>2.8999999999999204</v>
      </c>
      <c r="S181" s="324">
        <f>S44+SUM($E95:S95)</f>
        <v>2.8999999999999204</v>
      </c>
      <c r="T181" s="324">
        <f>T44+SUM($E95:T95)</f>
        <v>2.8999999999999204</v>
      </c>
      <c r="U181" s="324">
        <f>U44+SUM($E95:U95)</f>
        <v>2.8999999999999204</v>
      </c>
      <c r="V181" s="324">
        <f>V44+SUM($E95:V95)</f>
        <v>2.8999999999999204</v>
      </c>
      <c r="W181" s="324">
        <f>W44+SUM($E95:W95)</f>
        <v>2.8999999999999204</v>
      </c>
      <c r="X181" s="324">
        <f>X44+SUM($E95:X95)</f>
        <v>2.8999999999999204</v>
      </c>
      <c r="Y181" s="324">
        <f>Y44+SUM($E95:Y95)</f>
        <v>2.8999999999999204</v>
      </c>
      <c r="Z181" s="324">
        <f>Z44+SUM($E95:Z95)</f>
        <v>2.8999999999999204</v>
      </c>
      <c r="AA181" s="324">
        <f>AA44+SUM($E95:AA95)</f>
        <v>2.8999999999999204</v>
      </c>
      <c r="AB181" s="324">
        <f>AB44+SUM($E95:AB95)</f>
        <v>14.359999999999921</v>
      </c>
      <c r="AC181" s="324">
        <f>AC44+SUM($E95:AC95)</f>
        <v>14.359999999999921</v>
      </c>
      <c r="AD181" s="324">
        <f>AD44+SUM($E95:AD95)</f>
        <v>14.359999999999921</v>
      </c>
      <c r="AE181" s="324">
        <f>AE44+SUM($E95:AE95)</f>
        <v>14.359999999999921</v>
      </c>
      <c r="AF181" s="324">
        <f>AF44+SUM($E95:AF95)</f>
        <v>14.359999999999921</v>
      </c>
      <c r="AG181" s="324">
        <f>AG44+SUM($E95:AG95)</f>
        <v>14.359999999999921</v>
      </c>
      <c r="AH181" s="324">
        <f>AH44+SUM($E95:AH95)</f>
        <v>14.359999999999921</v>
      </c>
      <c r="AI181" s="324">
        <f t="shared" si="53"/>
        <v>167.21999999999767</v>
      </c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</row>
    <row r="182" spans="1:52" ht="14.4" outlineLevel="3">
      <c r="A182" s="322"/>
      <c r="B182" s="286" t="s">
        <v>201</v>
      </c>
      <c r="C182" s="323" t="s">
        <v>829</v>
      </c>
      <c r="D182" s="323" t="s">
        <v>826</v>
      </c>
      <c r="E182" s="324">
        <f>E45+SUM($E96:E96)</f>
        <v>0.90000000000000568</v>
      </c>
      <c r="F182" s="324">
        <f>F45+SUM($E96:F96)</f>
        <v>0.90000000000000568</v>
      </c>
      <c r="G182" s="324">
        <f>G45+SUM($E96:G96)</f>
        <v>0.90000000000000568</v>
      </c>
      <c r="H182" s="324">
        <f>H45+SUM($E96:H96)</f>
        <v>0.90000000000000568</v>
      </c>
      <c r="I182" s="324">
        <f>I45+SUM($E96:I96)</f>
        <v>0.90000000000000568</v>
      </c>
      <c r="J182" s="324">
        <f>J45+SUM($E96:J96)</f>
        <v>0.90000000000000568</v>
      </c>
      <c r="K182" s="324">
        <f>K45+SUM($E96:K96)</f>
        <v>0.90000000000000568</v>
      </c>
      <c r="L182" s="324">
        <f>L45+SUM($E96:L96)</f>
        <v>0.90000000000000568</v>
      </c>
      <c r="M182" s="324">
        <f>M45+SUM($E96:M96)</f>
        <v>2.7100000000000057</v>
      </c>
      <c r="N182" s="324">
        <f>N45+SUM($E96:N96)</f>
        <v>2.7100000000000057</v>
      </c>
      <c r="O182" s="324">
        <f>O45+SUM($E96:O96)</f>
        <v>2.7100000000000057</v>
      </c>
      <c r="P182" s="324">
        <f>P45+SUM($E96:P96)</f>
        <v>2.7100000000000057</v>
      </c>
      <c r="Q182" s="324">
        <f>Q45+SUM($E96:Q96)</f>
        <v>2.7100000000000057</v>
      </c>
      <c r="R182" s="324">
        <f>R45+SUM($E96:R96)</f>
        <v>2.7100000000000057</v>
      </c>
      <c r="S182" s="324">
        <f>S45+SUM($E96:S96)</f>
        <v>2.7100000000000057</v>
      </c>
      <c r="T182" s="324">
        <f>T45+SUM($E96:T96)</f>
        <v>2.7100000000000057</v>
      </c>
      <c r="U182" s="324">
        <f>U45+SUM($E96:U96)</f>
        <v>2.7100000000000057</v>
      </c>
      <c r="V182" s="324">
        <f>V45+SUM($E96:V96)</f>
        <v>2.7100000000000057</v>
      </c>
      <c r="W182" s="324">
        <f>W45+SUM($E96:W96)</f>
        <v>2.7100000000000057</v>
      </c>
      <c r="X182" s="324">
        <f>X45+SUM($E96:X96)</f>
        <v>2.7100000000000057</v>
      </c>
      <c r="Y182" s="324">
        <f>Y45+SUM($E96:Y96)</f>
        <v>2.7100000000000057</v>
      </c>
      <c r="Z182" s="324">
        <f>Z45+SUM($E96:Z96)</f>
        <v>2.7100000000000057</v>
      </c>
      <c r="AA182" s="324">
        <f>AA45+SUM($E96:AA96)</f>
        <v>2.7100000000000057</v>
      </c>
      <c r="AB182" s="324">
        <f>AB45+SUM($E96:AB96)</f>
        <v>17.750000000000004</v>
      </c>
      <c r="AC182" s="324">
        <f>AC45+SUM($E96:AC96)</f>
        <v>17.750000000000004</v>
      </c>
      <c r="AD182" s="324">
        <f>AD45+SUM($E96:AD96)</f>
        <v>17.750000000000004</v>
      </c>
      <c r="AE182" s="324">
        <f>AE45+SUM($E96:AE96)</f>
        <v>17.750000000000004</v>
      </c>
      <c r="AF182" s="324">
        <f>AF45+SUM($E96:AF96)</f>
        <v>17.750000000000004</v>
      </c>
      <c r="AG182" s="324">
        <f>AG45+SUM($E96:AG96)</f>
        <v>17.750000000000004</v>
      </c>
      <c r="AH182" s="324">
        <f>AH45+SUM($E96:AH96)</f>
        <v>17.750000000000004</v>
      </c>
      <c r="AI182" s="324">
        <f t="shared" si="53"/>
        <v>172.10000000000014</v>
      </c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</row>
    <row r="183" spans="1:52" ht="14.4" outlineLevel="3">
      <c r="A183" s="322"/>
      <c r="B183" s="286" t="s">
        <v>836</v>
      </c>
      <c r="C183" s="323" t="s">
        <v>830</v>
      </c>
      <c r="D183" s="323" t="s">
        <v>826</v>
      </c>
      <c r="E183" s="324">
        <f>E46+SUM($E97:E97)</f>
        <v>0.19999999999998863</v>
      </c>
      <c r="F183" s="324">
        <f>F46+SUM($E97:F97)</f>
        <v>0.19999999999998863</v>
      </c>
      <c r="G183" s="324">
        <f>G46+SUM($E97:G97)</f>
        <v>0.19999999999998863</v>
      </c>
      <c r="H183" s="324">
        <f>H46+SUM($E97:H97)</f>
        <v>0.19999999999998863</v>
      </c>
      <c r="I183" s="324">
        <f>I46+SUM($E97:I97)</f>
        <v>0.19999999999998863</v>
      </c>
      <c r="J183" s="324">
        <f>J46+SUM($E97:J97)</f>
        <v>0.19999999999998863</v>
      </c>
      <c r="K183" s="324">
        <f>K46+SUM($E97:K97)</f>
        <v>0.19999999999998863</v>
      </c>
      <c r="L183" s="324">
        <f>L46+SUM($E97:L97)</f>
        <v>0.19999999999998863</v>
      </c>
      <c r="M183" s="324">
        <f>M46+SUM($E97:M97)</f>
        <v>2.3999999999999888</v>
      </c>
      <c r="N183" s="324">
        <f>N46+SUM($E97:N97)</f>
        <v>2.3999999999999888</v>
      </c>
      <c r="O183" s="324">
        <f>O46+SUM($E97:O97)</f>
        <v>2.3999999999999888</v>
      </c>
      <c r="P183" s="324">
        <f>P46+SUM($E97:P97)</f>
        <v>2.3999999999999888</v>
      </c>
      <c r="Q183" s="324">
        <f>Q46+SUM($E97:Q97)</f>
        <v>2.3999999999999888</v>
      </c>
      <c r="R183" s="324">
        <f>R46+SUM($E97:R97)</f>
        <v>2.3999999999999888</v>
      </c>
      <c r="S183" s="324">
        <f>S46+SUM($E97:S97)</f>
        <v>2.3999999999999888</v>
      </c>
      <c r="T183" s="324">
        <f>T46+SUM($E97:T97)</f>
        <v>2.3999999999999888</v>
      </c>
      <c r="U183" s="324">
        <f>U46+SUM($E97:U97)</f>
        <v>2.3999999999999888</v>
      </c>
      <c r="V183" s="324">
        <f>V46+SUM($E97:V97)</f>
        <v>2.3999999999999888</v>
      </c>
      <c r="W183" s="324">
        <f>W46+SUM($E97:W97)</f>
        <v>2.3999999999999888</v>
      </c>
      <c r="X183" s="324">
        <f>X46+SUM($E97:X97)</f>
        <v>2.3999999999999888</v>
      </c>
      <c r="Y183" s="324">
        <f>Y46+SUM($E97:Y97)</f>
        <v>2.3999999999999888</v>
      </c>
      <c r="Z183" s="324">
        <f>Z46+SUM($E97:Z97)</f>
        <v>2.3999999999999888</v>
      </c>
      <c r="AA183" s="324">
        <f>AA46+SUM($E97:AA97)</f>
        <v>2.3999999999999888</v>
      </c>
      <c r="AB183" s="324">
        <f>AB46+SUM($E97:AB97)</f>
        <v>12.679999999999989</v>
      </c>
      <c r="AC183" s="324">
        <f>AC46+SUM($E97:AC97)</f>
        <v>12.679999999999989</v>
      </c>
      <c r="AD183" s="324">
        <f>AD46+SUM($E97:AD97)</f>
        <v>12.679999999999989</v>
      </c>
      <c r="AE183" s="324">
        <f>AE46+SUM($E97:AE97)</f>
        <v>12.679999999999989</v>
      </c>
      <c r="AF183" s="324">
        <f>AF46+SUM($E97:AF97)</f>
        <v>12.679999999999989</v>
      </c>
      <c r="AG183" s="324">
        <f>AG46+SUM($E97:AG97)</f>
        <v>12.679999999999989</v>
      </c>
      <c r="AH183" s="324">
        <f>AH46+SUM($E97:AH97)</f>
        <v>12.679999999999989</v>
      </c>
      <c r="AI183" s="324">
        <f t="shared" si="53"/>
        <v>126.35999999999969</v>
      </c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</row>
    <row r="184" spans="1:52" ht="14.4" outlineLevel="3">
      <c r="A184" s="322" t="s">
        <v>831</v>
      </c>
      <c r="B184" s="326" t="s">
        <v>837</v>
      </c>
      <c r="C184" s="327" t="s">
        <v>832</v>
      </c>
      <c r="D184" s="327" t="s">
        <v>826</v>
      </c>
      <c r="E184" s="324">
        <f>E47+SUM($E98:E98)</f>
        <v>0.19999999999998863</v>
      </c>
      <c r="F184" s="324">
        <f>F47+SUM($E98:F98)</f>
        <v>0.19999999999998863</v>
      </c>
      <c r="G184" s="324">
        <f>G47+SUM($E98:G98)</f>
        <v>0.19999999999998863</v>
      </c>
      <c r="H184" s="324">
        <f>H47+SUM($E98:H98)</f>
        <v>0.19999999999998863</v>
      </c>
      <c r="I184" s="324">
        <f>I47+SUM($E98:I98)</f>
        <v>0.19999999999998863</v>
      </c>
      <c r="J184" s="324">
        <f>J47+SUM($E98:J98)</f>
        <v>0.19999999999998863</v>
      </c>
      <c r="K184" s="328">
        <f>K47+SUM($E98:K98)</f>
        <v>0.19999999999998863</v>
      </c>
      <c r="L184" s="328">
        <f>L47+SUM($E98:L98)</f>
        <v>0.19999999999998863</v>
      </c>
      <c r="M184" s="328">
        <f>M47+SUM($E98:M98)</f>
        <v>0.19999999999998863</v>
      </c>
      <c r="N184" s="328">
        <f>N47+SUM($E98:N98)</f>
        <v>0.19999999999998863</v>
      </c>
      <c r="O184" s="328">
        <f>O47+SUM($E98:O98)</f>
        <v>0.19999999999998863</v>
      </c>
      <c r="P184" s="328">
        <f>P47+SUM($E98:P98)</f>
        <v>5.7099999999999884</v>
      </c>
      <c r="Q184" s="328">
        <f>Q47+SUM($E98:Q98)</f>
        <v>5.7099999999999884</v>
      </c>
      <c r="R184" s="328">
        <f>R47+SUM($E98:R98)</f>
        <v>5.7099999999999884</v>
      </c>
      <c r="S184" s="328">
        <f>S47+SUM($E98:S98)</f>
        <v>5.7099999999999884</v>
      </c>
      <c r="T184" s="328">
        <f>T47+SUM($E98:T98)</f>
        <v>5.7099999999999884</v>
      </c>
      <c r="U184" s="328">
        <f>U47+SUM($E98:U98)</f>
        <v>5.7099999999999884</v>
      </c>
      <c r="V184" s="328">
        <f>V47+SUM($E98:V98)</f>
        <v>5.7099999999999884</v>
      </c>
      <c r="W184" s="328">
        <f>W47+SUM($E98:W98)</f>
        <v>5.7099999999999884</v>
      </c>
      <c r="X184" s="328">
        <f>X47+SUM($E98:X98)</f>
        <v>5.7099999999999884</v>
      </c>
      <c r="Y184" s="328">
        <f>Y47+SUM($E98:Y98)</f>
        <v>5.7099999999999884</v>
      </c>
      <c r="Z184" s="328">
        <f>Z47+SUM($E98:Z98)</f>
        <v>5.7099999999999884</v>
      </c>
      <c r="AA184" s="328">
        <f>AA47+SUM($E98:AA98)</f>
        <v>5.7099999999999884</v>
      </c>
      <c r="AB184" s="328">
        <f>AB47+SUM($E98:AB98)</f>
        <v>5.7099999999999884</v>
      </c>
      <c r="AC184" s="328">
        <f>AC47+SUM($E98:AC98)</f>
        <v>5.7099999999999884</v>
      </c>
      <c r="AD184" s="328">
        <f>AD47+SUM($E98:AD98)</f>
        <v>5.7099999999999884</v>
      </c>
      <c r="AE184" s="328">
        <f>AE47+SUM($E98:AE98)</f>
        <v>5.7099999999999884</v>
      </c>
      <c r="AF184" s="328">
        <f>AF47+SUM($E98:AF98)</f>
        <v>5.7099999999999884</v>
      </c>
      <c r="AG184" s="328">
        <f>AG47+SUM($E98:AG98)</f>
        <v>5.7099999999999884</v>
      </c>
      <c r="AH184" s="328">
        <f>AH47+SUM($E98:AH98)</f>
        <v>5.7099999999999884</v>
      </c>
      <c r="AI184" s="328">
        <f t="shared" si="53"/>
        <v>110.68999999999969</v>
      </c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</row>
    <row r="185" spans="1:52" ht="14.4" outlineLevel="3">
      <c r="A185" s="322" t="s">
        <v>831</v>
      </c>
      <c r="B185" s="326" t="s">
        <v>838</v>
      </c>
      <c r="C185" s="327" t="s">
        <v>833</v>
      </c>
      <c r="D185" s="327" t="s">
        <v>826</v>
      </c>
      <c r="E185" s="324">
        <f>E48+SUM($E99:E99)</f>
        <v>0</v>
      </c>
      <c r="F185" s="324">
        <f>F48+SUM($E99:F99)</f>
        <v>0</v>
      </c>
      <c r="G185" s="324">
        <f>G48+SUM($E99:G99)</f>
        <v>0</v>
      </c>
      <c r="H185" s="324">
        <f>H48+SUM($E99:H99)</f>
        <v>0</v>
      </c>
      <c r="I185" s="324">
        <f>I48+SUM($E99:I99)</f>
        <v>0</v>
      </c>
      <c r="J185" s="324">
        <f>J48+SUM($E99:J99)</f>
        <v>0</v>
      </c>
      <c r="K185" s="328">
        <f>K48+SUM($E99:K99)</f>
        <v>0</v>
      </c>
      <c r="L185" s="328">
        <f>L48+SUM($E99:L99)</f>
        <v>0</v>
      </c>
      <c r="M185" s="328">
        <f>M48+SUM($E99:M99)</f>
        <v>0</v>
      </c>
      <c r="N185" s="328">
        <f>N48+SUM($E99:N99)</f>
        <v>0</v>
      </c>
      <c r="O185" s="328">
        <f>O48+SUM($E99:O99)</f>
        <v>0</v>
      </c>
      <c r="P185" s="328">
        <f>P48+SUM($E99:P99)</f>
        <v>0</v>
      </c>
      <c r="Q185" s="328">
        <f>Q48+SUM($E99:Q99)</f>
        <v>0</v>
      </c>
      <c r="R185" s="328">
        <f>R48+SUM($E99:R99)</f>
        <v>0</v>
      </c>
      <c r="S185" s="328">
        <f>S48+SUM($E99:S99)</f>
        <v>0</v>
      </c>
      <c r="T185" s="328">
        <f>T48+SUM($E99:T99)</f>
        <v>0</v>
      </c>
      <c r="U185" s="328">
        <f>U48+SUM($E99:U99)</f>
        <v>0</v>
      </c>
      <c r="V185" s="328">
        <f>V48+SUM($E99:V99)</f>
        <v>0</v>
      </c>
      <c r="W185" s="328">
        <f>W48+SUM($E99:W99)</f>
        <v>0</v>
      </c>
      <c r="X185" s="328">
        <f>X48+SUM($E99:X99)</f>
        <v>0</v>
      </c>
      <c r="Y185" s="328">
        <f>Y48+SUM($E99:Y99)</f>
        <v>0</v>
      </c>
      <c r="Z185" s="328">
        <f>Z48+SUM($E99:Z99)</f>
        <v>0</v>
      </c>
      <c r="AA185" s="328">
        <f>AA48+SUM($E99:AA99)</f>
        <v>0</v>
      </c>
      <c r="AB185" s="328">
        <f>AB48+SUM($E99:AB99)</f>
        <v>0</v>
      </c>
      <c r="AC185" s="328">
        <f>AC48+SUM($E99:AC99)</f>
        <v>0</v>
      </c>
      <c r="AD185" s="328">
        <f>AD48+SUM($E99:AD99)</f>
        <v>0</v>
      </c>
      <c r="AE185" s="328">
        <f>AE48+SUM($E99:AE99)</f>
        <v>0</v>
      </c>
      <c r="AF185" s="328">
        <f>AF48+SUM($E99:AF99)</f>
        <v>0</v>
      </c>
      <c r="AG185" s="328">
        <f>AG48+SUM($E99:AG99)</f>
        <v>0</v>
      </c>
      <c r="AH185" s="328">
        <f>AH48+SUM($E99:AH99)</f>
        <v>0</v>
      </c>
      <c r="AI185" s="328">
        <f t="shared" si="53"/>
        <v>0</v>
      </c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</row>
    <row r="186" spans="1:52" ht="14.4" outlineLevel="3">
      <c r="A186" s="322" t="s">
        <v>831</v>
      </c>
      <c r="B186" s="326" t="s">
        <v>839</v>
      </c>
      <c r="C186" s="327" t="s">
        <v>1015</v>
      </c>
      <c r="D186" s="327" t="s">
        <v>826</v>
      </c>
      <c r="E186" s="324">
        <f>E49+SUM($E100:E100)</f>
        <v>0</v>
      </c>
      <c r="F186" s="324">
        <f>F49+SUM($E100:F100)</f>
        <v>0</v>
      </c>
      <c r="G186" s="324">
        <f>G49+SUM($E100:G100)</f>
        <v>0</v>
      </c>
      <c r="H186" s="324">
        <f>H49+SUM($E100:H100)</f>
        <v>0</v>
      </c>
      <c r="I186" s="324">
        <f>I49+SUM($E100:I100)</f>
        <v>0</v>
      </c>
      <c r="J186" s="324">
        <f>J49+SUM($E100:J100)</f>
        <v>0</v>
      </c>
      <c r="K186" s="328">
        <f>K49+SUM($E100:K100)</f>
        <v>0</v>
      </c>
      <c r="L186" s="328">
        <f>L49+SUM($E100:L100)</f>
        <v>0</v>
      </c>
      <c r="M186" s="328">
        <f>M49+SUM($E100:M100)</f>
        <v>0</v>
      </c>
      <c r="N186" s="328">
        <f>N49+SUM($E100:N100)</f>
        <v>0</v>
      </c>
      <c r="O186" s="328">
        <f>O49+SUM($E100:O100)</f>
        <v>0</v>
      </c>
      <c r="P186" s="328">
        <f>P49+SUM($E100:P100)</f>
        <v>0</v>
      </c>
      <c r="Q186" s="328">
        <f>Q49+SUM($E100:Q100)</f>
        <v>0</v>
      </c>
      <c r="R186" s="328">
        <f>R49+SUM($E100:R100)</f>
        <v>0</v>
      </c>
      <c r="S186" s="328">
        <f>S49+SUM($E100:S100)</f>
        <v>0</v>
      </c>
      <c r="T186" s="328">
        <f>T49+SUM($E100:T100)</f>
        <v>0</v>
      </c>
      <c r="U186" s="328">
        <f>U49+SUM($E100:U100)</f>
        <v>0</v>
      </c>
      <c r="V186" s="328">
        <f>V49+SUM($E100:V100)</f>
        <v>0</v>
      </c>
      <c r="W186" s="328">
        <f>W49+SUM($E100:W100)</f>
        <v>0</v>
      </c>
      <c r="X186" s="328">
        <f>X49+SUM($E100:X100)</f>
        <v>0</v>
      </c>
      <c r="Y186" s="328">
        <f>Y49+SUM($E100:Y100)</f>
        <v>0</v>
      </c>
      <c r="Z186" s="328">
        <f>Z49+SUM($E100:Z100)</f>
        <v>0</v>
      </c>
      <c r="AA186" s="328">
        <f>AA49+SUM($E100:AA100)</f>
        <v>0</v>
      </c>
      <c r="AB186" s="328">
        <f>AB49+SUM($E100:AB100)</f>
        <v>0</v>
      </c>
      <c r="AC186" s="328">
        <f>AC49+SUM($E100:AC100)</f>
        <v>0</v>
      </c>
      <c r="AD186" s="328">
        <f>AD49+SUM($E100:AD100)</f>
        <v>0</v>
      </c>
      <c r="AE186" s="328">
        <f>AE49+SUM($E100:AE100)</f>
        <v>0</v>
      </c>
      <c r="AF186" s="328">
        <f>AF49+SUM($E100:AF100)</f>
        <v>0</v>
      </c>
      <c r="AG186" s="328">
        <f>AG49+SUM($E100:AG100)</f>
        <v>0</v>
      </c>
      <c r="AH186" s="328">
        <f>AH49+SUM($E100:AH100)</f>
        <v>0</v>
      </c>
      <c r="AI186" s="328">
        <f t="shared" si="53"/>
        <v>0</v>
      </c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</row>
    <row r="187" spans="1:52" ht="14.4" outlineLevel="1">
      <c r="B187" s="403" t="s">
        <v>849</v>
      </c>
      <c r="C187" s="404"/>
      <c r="D187" s="66"/>
      <c r="E187" s="130"/>
      <c r="F187" s="130"/>
      <c r="G187" s="130"/>
      <c r="H187" s="130"/>
      <c r="I187" s="130"/>
      <c r="J187" s="130"/>
      <c r="K187" s="130"/>
      <c r="L187" s="130"/>
      <c r="M187" s="130"/>
      <c r="N187" s="130"/>
      <c r="O187" s="130"/>
      <c r="P187" s="130"/>
      <c r="Q187" s="130"/>
      <c r="R187" s="130"/>
      <c r="S187" s="130"/>
      <c r="T187" s="130"/>
      <c r="U187" s="130"/>
      <c r="V187" s="130"/>
      <c r="W187" s="130"/>
      <c r="X187" s="130"/>
      <c r="Y187" s="130"/>
      <c r="Z187" s="130"/>
      <c r="AA187" s="130"/>
      <c r="AB187" s="130"/>
      <c r="AC187" s="130"/>
      <c r="AD187" s="130"/>
      <c r="AE187" s="130"/>
      <c r="AF187" s="130"/>
      <c r="AG187" s="130"/>
      <c r="AH187" s="130"/>
      <c r="AI187" s="127" t="s">
        <v>821</v>
      </c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</row>
    <row r="188" spans="1:52" ht="14.4" outlineLevel="2">
      <c r="B188" s="10">
        <v>3</v>
      </c>
      <c r="C188" s="11" t="s">
        <v>908</v>
      </c>
      <c r="D188" s="11" t="s">
        <v>826</v>
      </c>
      <c r="E188" s="128">
        <f t="shared" ref="E188:AI188" si="54">SUM(E189:E196)</f>
        <v>0</v>
      </c>
      <c r="F188" s="128">
        <f t="shared" si="54"/>
        <v>46.717142857142868</v>
      </c>
      <c r="G188" s="128">
        <f t="shared" si="54"/>
        <v>93.434285714285735</v>
      </c>
      <c r="H188" s="128">
        <f t="shared" si="54"/>
        <v>140.15142857142862</v>
      </c>
      <c r="I188" s="128">
        <f t="shared" si="54"/>
        <v>186.86857142857147</v>
      </c>
      <c r="J188" s="128">
        <f t="shared" si="54"/>
        <v>233.58571428571435</v>
      </c>
      <c r="K188" s="128">
        <f t="shared" si="54"/>
        <v>280.30285714285725</v>
      </c>
      <c r="L188" s="128">
        <f t="shared" si="54"/>
        <v>327.02000000000004</v>
      </c>
      <c r="M188" s="128">
        <f t="shared" si="54"/>
        <v>327.02000000000004</v>
      </c>
      <c r="N188" s="128">
        <f t="shared" si="54"/>
        <v>327.02000000000004</v>
      </c>
      <c r="O188" s="128">
        <f t="shared" si="54"/>
        <v>327.02000000000004</v>
      </c>
      <c r="P188" s="128">
        <f t="shared" si="54"/>
        <v>327.02000000000004</v>
      </c>
      <c r="Q188" s="128">
        <f t="shared" si="54"/>
        <v>327.02000000000004</v>
      </c>
      <c r="R188" s="128">
        <f t="shared" si="54"/>
        <v>327.02000000000004</v>
      </c>
      <c r="S188" s="128">
        <f t="shared" si="54"/>
        <v>327.02000000000004</v>
      </c>
      <c r="T188" s="128">
        <f t="shared" si="54"/>
        <v>327.02000000000004</v>
      </c>
      <c r="U188" s="128">
        <f t="shared" si="54"/>
        <v>327.02000000000004</v>
      </c>
      <c r="V188" s="128">
        <f t="shared" si="54"/>
        <v>327.02000000000004</v>
      </c>
      <c r="W188" s="128">
        <f t="shared" si="54"/>
        <v>327.02000000000004</v>
      </c>
      <c r="X188" s="128">
        <f t="shared" si="54"/>
        <v>327.02000000000004</v>
      </c>
      <c r="Y188" s="128">
        <f t="shared" si="54"/>
        <v>327.02000000000004</v>
      </c>
      <c r="Z188" s="128">
        <f t="shared" si="54"/>
        <v>327.02000000000004</v>
      </c>
      <c r="AA188" s="128">
        <f t="shared" si="54"/>
        <v>327.02000000000004</v>
      </c>
      <c r="AB188" s="128">
        <f t="shared" si="54"/>
        <v>327.02000000000004</v>
      </c>
      <c r="AC188" s="128">
        <f t="shared" si="54"/>
        <v>327.02000000000004</v>
      </c>
      <c r="AD188" s="128">
        <f t="shared" si="54"/>
        <v>327.02000000000004</v>
      </c>
      <c r="AE188" s="128">
        <f t="shared" si="54"/>
        <v>327.02000000000004</v>
      </c>
      <c r="AF188" s="128">
        <f t="shared" si="54"/>
        <v>327.02000000000004</v>
      </c>
      <c r="AG188" s="128">
        <f t="shared" si="54"/>
        <v>327.02000000000004</v>
      </c>
      <c r="AH188" s="128">
        <f t="shared" si="54"/>
        <v>327.02000000000004</v>
      </c>
      <c r="AI188" s="128">
        <f t="shared" si="54"/>
        <v>8502.52</v>
      </c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</row>
    <row r="189" spans="1:52" ht="14.4" outlineLevel="3">
      <c r="A189" s="322"/>
      <c r="B189" s="286" t="s">
        <v>842</v>
      </c>
      <c r="C189" s="323" t="s">
        <v>825</v>
      </c>
      <c r="D189" s="323" t="s">
        <v>826</v>
      </c>
      <c r="E189" s="324">
        <f>E52+SUM($E102:E102)</f>
        <v>0</v>
      </c>
      <c r="F189" s="324">
        <f>F52+SUM($E102:F102)</f>
        <v>3.3542857142857145</v>
      </c>
      <c r="G189" s="324">
        <f>G52+SUM($E102:G102)</f>
        <v>6.7085714285714291</v>
      </c>
      <c r="H189" s="324">
        <f>H52+SUM($E102:H102)</f>
        <v>10.062857142857144</v>
      </c>
      <c r="I189" s="324">
        <f>I52+SUM($E102:I102)</f>
        <v>13.417142857142858</v>
      </c>
      <c r="J189" s="324">
        <f>J52+SUM($E102:J102)</f>
        <v>16.771428571428572</v>
      </c>
      <c r="K189" s="324">
        <f>K52+SUM($E102:K102)</f>
        <v>20.125714285714288</v>
      </c>
      <c r="L189" s="324">
        <f>L52+SUM($E102:L102)</f>
        <v>23.480000000000004</v>
      </c>
      <c r="M189" s="324">
        <f>M52+SUM($E102:M102)</f>
        <v>23.480000000000004</v>
      </c>
      <c r="N189" s="324">
        <f>N52+SUM($E102:N102)</f>
        <v>23.480000000000004</v>
      </c>
      <c r="O189" s="324">
        <f>O52+SUM($E102:O102)</f>
        <v>23.480000000000004</v>
      </c>
      <c r="P189" s="324">
        <f>P52+SUM($E102:P102)</f>
        <v>23.480000000000004</v>
      </c>
      <c r="Q189" s="324">
        <f>Q52+SUM($E102:Q102)</f>
        <v>23.480000000000004</v>
      </c>
      <c r="R189" s="324">
        <f>R52+SUM($E102:R102)</f>
        <v>23.480000000000004</v>
      </c>
      <c r="S189" s="324">
        <f>S52+SUM($E102:S102)</f>
        <v>23.480000000000004</v>
      </c>
      <c r="T189" s="324">
        <f>T52+SUM($E102:T102)</f>
        <v>23.480000000000004</v>
      </c>
      <c r="U189" s="324">
        <f>U52+SUM($E102:U102)</f>
        <v>23.480000000000004</v>
      </c>
      <c r="V189" s="324">
        <f>V52+SUM($E102:V102)</f>
        <v>23.480000000000004</v>
      </c>
      <c r="W189" s="324">
        <f>W52+SUM($E102:W102)</f>
        <v>23.480000000000004</v>
      </c>
      <c r="X189" s="324">
        <f>X52+SUM($E102:X102)</f>
        <v>23.480000000000004</v>
      </c>
      <c r="Y189" s="324">
        <f>Y52+SUM($E102:Y102)</f>
        <v>23.480000000000004</v>
      </c>
      <c r="Z189" s="324">
        <f>Z52+SUM($E102:Z102)</f>
        <v>23.480000000000004</v>
      </c>
      <c r="AA189" s="324">
        <f>AA52+SUM($E102:AA102)</f>
        <v>23.480000000000004</v>
      </c>
      <c r="AB189" s="324">
        <f>AB52+SUM($E102:AB102)</f>
        <v>23.480000000000004</v>
      </c>
      <c r="AC189" s="324">
        <f>AC52+SUM($E102:AC102)</f>
        <v>23.480000000000004</v>
      </c>
      <c r="AD189" s="324">
        <f>AD52+SUM($E102:AD102)</f>
        <v>23.480000000000004</v>
      </c>
      <c r="AE189" s="324">
        <f>AE52+SUM($E102:AE102)</f>
        <v>23.480000000000004</v>
      </c>
      <c r="AF189" s="324">
        <f>AF52+SUM($E102:AF102)</f>
        <v>23.480000000000004</v>
      </c>
      <c r="AG189" s="324">
        <f>AG52+SUM($E102:AG102)</f>
        <v>23.480000000000004</v>
      </c>
      <c r="AH189" s="324">
        <f>AH52+SUM($E102:AH102)</f>
        <v>23.480000000000004</v>
      </c>
      <c r="AI189" s="324">
        <f t="shared" ref="AI189:AI196" si="55">SUM(E189:AH189)</f>
        <v>610.48000000000036</v>
      </c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</row>
    <row r="190" spans="1:52" ht="14.4" outlineLevel="3">
      <c r="A190" s="322"/>
      <c r="B190" s="286" t="s">
        <v>203</v>
      </c>
      <c r="C190" s="323" t="s">
        <v>827</v>
      </c>
      <c r="D190" s="323" t="s">
        <v>826</v>
      </c>
      <c r="E190" s="324">
        <f>E53+SUM($E103:E103)</f>
        <v>0</v>
      </c>
      <c r="F190" s="324">
        <f>F53+SUM($E103:F103)</f>
        <v>21.177142857142854</v>
      </c>
      <c r="G190" s="324">
        <f>G53+SUM($E103:G103)</f>
        <v>42.354285714285709</v>
      </c>
      <c r="H190" s="324">
        <f>H53+SUM($E103:H103)</f>
        <v>63.531428571428563</v>
      </c>
      <c r="I190" s="324">
        <f>I53+SUM($E103:I103)</f>
        <v>84.708571428571418</v>
      </c>
      <c r="J190" s="324">
        <f>J53+SUM($E103:J103)</f>
        <v>105.88571428571427</v>
      </c>
      <c r="K190" s="324">
        <f>K53+SUM($E103:K103)</f>
        <v>127.06285714285713</v>
      </c>
      <c r="L190" s="324">
        <f>L53+SUM($E103:L103)</f>
        <v>148.23999999999998</v>
      </c>
      <c r="M190" s="324">
        <f>M53+SUM($E103:M103)</f>
        <v>148.23999999999998</v>
      </c>
      <c r="N190" s="324">
        <f>N53+SUM($E103:N103)</f>
        <v>148.23999999999998</v>
      </c>
      <c r="O190" s="324">
        <f>O53+SUM($E103:O103)</f>
        <v>148.23999999999998</v>
      </c>
      <c r="P190" s="324">
        <f>P53+SUM($E103:P103)</f>
        <v>148.23999999999998</v>
      </c>
      <c r="Q190" s="324">
        <f>Q53+SUM($E103:Q103)</f>
        <v>148.23999999999998</v>
      </c>
      <c r="R190" s="324">
        <f>R53+SUM($E103:R103)</f>
        <v>148.23999999999998</v>
      </c>
      <c r="S190" s="324">
        <f>S53+SUM($E103:S103)</f>
        <v>148.23999999999998</v>
      </c>
      <c r="T190" s="324">
        <f>T53+SUM($E103:T103)</f>
        <v>148.23999999999998</v>
      </c>
      <c r="U190" s="324">
        <f>U53+SUM($E103:U103)</f>
        <v>148.23999999999998</v>
      </c>
      <c r="V190" s="324">
        <f>V53+SUM($E103:V103)</f>
        <v>148.23999999999998</v>
      </c>
      <c r="W190" s="324">
        <f>W53+SUM($E103:W103)</f>
        <v>148.23999999999998</v>
      </c>
      <c r="X190" s="324">
        <f>X53+SUM($E103:X103)</f>
        <v>148.23999999999998</v>
      </c>
      <c r="Y190" s="324">
        <f>Y53+SUM($E103:Y103)</f>
        <v>148.23999999999998</v>
      </c>
      <c r="Z190" s="324">
        <f>Z53+SUM($E103:Z103)</f>
        <v>148.23999999999998</v>
      </c>
      <c r="AA190" s="324">
        <f>AA53+SUM($E103:AA103)</f>
        <v>148.23999999999998</v>
      </c>
      <c r="AB190" s="324">
        <f>AB53+SUM($E103:AB103)</f>
        <v>148.23999999999998</v>
      </c>
      <c r="AC190" s="324">
        <f>AC53+SUM($E103:AC103)</f>
        <v>148.23999999999998</v>
      </c>
      <c r="AD190" s="324">
        <f>AD53+SUM($E103:AD103)</f>
        <v>148.23999999999998</v>
      </c>
      <c r="AE190" s="324">
        <f>AE53+SUM($E103:AE103)</f>
        <v>148.23999999999998</v>
      </c>
      <c r="AF190" s="324">
        <f>AF53+SUM($E103:AF103)</f>
        <v>148.23999999999998</v>
      </c>
      <c r="AG190" s="324">
        <f>AG53+SUM($E103:AG103)</f>
        <v>148.23999999999998</v>
      </c>
      <c r="AH190" s="324">
        <f>AH53+SUM($E103:AH103)</f>
        <v>148.23999999999998</v>
      </c>
      <c r="AI190" s="324">
        <f t="shared" si="55"/>
        <v>3854.2399999999971</v>
      </c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</row>
    <row r="191" spans="1:52" ht="14.4" outlineLevel="3">
      <c r="A191" s="322"/>
      <c r="B191" s="286" t="s">
        <v>843</v>
      </c>
      <c r="C191" s="323" t="s">
        <v>828</v>
      </c>
      <c r="D191" s="323" t="s">
        <v>826</v>
      </c>
      <c r="E191" s="324">
        <f>E54+SUM($E104:E104)</f>
        <v>0</v>
      </c>
      <c r="F191" s="324">
        <f>F54+SUM($E104:F104)</f>
        <v>3.4628571428571533</v>
      </c>
      <c r="G191" s="324">
        <f>G54+SUM($E104:G104)</f>
        <v>6.9257142857143066</v>
      </c>
      <c r="H191" s="324">
        <f>H54+SUM($E104:H104)</f>
        <v>10.38857142857146</v>
      </c>
      <c r="I191" s="324">
        <f>I54+SUM($E104:I104)</f>
        <v>13.851428571428613</v>
      </c>
      <c r="J191" s="324">
        <f>J54+SUM($E104:J104)</f>
        <v>17.314285714285766</v>
      </c>
      <c r="K191" s="324">
        <f>K54+SUM($E104:K104)</f>
        <v>20.77714285714292</v>
      </c>
      <c r="L191" s="324">
        <f>L54+SUM($E104:L104)</f>
        <v>24.240000000000073</v>
      </c>
      <c r="M191" s="324">
        <f>M54+SUM($E104:M104)</f>
        <v>24.240000000000073</v>
      </c>
      <c r="N191" s="324">
        <f>N54+SUM($E104:N104)</f>
        <v>24.240000000000073</v>
      </c>
      <c r="O191" s="324">
        <f>O54+SUM($E104:O104)</f>
        <v>24.240000000000073</v>
      </c>
      <c r="P191" s="324">
        <f>P54+SUM($E104:P104)</f>
        <v>24.240000000000073</v>
      </c>
      <c r="Q191" s="324">
        <f>Q54+SUM($E104:Q104)</f>
        <v>24.240000000000073</v>
      </c>
      <c r="R191" s="324">
        <f>R54+SUM($E104:R104)</f>
        <v>24.240000000000073</v>
      </c>
      <c r="S191" s="324">
        <f>S54+SUM($E104:S104)</f>
        <v>24.240000000000073</v>
      </c>
      <c r="T191" s="324">
        <f>T54+SUM($E104:T104)</f>
        <v>24.240000000000073</v>
      </c>
      <c r="U191" s="324">
        <f>U54+SUM($E104:U104)</f>
        <v>24.240000000000073</v>
      </c>
      <c r="V191" s="324">
        <f>V54+SUM($E104:V104)</f>
        <v>24.240000000000073</v>
      </c>
      <c r="W191" s="324">
        <f>W54+SUM($E104:W104)</f>
        <v>24.240000000000073</v>
      </c>
      <c r="X191" s="324">
        <f>X54+SUM($E104:X104)</f>
        <v>24.240000000000073</v>
      </c>
      <c r="Y191" s="324">
        <f>Y54+SUM($E104:Y104)</f>
        <v>24.240000000000073</v>
      </c>
      <c r="Z191" s="324">
        <f>Z54+SUM($E104:Z104)</f>
        <v>24.240000000000073</v>
      </c>
      <c r="AA191" s="324">
        <f>AA54+SUM($E104:AA104)</f>
        <v>24.240000000000073</v>
      </c>
      <c r="AB191" s="324">
        <f>AB54+SUM($E104:AB104)</f>
        <v>24.240000000000073</v>
      </c>
      <c r="AC191" s="324">
        <f>AC54+SUM($E104:AC104)</f>
        <v>24.240000000000073</v>
      </c>
      <c r="AD191" s="324">
        <f>AD54+SUM($E104:AD104)</f>
        <v>24.240000000000073</v>
      </c>
      <c r="AE191" s="324">
        <f>AE54+SUM($E104:AE104)</f>
        <v>24.240000000000073</v>
      </c>
      <c r="AF191" s="324">
        <f>AF54+SUM($E104:AF104)</f>
        <v>24.240000000000073</v>
      </c>
      <c r="AG191" s="324">
        <f>AG54+SUM($E104:AG104)</f>
        <v>24.240000000000073</v>
      </c>
      <c r="AH191" s="324">
        <f>AH54+SUM($E104:AH104)</f>
        <v>24.240000000000073</v>
      </c>
      <c r="AI191" s="324">
        <f t="shared" si="55"/>
        <v>630.24000000000206</v>
      </c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</row>
    <row r="192" spans="1:52" ht="14.4" outlineLevel="3">
      <c r="A192" s="322"/>
      <c r="B192" s="286" t="s">
        <v>844</v>
      </c>
      <c r="C192" s="323" t="s">
        <v>829</v>
      </c>
      <c r="D192" s="323" t="s">
        <v>826</v>
      </c>
      <c r="E192" s="324">
        <f>E55+SUM($E105:E105)</f>
        <v>0</v>
      </c>
      <c r="F192" s="324">
        <f>F55+SUM($E105:F105)</f>
        <v>11.035714285714285</v>
      </c>
      <c r="G192" s="324">
        <f>G55+SUM($E105:G105)</f>
        <v>22.071428571428569</v>
      </c>
      <c r="H192" s="324">
        <f>H55+SUM($E105:H105)</f>
        <v>33.107142857142854</v>
      </c>
      <c r="I192" s="324">
        <f>I55+SUM($E105:I105)</f>
        <v>44.142857142857139</v>
      </c>
      <c r="J192" s="324">
        <f>J55+SUM($E105:J105)</f>
        <v>55.178571428571423</v>
      </c>
      <c r="K192" s="324">
        <f>K55+SUM($E105:K105)</f>
        <v>66.214285714285708</v>
      </c>
      <c r="L192" s="324">
        <f>L55+SUM($E105:L105)</f>
        <v>77.25</v>
      </c>
      <c r="M192" s="324">
        <f>M55+SUM($E105:M105)</f>
        <v>77.25</v>
      </c>
      <c r="N192" s="324">
        <f>N55+SUM($E105:N105)</f>
        <v>77.25</v>
      </c>
      <c r="O192" s="324">
        <f>O55+SUM($E105:O105)</f>
        <v>77.25</v>
      </c>
      <c r="P192" s="324">
        <f>P55+SUM($E105:P105)</f>
        <v>77.25</v>
      </c>
      <c r="Q192" s="324">
        <f>Q55+SUM($E105:Q105)</f>
        <v>77.25</v>
      </c>
      <c r="R192" s="324">
        <f>R55+SUM($E105:R105)</f>
        <v>77.25</v>
      </c>
      <c r="S192" s="324">
        <f>S55+SUM($E105:S105)</f>
        <v>77.25</v>
      </c>
      <c r="T192" s="324">
        <f>T55+SUM($E105:T105)</f>
        <v>77.25</v>
      </c>
      <c r="U192" s="324">
        <f>U55+SUM($E105:U105)</f>
        <v>77.25</v>
      </c>
      <c r="V192" s="324">
        <f>V55+SUM($E105:V105)</f>
        <v>77.25</v>
      </c>
      <c r="W192" s="324">
        <f>W55+SUM($E105:W105)</f>
        <v>77.25</v>
      </c>
      <c r="X192" s="324">
        <f>X55+SUM($E105:X105)</f>
        <v>77.25</v>
      </c>
      <c r="Y192" s="324">
        <f>Y55+SUM($E105:Y105)</f>
        <v>77.25</v>
      </c>
      <c r="Z192" s="324">
        <f>Z55+SUM($E105:Z105)</f>
        <v>77.25</v>
      </c>
      <c r="AA192" s="324">
        <f>AA55+SUM($E105:AA105)</f>
        <v>77.25</v>
      </c>
      <c r="AB192" s="324">
        <f>AB55+SUM($E105:AB105)</f>
        <v>77.25</v>
      </c>
      <c r="AC192" s="324">
        <f>AC55+SUM($E105:AC105)</f>
        <v>77.25</v>
      </c>
      <c r="AD192" s="324">
        <f>AD55+SUM($E105:AD105)</f>
        <v>77.25</v>
      </c>
      <c r="AE192" s="324">
        <f>AE55+SUM($E105:AE105)</f>
        <v>77.25</v>
      </c>
      <c r="AF192" s="324">
        <f>AF55+SUM($E105:AF105)</f>
        <v>77.25</v>
      </c>
      <c r="AG192" s="324">
        <f>AG55+SUM($E105:AG105)</f>
        <v>77.25</v>
      </c>
      <c r="AH192" s="324">
        <f>AH55+SUM($E105:AH105)</f>
        <v>77.25</v>
      </c>
      <c r="AI192" s="324">
        <f t="shared" si="55"/>
        <v>2008.5</v>
      </c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</row>
    <row r="193" spans="1:52" ht="14.4" outlineLevel="3">
      <c r="A193" s="322"/>
      <c r="B193" s="286" t="s">
        <v>845</v>
      </c>
      <c r="C193" s="323" t="s">
        <v>830</v>
      </c>
      <c r="D193" s="323" t="s">
        <v>826</v>
      </c>
      <c r="E193" s="324">
        <f>E56+SUM($E106:E106)</f>
        <v>0</v>
      </c>
      <c r="F193" s="324">
        <f>F56+SUM($E106:F106)</f>
        <v>4.8742857142857181</v>
      </c>
      <c r="G193" s="324">
        <f>G56+SUM($E106:G106)</f>
        <v>9.7485714285714362</v>
      </c>
      <c r="H193" s="324">
        <f>H56+SUM($E106:H106)</f>
        <v>14.622857142857153</v>
      </c>
      <c r="I193" s="324">
        <f>I56+SUM($E106:I106)</f>
        <v>19.497142857142872</v>
      </c>
      <c r="J193" s="324">
        <f>J56+SUM($E106:J106)</f>
        <v>24.371428571428591</v>
      </c>
      <c r="K193" s="324">
        <f>K56+SUM($E106:K106)</f>
        <v>29.24571428571431</v>
      </c>
      <c r="L193" s="324">
        <f>L56+SUM($E106:L106)</f>
        <v>34.120000000000026</v>
      </c>
      <c r="M193" s="324">
        <f>M56+SUM($E106:M106)</f>
        <v>34.120000000000026</v>
      </c>
      <c r="N193" s="324">
        <f>N56+SUM($E106:N106)</f>
        <v>34.120000000000026</v>
      </c>
      <c r="O193" s="324">
        <f>O56+SUM($E106:O106)</f>
        <v>34.120000000000026</v>
      </c>
      <c r="P193" s="324">
        <f>P56+SUM($E106:P106)</f>
        <v>34.120000000000026</v>
      </c>
      <c r="Q193" s="324">
        <f>Q56+SUM($E106:Q106)</f>
        <v>34.120000000000026</v>
      </c>
      <c r="R193" s="324">
        <f>R56+SUM($E106:R106)</f>
        <v>34.120000000000026</v>
      </c>
      <c r="S193" s="324">
        <f>S56+SUM($E106:S106)</f>
        <v>34.120000000000026</v>
      </c>
      <c r="T193" s="324">
        <f>T56+SUM($E106:T106)</f>
        <v>34.120000000000026</v>
      </c>
      <c r="U193" s="324">
        <f>U56+SUM($E106:U106)</f>
        <v>34.120000000000026</v>
      </c>
      <c r="V193" s="324">
        <f>V56+SUM($E106:V106)</f>
        <v>34.120000000000026</v>
      </c>
      <c r="W193" s="324">
        <f>W56+SUM($E106:W106)</f>
        <v>34.120000000000026</v>
      </c>
      <c r="X193" s="324">
        <f>X56+SUM($E106:X106)</f>
        <v>34.120000000000026</v>
      </c>
      <c r="Y193" s="324">
        <f>Y56+SUM($E106:Y106)</f>
        <v>34.120000000000026</v>
      </c>
      <c r="Z193" s="324">
        <f>Z56+SUM($E106:Z106)</f>
        <v>34.120000000000026</v>
      </c>
      <c r="AA193" s="324">
        <f>AA56+SUM($E106:AA106)</f>
        <v>34.120000000000026</v>
      </c>
      <c r="AB193" s="324">
        <f>AB56+SUM($E106:AB106)</f>
        <v>34.120000000000026</v>
      </c>
      <c r="AC193" s="324">
        <f>AC56+SUM($E106:AC106)</f>
        <v>34.120000000000026</v>
      </c>
      <c r="AD193" s="324">
        <f>AD56+SUM($E106:AD106)</f>
        <v>34.120000000000026</v>
      </c>
      <c r="AE193" s="324">
        <f>AE56+SUM($E106:AE106)</f>
        <v>34.120000000000026</v>
      </c>
      <c r="AF193" s="324">
        <f>AF56+SUM($E106:AF106)</f>
        <v>34.120000000000026</v>
      </c>
      <c r="AG193" s="324">
        <f>AG56+SUM($E106:AG106)</f>
        <v>34.120000000000026</v>
      </c>
      <c r="AH193" s="324">
        <f>AH56+SUM($E106:AH106)</f>
        <v>34.120000000000026</v>
      </c>
      <c r="AI193" s="324">
        <f t="shared" si="55"/>
        <v>887.12000000000035</v>
      </c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</row>
    <row r="194" spans="1:52" ht="14.4" outlineLevel="3">
      <c r="A194" s="322" t="s">
        <v>831</v>
      </c>
      <c r="B194" s="326" t="s">
        <v>846</v>
      </c>
      <c r="C194" s="327" t="s">
        <v>832</v>
      </c>
      <c r="D194" s="327" t="s">
        <v>826</v>
      </c>
      <c r="E194" s="324">
        <f>E57+SUM($E107:E107)</f>
        <v>0</v>
      </c>
      <c r="F194" s="324">
        <f>F57+SUM($E107:F107)</f>
        <v>2.8128571428571409</v>
      </c>
      <c r="G194" s="324">
        <f>G57+SUM($E107:G107)</f>
        <v>5.6257142857142819</v>
      </c>
      <c r="H194" s="324">
        <f>H57+SUM($E107:H107)</f>
        <v>8.4385714285714233</v>
      </c>
      <c r="I194" s="324">
        <f>I57+SUM($E107:I107)</f>
        <v>11.251428571428564</v>
      </c>
      <c r="J194" s="324">
        <f>J57+SUM($E107:J107)</f>
        <v>14.064285714285704</v>
      </c>
      <c r="K194" s="328">
        <f>K57+SUM($E107:K107)</f>
        <v>16.877142857142847</v>
      </c>
      <c r="L194" s="328">
        <f>L57+SUM($E107:L107)</f>
        <v>19.689999999999987</v>
      </c>
      <c r="M194" s="328">
        <f>M57+SUM($E107:M107)</f>
        <v>19.689999999999987</v>
      </c>
      <c r="N194" s="328">
        <f>N57+SUM($E107:N107)</f>
        <v>19.689999999999987</v>
      </c>
      <c r="O194" s="328">
        <f>O57+SUM($E107:O107)</f>
        <v>19.689999999999987</v>
      </c>
      <c r="P194" s="328">
        <f>P57+SUM($E107:P107)</f>
        <v>19.689999999999987</v>
      </c>
      <c r="Q194" s="328">
        <f>Q57+SUM($E107:Q107)</f>
        <v>19.689999999999987</v>
      </c>
      <c r="R194" s="328">
        <f>R57+SUM($E107:R107)</f>
        <v>19.689999999999987</v>
      </c>
      <c r="S194" s="328">
        <f>S57+SUM($E107:S107)</f>
        <v>19.689999999999987</v>
      </c>
      <c r="T194" s="328">
        <f>T57+SUM($E107:T107)</f>
        <v>19.689999999999987</v>
      </c>
      <c r="U194" s="328">
        <f>U57+SUM($E107:U107)</f>
        <v>19.689999999999987</v>
      </c>
      <c r="V194" s="328">
        <f>V57+SUM($E107:V107)</f>
        <v>19.689999999999987</v>
      </c>
      <c r="W194" s="328">
        <f>W57+SUM($E107:W107)</f>
        <v>19.689999999999987</v>
      </c>
      <c r="X194" s="328">
        <f>X57+SUM($E107:X107)</f>
        <v>19.689999999999987</v>
      </c>
      <c r="Y194" s="328">
        <f>Y57+SUM($E107:Y107)</f>
        <v>19.689999999999987</v>
      </c>
      <c r="Z194" s="328">
        <f>Z57+SUM($E107:Z107)</f>
        <v>19.689999999999987</v>
      </c>
      <c r="AA194" s="328">
        <f>AA57+SUM($E107:AA107)</f>
        <v>19.689999999999987</v>
      </c>
      <c r="AB194" s="328">
        <f>AB57+SUM($E107:AB107)</f>
        <v>19.689999999999987</v>
      </c>
      <c r="AC194" s="328">
        <f>AC57+SUM($E107:AC107)</f>
        <v>19.689999999999987</v>
      </c>
      <c r="AD194" s="328">
        <f>AD57+SUM($E107:AD107)</f>
        <v>19.689999999999987</v>
      </c>
      <c r="AE194" s="328">
        <f>AE57+SUM($E107:AE107)</f>
        <v>19.689999999999987</v>
      </c>
      <c r="AF194" s="328">
        <f>AF57+SUM($E107:AF107)</f>
        <v>19.689999999999987</v>
      </c>
      <c r="AG194" s="328">
        <f>AG57+SUM($E107:AG107)</f>
        <v>19.689999999999987</v>
      </c>
      <c r="AH194" s="328">
        <f>AH57+SUM($E107:AH107)</f>
        <v>19.689999999999987</v>
      </c>
      <c r="AI194" s="328">
        <f t="shared" si="55"/>
        <v>511.93999999999983</v>
      </c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</row>
    <row r="195" spans="1:52" ht="14.4" outlineLevel="3">
      <c r="A195" s="322" t="s">
        <v>831</v>
      </c>
      <c r="B195" s="326" t="s">
        <v>847</v>
      </c>
      <c r="C195" s="327" t="s">
        <v>833</v>
      </c>
      <c r="D195" s="327" t="s">
        <v>826</v>
      </c>
      <c r="E195" s="324">
        <f>E58+SUM($E108:E108)</f>
        <v>0</v>
      </c>
      <c r="F195" s="324">
        <f>F58+SUM($E108:F108)</f>
        <v>0</v>
      </c>
      <c r="G195" s="324">
        <f>G58+SUM($E108:G108)</f>
        <v>0</v>
      </c>
      <c r="H195" s="324">
        <f>H58+SUM($E108:H108)</f>
        <v>0</v>
      </c>
      <c r="I195" s="324">
        <f>I58+SUM($E108:I108)</f>
        <v>0</v>
      </c>
      <c r="J195" s="324">
        <f>J58+SUM($E108:J108)</f>
        <v>0</v>
      </c>
      <c r="K195" s="328">
        <f>K58+SUM($E108:K108)</f>
        <v>0</v>
      </c>
      <c r="L195" s="328">
        <f>L58+SUM($E108:L108)</f>
        <v>0</v>
      </c>
      <c r="M195" s="328">
        <f>M58+SUM($E108:M108)</f>
        <v>0</v>
      </c>
      <c r="N195" s="328">
        <f>N58+SUM($E108:N108)</f>
        <v>0</v>
      </c>
      <c r="O195" s="328">
        <f>O58+SUM($E108:O108)</f>
        <v>0</v>
      </c>
      <c r="P195" s="328">
        <f>P58+SUM($E108:P108)</f>
        <v>0</v>
      </c>
      <c r="Q195" s="328">
        <f>Q58+SUM($E108:Q108)</f>
        <v>0</v>
      </c>
      <c r="R195" s="328">
        <f>R58+SUM($E108:R108)</f>
        <v>0</v>
      </c>
      <c r="S195" s="328">
        <f>S58+SUM($E108:S108)</f>
        <v>0</v>
      </c>
      <c r="T195" s="328">
        <f>T58+SUM($E108:T108)</f>
        <v>0</v>
      </c>
      <c r="U195" s="328">
        <f>U58+SUM($E108:U108)</f>
        <v>0</v>
      </c>
      <c r="V195" s="328">
        <f>V58+SUM($E108:V108)</f>
        <v>0</v>
      </c>
      <c r="W195" s="328">
        <f>W58+SUM($E108:W108)</f>
        <v>0</v>
      </c>
      <c r="X195" s="328">
        <f>X58+SUM($E108:X108)</f>
        <v>0</v>
      </c>
      <c r="Y195" s="328">
        <f>Y58+SUM($E108:Y108)</f>
        <v>0</v>
      </c>
      <c r="Z195" s="328">
        <f>Z58+SUM($E108:Z108)</f>
        <v>0</v>
      </c>
      <c r="AA195" s="328">
        <f>AA58+SUM($E108:AA108)</f>
        <v>0</v>
      </c>
      <c r="AB195" s="328">
        <f>AB58+SUM($E108:AB108)</f>
        <v>0</v>
      </c>
      <c r="AC195" s="328">
        <f>AC58+SUM($E108:AC108)</f>
        <v>0</v>
      </c>
      <c r="AD195" s="328">
        <f>AD58+SUM($E108:AD108)</f>
        <v>0</v>
      </c>
      <c r="AE195" s="328">
        <f>AE58+SUM($E108:AE108)</f>
        <v>0</v>
      </c>
      <c r="AF195" s="328">
        <f>AF58+SUM($E108:AF108)</f>
        <v>0</v>
      </c>
      <c r="AG195" s="328">
        <f>AG58+SUM($E108:AG108)</f>
        <v>0</v>
      </c>
      <c r="AH195" s="328">
        <f>AH58+SUM($E108:AH108)</f>
        <v>0</v>
      </c>
      <c r="AI195" s="328">
        <f t="shared" si="55"/>
        <v>0</v>
      </c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</row>
    <row r="196" spans="1:52" ht="14.4" outlineLevel="3">
      <c r="A196" s="322" t="s">
        <v>831</v>
      </c>
      <c r="B196" s="326" t="s">
        <v>848</v>
      </c>
      <c r="C196" s="327" t="s">
        <v>1015</v>
      </c>
      <c r="D196" s="327" t="s">
        <v>826</v>
      </c>
      <c r="E196" s="324">
        <f>E59+SUM($E109:E109)</f>
        <v>0</v>
      </c>
      <c r="F196" s="324">
        <f>F59+SUM($E109:F109)</f>
        <v>0</v>
      </c>
      <c r="G196" s="324">
        <f>G59+SUM($E109:G109)</f>
        <v>0</v>
      </c>
      <c r="H196" s="324">
        <f>H59+SUM($E109:H109)</f>
        <v>0</v>
      </c>
      <c r="I196" s="324">
        <f>I59+SUM($E109:I109)</f>
        <v>0</v>
      </c>
      <c r="J196" s="324">
        <f>J59+SUM($E109:J109)</f>
        <v>0</v>
      </c>
      <c r="K196" s="328">
        <f>K59+SUM($E109:K109)</f>
        <v>0</v>
      </c>
      <c r="L196" s="328">
        <f>L59+SUM($E109:L109)</f>
        <v>0</v>
      </c>
      <c r="M196" s="328">
        <f>M59+SUM($E109:M109)</f>
        <v>0</v>
      </c>
      <c r="N196" s="328">
        <f>N59+SUM($E109:N109)</f>
        <v>0</v>
      </c>
      <c r="O196" s="328">
        <f>O59+SUM($E109:O109)</f>
        <v>0</v>
      </c>
      <c r="P196" s="328">
        <f>P59+SUM($E109:P109)</f>
        <v>0</v>
      </c>
      <c r="Q196" s="328">
        <f>Q59+SUM($E109:Q109)</f>
        <v>0</v>
      </c>
      <c r="R196" s="328">
        <f>R59+SUM($E109:R109)</f>
        <v>0</v>
      </c>
      <c r="S196" s="328">
        <f>S59+SUM($E109:S109)</f>
        <v>0</v>
      </c>
      <c r="T196" s="328">
        <f>T59+SUM($E109:T109)</f>
        <v>0</v>
      </c>
      <c r="U196" s="328">
        <f>U59+SUM($E109:U109)</f>
        <v>0</v>
      </c>
      <c r="V196" s="328">
        <f>V59+SUM($E109:V109)</f>
        <v>0</v>
      </c>
      <c r="W196" s="328">
        <f>W59+SUM($E109:W109)</f>
        <v>0</v>
      </c>
      <c r="X196" s="328">
        <f>X59+SUM($E109:X109)</f>
        <v>0</v>
      </c>
      <c r="Y196" s="328">
        <f>Y59+SUM($E109:Y109)</f>
        <v>0</v>
      </c>
      <c r="Z196" s="328">
        <f>Z59+SUM($E109:Z109)</f>
        <v>0</v>
      </c>
      <c r="AA196" s="328">
        <f>AA59+SUM($E109:AA109)</f>
        <v>0</v>
      </c>
      <c r="AB196" s="328">
        <f>AB59+SUM($E109:AB109)</f>
        <v>0</v>
      </c>
      <c r="AC196" s="328">
        <f>AC59+SUM($E109:AC109)</f>
        <v>0</v>
      </c>
      <c r="AD196" s="328">
        <f>AD59+SUM($E109:AD109)</f>
        <v>0</v>
      </c>
      <c r="AE196" s="328">
        <f>AE59+SUM($E109:AE109)</f>
        <v>0</v>
      </c>
      <c r="AF196" s="328">
        <f>AF59+SUM($E109:AF109)</f>
        <v>0</v>
      </c>
      <c r="AG196" s="328">
        <f>AG59+SUM($E109:AG109)</f>
        <v>0</v>
      </c>
      <c r="AH196" s="328">
        <f>AH59+SUM($E109:AH109)</f>
        <v>0</v>
      </c>
      <c r="AI196" s="328">
        <f t="shared" si="55"/>
        <v>0</v>
      </c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</row>
    <row r="197" spans="1:52" ht="14.4" outlineLevel="1">
      <c r="B197" s="403" t="s">
        <v>909</v>
      </c>
      <c r="C197" s="404"/>
      <c r="D197" s="66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30"/>
      <c r="V197" s="130"/>
      <c r="W197" s="130"/>
      <c r="X197" s="130"/>
      <c r="Y197" s="130"/>
      <c r="Z197" s="130"/>
      <c r="AA197" s="130"/>
      <c r="AB197" s="130"/>
      <c r="AC197" s="130"/>
      <c r="AD197" s="130"/>
      <c r="AE197" s="130"/>
      <c r="AF197" s="130"/>
      <c r="AG197" s="130"/>
      <c r="AH197" s="130"/>
      <c r="AI197" s="127" t="s">
        <v>821</v>
      </c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</row>
    <row r="198" spans="1:52" ht="14.4" outlineLevel="2">
      <c r="B198" s="10">
        <v>4</v>
      </c>
      <c r="C198" s="11" t="s">
        <v>910</v>
      </c>
      <c r="D198" s="11" t="s">
        <v>826</v>
      </c>
      <c r="E198" s="128">
        <f t="shared" ref="E198:AI198" si="56">SUM(E199:E206)</f>
        <v>0</v>
      </c>
      <c r="F198" s="128">
        <f t="shared" si="56"/>
        <v>2.0571428571428498</v>
      </c>
      <c r="G198" s="128">
        <f t="shared" si="56"/>
        <v>4.1142857142856997</v>
      </c>
      <c r="H198" s="128">
        <f t="shared" si="56"/>
        <v>6.1714285714285477</v>
      </c>
      <c r="I198" s="128">
        <f t="shared" si="56"/>
        <v>8.2285714285713993</v>
      </c>
      <c r="J198" s="128">
        <f t="shared" si="56"/>
        <v>10.285714285714247</v>
      </c>
      <c r="K198" s="128">
        <f t="shared" si="56"/>
        <v>12.342857142857095</v>
      </c>
      <c r="L198" s="128">
        <f t="shared" si="56"/>
        <v>14.399999999999944</v>
      </c>
      <c r="M198" s="128">
        <f t="shared" si="56"/>
        <v>14.399999999999944</v>
      </c>
      <c r="N198" s="128">
        <f t="shared" si="56"/>
        <v>14.399999999999944</v>
      </c>
      <c r="O198" s="128">
        <f t="shared" si="56"/>
        <v>14.399999999999944</v>
      </c>
      <c r="P198" s="128">
        <f t="shared" si="56"/>
        <v>19.909999999999943</v>
      </c>
      <c r="Q198" s="128">
        <f t="shared" si="56"/>
        <v>19.909999999999943</v>
      </c>
      <c r="R198" s="128">
        <f t="shared" si="56"/>
        <v>27.059999999999945</v>
      </c>
      <c r="S198" s="128">
        <f t="shared" si="56"/>
        <v>27.059999999999945</v>
      </c>
      <c r="T198" s="128">
        <f t="shared" si="56"/>
        <v>27.059999999999945</v>
      </c>
      <c r="U198" s="128">
        <f t="shared" si="56"/>
        <v>27.059999999999945</v>
      </c>
      <c r="V198" s="128">
        <f t="shared" si="56"/>
        <v>27.059999999999945</v>
      </c>
      <c r="W198" s="128">
        <f t="shared" si="56"/>
        <v>27.059999999999945</v>
      </c>
      <c r="X198" s="128">
        <f t="shared" si="56"/>
        <v>66.779999999999944</v>
      </c>
      <c r="Y198" s="128">
        <f t="shared" si="56"/>
        <v>66.779999999999944</v>
      </c>
      <c r="Z198" s="128">
        <f t="shared" si="56"/>
        <v>66.779999999999944</v>
      </c>
      <c r="AA198" s="128">
        <f t="shared" si="56"/>
        <v>66.779999999999944</v>
      </c>
      <c r="AB198" s="128">
        <f t="shared" si="56"/>
        <v>103.55999999999993</v>
      </c>
      <c r="AC198" s="128">
        <f t="shared" si="56"/>
        <v>103.55999999999993</v>
      </c>
      <c r="AD198" s="128">
        <f t="shared" si="56"/>
        <v>103.55999999999993</v>
      </c>
      <c r="AE198" s="128">
        <f t="shared" si="56"/>
        <v>103.55999999999993</v>
      </c>
      <c r="AF198" s="128">
        <f t="shared" si="56"/>
        <v>103.55999999999993</v>
      </c>
      <c r="AG198" s="128">
        <f t="shared" si="56"/>
        <v>103.55999999999993</v>
      </c>
      <c r="AH198" s="128">
        <f t="shared" si="56"/>
        <v>103.55999999999993</v>
      </c>
      <c r="AI198" s="128">
        <f t="shared" si="56"/>
        <v>1295.0199999999984</v>
      </c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</row>
    <row r="199" spans="1:52" ht="14.4" outlineLevel="3">
      <c r="A199" s="322"/>
      <c r="B199" s="286" t="s">
        <v>851</v>
      </c>
      <c r="C199" s="323" t="s">
        <v>825</v>
      </c>
      <c r="D199" s="323" t="s">
        <v>826</v>
      </c>
      <c r="E199" s="324">
        <v>0</v>
      </c>
      <c r="F199" s="324">
        <f t="shared" ref="F199:F204" si="57">F93+F42/7</f>
        <v>0.12857142857142867</v>
      </c>
      <c r="G199" s="324">
        <f t="shared" ref="G199:L204" si="58">F199+G42/7</f>
        <v>0.25714285714285734</v>
      </c>
      <c r="H199" s="324">
        <f t="shared" si="58"/>
        <v>0.38571428571428601</v>
      </c>
      <c r="I199" s="324">
        <f t="shared" si="58"/>
        <v>0.51428571428571468</v>
      </c>
      <c r="J199" s="324">
        <f t="shared" si="58"/>
        <v>0.64285714285714335</v>
      </c>
      <c r="K199" s="324">
        <f t="shared" si="58"/>
        <v>0.77142857142857202</v>
      </c>
      <c r="L199" s="324">
        <f t="shared" si="58"/>
        <v>0.90000000000000069</v>
      </c>
      <c r="M199" s="324">
        <f t="shared" ref="M199:AB206" si="59">L199</f>
        <v>0.90000000000000069</v>
      </c>
      <c r="N199" s="324">
        <f t="shared" si="59"/>
        <v>0.90000000000000069</v>
      </c>
      <c r="O199" s="324">
        <f t="shared" si="59"/>
        <v>0.90000000000000069</v>
      </c>
      <c r="P199" s="324">
        <f t="shared" si="59"/>
        <v>0.90000000000000069</v>
      </c>
      <c r="Q199" s="324">
        <f t="shared" si="59"/>
        <v>0.90000000000000069</v>
      </c>
      <c r="R199" s="324">
        <f>L199+R93</f>
        <v>8.0500000000000007</v>
      </c>
      <c r="S199" s="324">
        <f>R199</f>
        <v>8.0500000000000007</v>
      </c>
      <c r="T199" s="324">
        <f t="shared" ref="T199:AH204" si="60">S199</f>
        <v>8.0500000000000007</v>
      </c>
      <c r="U199" s="324">
        <f t="shared" si="60"/>
        <v>8.0500000000000007</v>
      </c>
      <c r="V199" s="324">
        <f t="shared" si="60"/>
        <v>8.0500000000000007</v>
      </c>
      <c r="W199" s="324">
        <f t="shared" si="60"/>
        <v>8.0500000000000007</v>
      </c>
      <c r="X199" s="324">
        <f t="shared" si="60"/>
        <v>8.0500000000000007</v>
      </c>
      <c r="Y199" s="324">
        <f t="shared" si="60"/>
        <v>8.0500000000000007</v>
      </c>
      <c r="Z199" s="324">
        <f t="shared" si="60"/>
        <v>8.0500000000000007</v>
      </c>
      <c r="AA199" s="324">
        <f t="shared" si="60"/>
        <v>8.0500000000000007</v>
      </c>
      <c r="AB199" s="324">
        <f t="shared" si="60"/>
        <v>8.0500000000000007</v>
      </c>
      <c r="AC199" s="324">
        <f t="shared" si="60"/>
        <v>8.0500000000000007</v>
      </c>
      <c r="AD199" s="324">
        <f t="shared" si="60"/>
        <v>8.0500000000000007</v>
      </c>
      <c r="AE199" s="324">
        <f t="shared" si="60"/>
        <v>8.0500000000000007</v>
      </c>
      <c r="AF199" s="324">
        <f t="shared" si="60"/>
        <v>8.0500000000000007</v>
      </c>
      <c r="AG199" s="324">
        <f t="shared" si="60"/>
        <v>8.0500000000000007</v>
      </c>
      <c r="AH199" s="324">
        <f t="shared" si="60"/>
        <v>8.0500000000000007</v>
      </c>
      <c r="AI199" s="324">
        <f t="shared" ref="AI199:AI206" si="61">SUM(E199:AH199)</f>
        <v>144.95000000000002</v>
      </c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</row>
    <row r="200" spans="1:52" ht="14.4" outlineLevel="3">
      <c r="A200" s="322"/>
      <c r="B200" s="286" t="s">
        <v>205</v>
      </c>
      <c r="C200" s="323" t="s">
        <v>827</v>
      </c>
      <c r="D200" s="323" t="s">
        <v>826</v>
      </c>
      <c r="E200" s="324">
        <v>0</v>
      </c>
      <c r="F200" s="324">
        <f t="shared" si="57"/>
        <v>1.3285714285714343</v>
      </c>
      <c r="G200" s="324">
        <f t="shared" si="58"/>
        <v>2.6571428571428686</v>
      </c>
      <c r="H200" s="324">
        <f t="shared" si="58"/>
        <v>3.9857142857143026</v>
      </c>
      <c r="I200" s="324">
        <f t="shared" si="58"/>
        <v>5.3142857142857371</v>
      </c>
      <c r="J200" s="324">
        <f t="shared" si="58"/>
        <v>6.6428571428571717</v>
      </c>
      <c r="K200" s="324">
        <f t="shared" si="58"/>
        <v>7.9714285714286062</v>
      </c>
      <c r="L200" s="324">
        <f t="shared" si="58"/>
        <v>9.3000000000000398</v>
      </c>
      <c r="M200" s="324">
        <f t="shared" si="59"/>
        <v>9.3000000000000398</v>
      </c>
      <c r="N200" s="324">
        <f t="shared" si="59"/>
        <v>9.3000000000000398</v>
      </c>
      <c r="O200" s="324">
        <f t="shared" si="59"/>
        <v>9.3000000000000398</v>
      </c>
      <c r="P200" s="324">
        <f t="shared" si="59"/>
        <v>9.3000000000000398</v>
      </c>
      <c r="Q200" s="324">
        <f t="shared" si="59"/>
        <v>9.3000000000000398</v>
      </c>
      <c r="R200" s="324">
        <f t="shared" si="59"/>
        <v>9.3000000000000398</v>
      </c>
      <c r="S200" s="324">
        <f t="shared" si="59"/>
        <v>9.3000000000000398</v>
      </c>
      <c r="T200" s="324">
        <f t="shared" si="59"/>
        <v>9.3000000000000398</v>
      </c>
      <c r="U200" s="324">
        <f t="shared" si="59"/>
        <v>9.3000000000000398</v>
      </c>
      <c r="V200" s="324">
        <f t="shared" si="59"/>
        <v>9.3000000000000398</v>
      </c>
      <c r="W200" s="324">
        <f t="shared" si="59"/>
        <v>9.3000000000000398</v>
      </c>
      <c r="X200" s="324">
        <f>L200+X94</f>
        <v>49.020000000000039</v>
      </c>
      <c r="Y200" s="324">
        <f>X200</f>
        <v>49.020000000000039</v>
      </c>
      <c r="Z200" s="324">
        <f t="shared" si="60"/>
        <v>49.020000000000039</v>
      </c>
      <c r="AA200" s="324">
        <f t="shared" si="60"/>
        <v>49.020000000000039</v>
      </c>
      <c r="AB200" s="324">
        <f t="shared" si="60"/>
        <v>49.020000000000039</v>
      </c>
      <c r="AC200" s="324">
        <f t="shared" si="60"/>
        <v>49.020000000000039</v>
      </c>
      <c r="AD200" s="324">
        <f t="shared" si="60"/>
        <v>49.020000000000039</v>
      </c>
      <c r="AE200" s="324">
        <f t="shared" si="60"/>
        <v>49.020000000000039</v>
      </c>
      <c r="AF200" s="324">
        <f t="shared" si="60"/>
        <v>49.020000000000039</v>
      </c>
      <c r="AG200" s="324">
        <f t="shared" si="60"/>
        <v>49.020000000000039</v>
      </c>
      <c r="AH200" s="324">
        <f t="shared" si="60"/>
        <v>49.020000000000039</v>
      </c>
      <c r="AI200" s="324">
        <f t="shared" si="61"/>
        <v>678.72000000000094</v>
      </c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</row>
    <row r="201" spans="1:52" ht="14.4" outlineLevel="3">
      <c r="A201" s="322"/>
      <c r="B201" s="286" t="s">
        <v>852</v>
      </c>
      <c r="C201" s="323" t="s">
        <v>828</v>
      </c>
      <c r="D201" s="323" t="s">
        <v>826</v>
      </c>
      <c r="E201" s="324">
        <v>0</v>
      </c>
      <c r="F201" s="324">
        <f t="shared" si="57"/>
        <v>0.41428571428570293</v>
      </c>
      <c r="G201" s="324">
        <f t="shared" si="58"/>
        <v>0.82857142857140587</v>
      </c>
      <c r="H201" s="324">
        <f t="shared" si="58"/>
        <v>1.2428571428571087</v>
      </c>
      <c r="I201" s="324">
        <f t="shared" si="58"/>
        <v>1.6571428571428117</v>
      </c>
      <c r="J201" s="324">
        <f t="shared" si="58"/>
        <v>2.0714285714285148</v>
      </c>
      <c r="K201" s="324">
        <f t="shared" si="58"/>
        <v>2.4857142857142178</v>
      </c>
      <c r="L201" s="324">
        <f t="shared" si="58"/>
        <v>2.8999999999999209</v>
      </c>
      <c r="M201" s="324">
        <f t="shared" si="59"/>
        <v>2.8999999999999209</v>
      </c>
      <c r="N201" s="324">
        <f t="shared" si="59"/>
        <v>2.8999999999999209</v>
      </c>
      <c r="O201" s="324">
        <f t="shared" si="59"/>
        <v>2.8999999999999209</v>
      </c>
      <c r="P201" s="324">
        <f t="shared" si="59"/>
        <v>2.8999999999999209</v>
      </c>
      <c r="Q201" s="324">
        <f t="shared" si="59"/>
        <v>2.8999999999999209</v>
      </c>
      <c r="R201" s="324">
        <f t="shared" si="59"/>
        <v>2.8999999999999209</v>
      </c>
      <c r="S201" s="324">
        <f t="shared" si="59"/>
        <v>2.8999999999999209</v>
      </c>
      <c r="T201" s="324">
        <f t="shared" si="59"/>
        <v>2.8999999999999209</v>
      </c>
      <c r="U201" s="324">
        <f t="shared" si="59"/>
        <v>2.8999999999999209</v>
      </c>
      <c r="V201" s="324">
        <f t="shared" si="59"/>
        <v>2.8999999999999209</v>
      </c>
      <c r="W201" s="324">
        <f t="shared" si="59"/>
        <v>2.8999999999999209</v>
      </c>
      <c r="X201" s="324">
        <f t="shared" si="59"/>
        <v>2.8999999999999209</v>
      </c>
      <c r="Y201" s="324">
        <f t="shared" si="59"/>
        <v>2.8999999999999209</v>
      </c>
      <c r="Z201" s="324">
        <f t="shared" si="59"/>
        <v>2.8999999999999209</v>
      </c>
      <c r="AA201" s="324">
        <f t="shared" si="59"/>
        <v>2.8999999999999209</v>
      </c>
      <c r="AB201" s="324">
        <f>AA201+AB95</f>
        <v>14.359999999999921</v>
      </c>
      <c r="AC201" s="324">
        <f>AB201</f>
        <v>14.359999999999921</v>
      </c>
      <c r="AD201" s="324">
        <f t="shared" si="60"/>
        <v>14.359999999999921</v>
      </c>
      <c r="AE201" s="324">
        <f t="shared" si="60"/>
        <v>14.359999999999921</v>
      </c>
      <c r="AF201" s="324">
        <f t="shared" si="60"/>
        <v>14.359999999999921</v>
      </c>
      <c r="AG201" s="324">
        <f t="shared" si="60"/>
        <v>14.359999999999921</v>
      </c>
      <c r="AH201" s="324">
        <f t="shared" si="60"/>
        <v>14.359999999999921</v>
      </c>
      <c r="AI201" s="324">
        <f t="shared" si="61"/>
        <v>155.61999999999799</v>
      </c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</row>
    <row r="202" spans="1:52" ht="14.4" outlineLevel="3">
      <c r="A202" s="322"/>
      <c r="B202" s="286" t="s">
        <v>853</v>
      </c>
      <c r="C202" s="323" t="s">
        <v>829</v>
      </c>
      <c r="D202" s="323" t="s">
        <v>826</v>
      </c>
      <c r="E202" s="324">
        <v>0</v>
      </c>
      <c r="F202" s="324">
        <f t="shared" si="57"/>
        <v>0.12857142857142939</v>
      </c>
      <c r="G202" s="324">
        <f t="shared" si="58"/>
        <v>0.25714285714285878</v>
      </c>
      <c r="H202" s="324">
        <f t="shared" si="58"/>
        <v>0.38571428571428817</v>
      </c>
      <c r="I202" s="324">
        <f t="shared" si="58"/>
        <v>0.51428571428571757</v>
      </c>
      <c r="J202" s="324">
        <f t="shared" si="58"/>
        <v>0.64285714285714701</v>
      </c>
      <c r="K202" s="324">
        <f t="shared" si="58"/>
        <v>0.77142857142857646</v>
      </c>
      <c r="L202" s="324">
        <f t="shared" si="58"/>
        <v>0.90000000000000591</v>
      </c>
      <c r="M202" s="324">
        <f t="shared" si="59"/>
        <v>0.90000000000000591</v>
      </c>
      <c r="N202" s="324">
        <f t="shared" si="59"/>
        <v>0.90000000000000591</v>
      </c>
      <c r="O202" s="324">
        <f t="shared" si="59"/>
        <v>0.90000000000000591</v>
      </c>
      <c r="P202" s="324">
        <f t="shared" si="59"/>
        <v>0.90000000000000591</v>
      </c>
      <c r="Q202" s="324">
        <f t="shared" si="59"/>
        <v>0.90000000000000591</v>
      </c>
      <c r="R202" s="324">
        <f t="shared" si="59"/>
        <v>0.90000000000000591</v>
      </c>
      <c r="S202" s="324">
        <f t="shared" si="59"/>
        <v>0.90000000000000591</v>
      </c>
      <c r="T202" s="324">
        <f t="shared" si="59"/>
        <v>0.90000000000000591</v>
      </c>
      <c r="U202" s="324">
        <f t="shared" si="59"/>
        <v>0.90000000000000591</v>
      </c>
      <c r="V202" s="324">
        <f t="shared" si="59"/>
        <v>0.90000000000000591</v>
      </c>
      <c r="W202" s="324">
        <f t="shared" si="59"/>
        <v>0.90000000000000591</v>
      </c>
      <c r="X202" s="324">
        <f t="shared" si="59"/>
        <v>0.90000000000000591</v>
      </c>
      <c r="Y202" s="324">
        <f t="shared" si="59"/>
        <v>0.90000000000000591</v>
      </c>
      <c r="Z202" s="324">
        <f t="shared" si="59"/>
        <v>0.90000000000000591</v>
      </c>
      <c r="AA202" s="324">
        <f t="shared" si="59"/>
        <v>0.90000000000000591</v>
      </c>
      <c r="AB202" s="324">
        <f>AA202+AB96</f>
        <v>15.940000000000005</v>
      </c>
      <c r="AC202" s="324">
        <f>AB202</f>
        <v>15.940000000000005</v>
      </c>
      <c r="AD202" s="324">
        <f t="shared" si="60"/>
        <v>15.940000000000005</v>
      </c>
      <c r="AE202" s="324">
        <f t="shared" si="60"/>
        <v>15.940000000000005</v>
      </c>
      <c r="AF202" s="324">
        <f t="shared" si="60"/>
        <v>15.940000000000005</v>
      </c>
      <c r="AG202" s="324">
        <f t="shared" si="60"/>
        <v>15.940000000000005</v>
      </c>
      <c r="AH202" s="324">
        <f t="shared" si="60"/>
        <v>15.940000000000005</v>
      </c>
      <c r="AI202" s="324">
        <f t="shared" si="61"/>
        <v>128.68000000000012</v>
      </c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</row>
    <row r="203" spans="1:52" ht="14.4" outlineLevel="3">
      <c r="A203" s="322"/>
      <c r="B203" s="286" t="s">
        <v>854</v>
      </c>
      <c r="C203" s="323" t="s">
        <v>830</v>
      </c>
      <c r="D203" s="323" t="s">
        <v>826</v>
      </c>
      <c r="E203" s="324">
        <v>0</v>
      </c>
      <c r="F203" s="324">
        <f t="shared" si="57"/>
        <v>2.8571428571426947E-2</v>
      </c>
      <c r="G203" s="324">
        <f t="shared" si="58"/>
        <v>5.7142857142853894E-2</v>
      </c>
      <c r="H203" s="324">
        <f t="shared" si="58"/>
        <v>8.5714285714280844E-2</v>
      </c>
      <c r="I203" s="324">
        <f t="shared" si="58"/>
        <v>0.11428571428570779</v>
      </c>
      <c r="J203" s="324">
        <f t="shared" si="58"/>
        <v>0.14285714285713474</v>
      </c>
      <c r="K203" s="324">
        <f t="shared" si="58"/>
        <v>0.17142857142856169</v>
      </c>
      <c r="L203" s="324">
        <f t="shared" si="58"/>
        <v>0.19999999999998863</v>
      </c>
      <c r="M203" s="324">
        <f t="shared" si="59"/>
        <v>0.19999999999998863</v>
      </c>
      <c r="N203" s="324">
        <f t="shared" si="59"/>
        <v>0.19999999999998863</v>
      </c>
      <c r="O203" s="324">
        <f t="shared" si="59"/>
        <v>0.19999999999998863</v>
      </c>
      <c r="P203" s="324">
        <f t="shared" si="59"/>
        <v>0.19999999999998863</v>
      </c>
      <c r="Q203" s="324">
        <f t="shared" si="59"/>
        <v>0.19999999999998863</v>
      </c>
      <c r="R203" s="324">
        <f t="shared" si="59"/>
        <v>0.19999999999998863</v>
      </c>
      <c r="S203" s="324">
        <f t="shared" si="59"/>
        <v>0.19999999999998863</v>
      </c>
      <c r="T203" s="324">
        <f t="shared" si="59"/>
        <v>0.19999999999998863</v>
      </c>
      <c r="U203" s="324">
        <f t="shared" si="59"/>
        <v>0.19999999999998863</v>
      </c>
      <c r="V203" s="324">
        <f t="shared" si="59"/>
        <v>0.19999999999998863</v>
      </c>
      <c r="W203" s="324">
        <f t="shared" si="59"/>
        <v>0.19999999999998863</v>
      </c>
      <c r="X203" s="324">
        <f t="shared" si="59"/>
        <v>0.19999999999998863</v>
      </c>
      <c r="Y203" s="324">
        <f t="shared" si="59"/>
        <v>0.19999999999998863</v>
      </c>
      <c r="Z203" s="324">
        <f t="shared" si="59"/>
        <v>0.19999999999998863</v>
      </c>
      <c r="AA203" s="324">
        <f t="shared" si="59"/>
        <v>0.19999999999998863</v>
      </c>
      <c r="AB203" s="324">
        <f>AA203+AB97</f>
        <v>10.479999999999988</v>
      </c>
      <c r="AC203" s="324">
        <f>AB203</f>
        <v>10.479999999999988</v>
      </c>
      <c r="AD203" s="324">
        <f t="shared" si="60"/>
        <v>10.479999999999988</v>
      </c>
      <c r="AE203" s="324">
        <f t="shared" si="60"/>
        <v>10.479999999999988</v>
      </c>
      <c r="AF203" s="324">
        <f t="shared" si="60"/>
        <v>10.479999999999988</v>
      </c>
      <c r="AG203" s="324">
        <f t="shared" si="60"/>
        <v>10.479999999999988</v>
      </c>
      <c r="AH203" s="324">
        <f t="shared" si="60"/>
        <v>10.479999999999988</v>
      </c>
      <c r="AI203" s="324">
        <f t="shared" si="61"/>
        <v>77.159999999999698</v>
      </c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</row>
    <row r="204" spans="1:52" ht="14.4" outlineLevel="3">
      <c r="A204" s="322" t="s">
        <v>831</v>
      </c>
      <c r="B204" s="326" t="s">
        <v>855</v>
      </c>
      <c r="C204" s="327" t="s">
        <v>832</v>
      </c>
      <c r="D204" s="327" t="s">
        <v>826</v>
      </c>
      <c r="E204" s="324">
        <v>0</v>
      </c>
      <c r="F204" s="324">
        <f t="shared" si="57"/>
        <v>2.8571428571426947E-2</v>
      </c>
      <c r="G204" s="324">
        <f t="shared" si="58"/>
        <v>5.7142857142853894E-2</v>
      </c>
      <c r="H204" s="324">
        <f t="shared" si="58"/>
        <v>8.5714285714280844E-2</v>
      </c>
      <c r="I204" s="324">
        <f t="shared" si="58"/>
        <v>0.11428571428570779</v>
      </c>
      <c r="J204" s="324">
        <f t="shared" si="58"/>
        <v>0.14285714285713474</v>
      </c>
      <c r="K204" s="328">
        <f t="shared" si="58"/>
        <v>0.17142857142856169</v>
      </c>
      <c r="L204" s="328">
        <f t="shared" si="58"/>
        <v>0.19999999999998863</v>
      </c>
      <c r="M204" s="328">
        <f t="shared" si="59"/>
        <v>0.19999999999998863</v>
      </c>
      <c r="N204" s="328">
        <f t="shared" si="59"/>
        <v>0.19999999999998863</v>
      </c>
      <c r="O204" s="328">
        <f t="shared" si="59"/>
        <v>0.19999999999998863</v>
      </c>
      <c r="P204" s="328">
        <f>O204+P98</f>
        <v>5.7099999999999884</v>
      </c>
      <c r="Q204" s="328">
        <f t="shared" si="59"/>
        <v>5.7099999999999884</v>
      </c>
      <c r="R204" s="328">
        <f t="shared" si="59"/>
        <v>5.7099999999999884</v>
      </c>
      <c r="S204" s="328">
        <f t="shared" si="59"/>
        <v>5.7099999999999884</v>
      </c>
      <c r="T204" s="328">
        <f t="shared" si="59"/>
        <v>5.7099999999999884</v>
      </c>
      <c r="U204" s="328">
        <f t="shared" si="59"/>
        <v>5.7099999999999884</v>
      </c>
      <c r="V204" s="328">
        <f t="shared" si="59"/>
        <v>5.7099999999999884</v>
      </c>
      <c r="W204" s="328">
        <f t="shared" si="59"/>
        <v>5.7099999999999884</v>
      </c>
      <c r="X204" s="328">
        <f t="shared" si="59"/>
        <v>5.7099999999999884</v>
      </c>
      <c r="Y204" s="328">
        <f t="shared" si="59"/>
        <v>5.7099999999999884</v>
      </c>
      <c r="Z204" s="328">
        <f t="shared" si="59"/>
        <v>5.7099999999999884</v>
      </c>
      <c r="AA204" s="328">
        <f t="shared" si="59"/>
        <v>5.7099999999999884</v>
      </c>
      <c r="AB204" s="328">
        <f t="shared" si="59"/>
        <v>5.7099999999999884</v>
      </c>
      <c r="AC204" s="328">
        <f t="shared" ref="AC204:AH206" si="62">AB204</f>
        <v>5.7099999999999884</v>
      </c>
      <c r="AD204" s="328">
        <f t="shared" si="60"/>
        <v>5.7099999999999884</v>
      </c>
      <c r="AE204" s="328">
        <f t="shared" si="60"/>
        <v>5.7099999999999884</v>
      </c>
      <c r="AF204" s="328">
        <f t="shared" si="60"/>
        <v>5.7099999999999884</v>
      </c>
      <c r="AG204" s="328">
        <f t="shared" si="60"/>
        <v>5.7099999999999884</v>
      </c>
      <c r="AH204" s="328">
        <f t="shared" si="60"/>
        <v>5.7099999999999884</v>
      </c>
      <c r="AI204" s="328">
        <f t="shared" si="61"/>
        <v>109.88999999999973</v>
      </c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</row>
    <row r="205" spans="1:52" ht="14.4" outlineLevel="3">
      <c r="A205" s="322" t="s">
        <v>831</v>
      </c>
      <c r="B205" s="326" t="s">
        <v>856</v>
      </c>
      <c r="C205" s="327" t="s">
        <v>833</v>
      </c>
      <c r="D205" s="327" t="s">
        <v>826</v>
      </c>
      <c r="E205" s="324">
        <v>0</v>
      </c>
      <c r="F205" s="324">
        <v>0</v>
      </c>
      <c r="G205" s="324">
        <f>F205</f>
        <v>0</v>
      </c>
      <c r="H205" s="324">
        <f t="shared" ref="H205:W206" si="63">G205</f>
        <v>0</v>
      </c>
      <c r="I205" s="324">
        <f t="shared" si="63"/>
        <v>0</v>
      </c>
      <c r="J205" s="324">
        <f t="shared" si="63"/>
        <v>0</v>
      </c>
      <c r="K205" s="328">
        <f t="shared" si="63"/>
        <v>0</v>
      </c>
      <c r="L205" s="328">
        <f t="shared" si="63"/>
        <v>0</v>
      </c>
      <c r="M205" s="328">
        <f t="shared" si="63"/>
        <v>0</v>
      </c>
      <c r="N205" s="328">
        <f t="shared" si="63"/>
        <v>0</v>
      </c>
      <c r="O205" s="328">
        <f t="shared" si="63"/>
        <v>0</v>
      </c>
      <c r="P205" s="328">
        <f t="shared" si="63"/>
        <v>0</v>
      </c>
      <c r="Q205" s="328">
        <f t="shared" si="63"/>
        <v>0</v>
      </c>
      <c r="R205" s="328">
        <f t="shared" si="63"/>
        <v>0</v>
      </c>
      <c r="S205" s="328">
        <f t="shared" si="63"/>
        <v>0</v>
      </c>
      <c r="T205" s="328">
        <f t="shared" si="63"/>
        <v>0</v>
      </c>
      <c r="U205" s="328">
        <f t="shared" si="63"/>
        <v>0</v>
      </c>
      <c r="V205" s="328">
        <f t="shared" si="63"/>
        <v>0</v>
      </c>
      <c r="W205" s="328">
        <f t="shared" si="63"/>
        <v>0</v>
      </c>
      <c r="X205" s="328">
        <f t="shared" si="59"/>
        <v>0</v>
      </c>
      <c r="Y205" s="328">
        <f t="shared" si="59"/>
        <v>0</v>
      </c>
      <c r="Z205" s="328">
        <f t="shared" si="59"/>
        <v>0</v>
      </c>
      <c r="AA205" s="328">
        <f t="shared" si="59"/>
        <v>0</v>
      </c>
      <c r="AB205" s="328">
        <f t="shared" si="59"/>
        <v>0</v>
      </c>
      <c r="AC205" s="328">
        <f t="shared" si="62"/>
        <v>0</v>
      </c>
      <c r="AD205" s="328">
        <f t="shared" si="62"/>
        <v>0</v>
      </c>
      <c r="AE205" s="328">
        <f t="shared" si="62"/>
        <v>0</v>
      </c>
      <c r="AF205" s="328">
        <f t="shared" si="62"/>
        <v>0</v>
      </c>
      <c r="AG205" s="328">
        <f t="shared" si="62"/>
        <v>0</v>
      </c>
      <c r="AH205" s="328">
        <f t="shared" si="62"/>
        <v>0</v>
      </c>
      <c r="AI205" s="328">
        <f t="shared" si="61"/>
        <v>0</v>
      </c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</row>
    <row r="206" spans="1:52" ht="14.4" outlineLevel="3">
      <c r="A206" s="322" t="s">
        <v>831</v>
      </c>
      <c r="B206" s="326" t="s">
        <v>857</v>
      </c>
      <c r="C206" s="327" t="s">
        <v>1015</v>
      </c>
      <c r="D206" s="327" t="s">
        <v>826</v>
      </c>
      <c r="E206" s="324">
        <v>0</v>
      </c>
      <c r="F206" s="324">
        <v>0</v>
      </c>
      <c r="G206" s="324">
        <f>F206</f>
        <v>0</v>
      </c>
      <c r="H206" s="324">
        <f t="shared" si="63"/>
        <v>0</v>
      </c>
      <c r="I206" s="324">
        <f t="shared" si="63"/>
        <v>0</v>
      </c>
      <c r="J206" s="324">
        <f t="shared" si="63"/>
        <v>0</v>
      </c>
      <c r="K206" s="328">
        <f t="shared" si="63"/>
        <v>0</v>
      </c>
      <c r="L206" s="328">
        <f t="shared" si="63"/>
        <v>0</v>
      </c>
      <c r="M206" s="328">
        <f t="shared" si="63"/>
        <v>0</v>
      </c>
      <c r="N206" s="328">
        <f t="shared" si="63"/>
        <v>0</v>
      </c>
      <c r="O206" s="328">
        <f t="shared" si="63"/>
        <v>0</v>
      </c>
      <c r="P206" s="328">
        <f t="shared" si="63"/>
        <v>0</v>
      </c>
      <c r="Q206" s="328">
        <f t="shared" si="63"/>
        <v>0</v>
      </c>
      <c r="R206" s="328">
        <f t="shared" si="63"/>
        <v>0</v>
      </c>
      <c r="S206" s="328">
        <f t="shared" si="63"/>
        <v>0</v>
      </c>
      <c r="T206" s="328">
        <f t="shared" si="63"/>
        <v>0</v>
      </c>
      <c r="U206" s="328">
        <f t="shared" si="63"/>
        <v>0</v>
      </c>
      <c r="V206" s="328">
        <f t="shared" si="63"/>
        <v>0</v>
      </c>
      <c r="W206" s="328">
        <f t="shared" si="63"/>
        <v>0</v>
      </c>
      <c r="X206" s="328">
        <f t="shared" si="59"/>
        <v>0</v>
      </c>
      <c r="Y206" s="328">
        <f t="shared" si="59"/>
        <v>0</v>
      </c>
      <c r="Z206" s="328">
        <f t="shared" si="59"/>
        <v>0</v>
      </c>
      <c r="AA206" s="328">
        <f t="shared" si="59"/>
        <v>0</v>
      </c>
      <c r="AB206" s="328">
        <f t="shared" si="59"/>
        <v>0</v>
      </c>
      <c r="AC206" s="328">
        <f t="shared" si="62"/>
        <v>0</v>
      </c>
      <c r="AD206" s="328">
        <f t="shared" si="62"/>
        <v>0</v>
      </c>
      <c r="AE206" s="328">
        <f t="shared" si="62"/>
        <v>0</v>
      </c>
      <c r="AF206" s="328">
        <f t="shared" si="62"/>
        <v>0</v>
      </c>
      <c r="AG206" s="328">
        <f t="shared" si="62"/>
        <v>0</v>
      </c>
      <c r="AH206" s="328">
        <f t="shared" si="62"/>
        <v>0</v>
      </c>
      <c r="AI206" s="328">
        <f t="shared" si="61"/>
        <v>0</v>
      </c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</row>
    <row r="207" spans="1:52" ht="14.4" outlineLevel="1">
      <c r="B207" s="403" t="s">
        <v>911</v>
      </c>
      <c r="C207" s="404"/>
      <c r="D207" s="6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  <c r="AA207" s="126"/>
      <c r="AB207" s="126"/>
      <c r="AC207" s="126"/>
      <c r="AD207" s="126"/>
      <c r="AE207" s="126"/>
      <c r="AF207" s="126"/>
      <c r="AG207" s="126"/>
      <c r="AH207" s="126"/>
      <c r="AI207" s="127" t="s">
        <v>821</v>
      </c>
      <c r="AK207" s="15"/>
    </row>
    <row r="208" spans="1:52" ht="14.4" outlineLevel="2">
      <c r="B208" s="10">
        <v>1</v>
      </c>
      <c r="C208" s="11" t="s">
        <v>912</v>
      </c>
      <c r="D208" s="11" t="s">
        <v>101</v>
      </c>
      <c r="E208" s="128">
        <f t="shared" ref="E208:AI208" si="64">SUM(E209:E216)</f>
        <v>1609999.9999999998</v>
      </c>
      <c r="F208" s="128">
        <f t="shared" si="64"/>
        <v>1609999.9999999998</v>
      </c>
      <c r="G208" s="128">
        <f t="shared" si="64"/>
        <v>1609999.9999999998</v>
      </c>
      <c r="H208" s="128">
        <f t="shared" si="64"/>
        <v>1609999.9999999998</v>
      </c>
      <c r="I208" s="128">
        <f t="shared" si="64"/>
        <v>1609999.9999999998</v>
      </c>
      <c r="J208" s="128">
        <f t="shared" si="64"/>
        <v>1614549.9999999998</v>
      </c>
      <c r="K208" s="128">
        <f t="shared" si="64"/>
        <v>1565025</v>
      </c>
      <c r="L208" s="128">
        <f t="shared" si="64"/>
        <v>1567300</v>
      </c>
      <c r="M208" s="128">
        <f t="shared" si="64"/>
        <v>1567300</v>
      </c>
      <c r="N208" s="128">
        <f t="shared" si="64"/>
        <v>1571850.0000000002</v>
      </c>
      <c r="O208" s="128">
        <f t="shared" si="64"/>
        <v>1574125</v>
      </c>
      <c r="P208" s="128">
        <f t="shared" si="64"/>
        <v>1576400</v>
      </c>
      <c r="Q208" s="128">
        <f t="shared" si="64"/>
        <v>1580950</v>
      </c>
      <c r="R208" s="128">
        <f t="shared" si="64"/>
        <v>1583225</v>
      </c>
      <c r="S208" s="128">
        <f t="shared" si="64"/>
        <v>1583225</v>
      </c>
      <c r="T208" s="128">
        <f t="shared" si="64"/>
        <v>1585500</v>
      </c>
      <c r="U208" s="128">
        <f t="shared" si="64"/>
        <v>1585500</v>
      </c>
      <c r="V208" s="128">
        <f t="shared" si="64"/>
        <v>1585500</v>
      </c>
      <c r="W208" s="128">
        <f t="shared" si="64"/>
        <v>1585500</v>
      </c>
      <c r="X208" s="128">
        <f t="shared" si="64"/>
        <v>1585500</v>
      </c>
      <c r="Y208" s="128">
        <f t="shared" si="64"/>
        <v>1585500</v>
      </c>
      <c r="Z208" s="128">
        <f t="shared" si="64"/>
        <v>1585500</v>
      </c>
      <c r="AA208" s="128">
        <f t="shared" si="64"/>
        <v>1585500</v>
      </c>
      <c r="AB208" s="128">
        <f t="shared" si="64"/>
        <v>1585500</v>
      </c>
      <c r="AC208" s="128">
        <f t="shared" si="64"/>
        <v>1585500</v>
      </c>
      <c r="AD208" s="128">
        <f t="shared" si="64"/>
        <v>1585500</v>
      </c>
      <c r="AE208" s="128">
        <f t="shared" si="64"/>
        <v>1585500</v>
      </c>
      <c r="AF208" s="128">
        <f t="shared" si="64"/>
        <v>1585500</v>
      </c>
      <c r="AG208" s="128">
        <f t="shared" si="64"/>
        <v>1585500</v>
      </c>
      <c r="AH208" s="128">
        <f t="shared" si="64"/>
        <v>1585500</v>
      </c>
      <c r="AI208" s="128">
        <f t="shared" si="64"/>
        <v>47616450</v>
      </c>
      <c r="AJ208" s="15"/>
      <c r="AK208" s="13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</row>
    <row r="209" spans="1:52" ht="14.4" outlineLevel="3">
      <c r="A209" s="322"/>
      <c r="B209" s="286" t="s">
        <v>824</v>
      </c>
      <c r="C209" s="323" t="s">
        <v>825</v>
      </c>
      <c r="D209" s="323" t="s">
        <v>101</v>
      </c>
      <c r="E209" s="324">
        <f t="shared" ref="E209:AH216" si="65">E169*3.5*1000</f>
        <v>115500</v>
      </c>
      <c r="F209" s="324">
        <f t="shared" si="65"/>
        <v>115500</v>
      </c>
      <c r="G209" s="324">
        <f t="shared" si="65"/>
        <v>115500</v>
      </c>
      <c r="H209" s="324">
        <f t="shared" si="65"/>
        <v>115500</v>
      </c>
      <c r="I209" s="324">
        <f t="shared" si="65"/>
        <v>115500</v>
      </c>
      <c r="J209" s="324">
        <f t="shared" si="65"/>
        <v>115500</v>
      </c>
      <c r="K209" s="324">
        <f t="shared" si="65"/>
        <v>115500</v>
      </c>
      <c r="L209" s="324">
        <f t="shared" si="65"/>
        <v>117774.99999999999</v>
      </c>
      <c r="M209" s="324">
        <f t="shared" si="65"/>
        <v>117774.99999999999</v>
      </c>
      <c r="N209" s="324">
        <f t="shared" si="65"/>
        <v>117774.99999999999</v>
      </c>
      <c r="O209" s="324">
        <f t="shared" si="65"/>
        <v>117774.99999999999</v>
      </c>
      <c r="P209" s="324">
        <f t="shared" si="65"/>
        <v>117774.99999999999</v>
      </c>
      <c r="Q209" s="324">
        <f t="shared" si="65"/>
        <v>117774.99999999999</v>
      </c>
      <c r="R209" s="324">
        <f t="shared" si="65"/>
        <v>117774.99999999999</v>
      </c>
      <c r="S209" s="324">
        <f t="shared" si="65"/>
        <v>117774.99999999999</v>
      </c>
      <c r="T209" s="324">
        <f t="shared" si="65"/>
        <v>117774.99999999999</v>
      </c>
      <c r="U209" s="324">
        <f t="shared" si="65"/>
        <v>117774.99999999999</v>
      </c>
      <c r="V209" s="324">
        <f t="shared" si="65"/>
        <v>117774.99999999999</v>
      </c>
      <c r="W209" s="324">
        <f t="shared" si="65"/>
        <v>117774.99999999999</v>
      </c>
      <c r="X209" s="324">
        <f t="shared" si="65"/>
        <v>117774.99999999999</v>
      </c>
      <c r="Y209" s="324">
        <f t="shared" si="65"/>
        <v>117774.99999999999</v>
      </c>
      <c r="Z209" s="324">
        <f t="shared" si="65"/>
        <v>117774.99999999999</v>
      </c>
      <c r="AA209" s="324">
        <f t="shared" si="65"/>
        <v>117774.99999999999</v>
      </c>
      <c r="AB209" s="324">
        <f t="shared" si="65"/>
        <v>117774.99999999999</v>
      </c>
      <c r="AC209" s="324">
        <f t="shared" si="65"/>
        <v>117774.99999999999</v>
      </c>
      <c r="AD209" s="324">
        <f t="shared" si="65"/>
        <v>117774.99999999999</v>
      </c>
      <c r="AE209" s="324">
        <f t="shared" si="65"/>
        <v>117774.99999999999</v>
      </c>
      <c r="AF209" s="324">
        <f t="shared" si="65"/>
        <v>117774.99999999999</v>
      </c>
      <c r="AG209" s="324">
        <f t="shared" si="65"/>
        <v>117774.99999999999</v>
      </c>
      <c r="AH209" s="324">
        <f t="shared" si="65"/>
        <v>117774.99999999999</v>
      </c>
      <c r="AI209" s="324">
        <f t="shared" ref="AI209:AI216" si="66">SUM(E209:AH209)</f>
        <v>3517325</v>
      </c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</row>
    <row r="210" spans="1:52" ht="14.4" outlineLevel="3">
      <c r="A210" s="322"/>
      <c r="B210" s="286" t="s">
        <v>74</v>
      </c>
      <c r="C210" s="323" t="s">
        <v>827</v>
      </c>
      <c r="D210" s="323" t="s">
        <v>101</v>
      </c>
      <c r="E210" s="324">
        <f t="shared" si="65"/>
        <v>722400</v>
      </c>
      <c r="F210" s="324">
        <f t="shared" si="65"/>
        <v>722400</v>
      </c>
      <c r="G210" s="324">
        <f t="shared" si="65"/>
        <v>722400</v>
      </c>
      <c r="H210" s="324">
        <f t="shared" si="65"/>
        <v>722400</v>
      </c>
      <c r="I210" s="324">
        <f t="shared" si="65"/>
        <v>722400</v>
      </c>
      <c r="J210" s="324">
        <f t="shared" si="65"/>
        <v>722400</v>
      </c>
      <c r="K210" s="324">
        <f t="shared" si="65"/>
        <v>722400</v>
      </c>
      <c r="L210" s="324">
        <f t="shared" si="65"/>
        <v>722400</v>
      </c>
      <c r="M210" s="324">
        <f t="shared" si="65"/>
        <v>722400</v>
      </c>
      <c r="N210" s="324">
        <f t="shared" si="65"/>
        <v>724675.00000000012</v>
      </c>
      <c r="O210" s="324">
        <f t="shared" si="65"/>
        <v>726950</v>
      </c>
      <c r="P210" s="324">
        <f t="shared" si="65"/>
        <v>729225</v>
      </c>
      <c r="Q210" s="324">
        <f t="shared" si="65"/>
        <v>733775</v>
      </c>
      <c r="R210" s="324">
        <f t="shared" si="65"/>
        <v>733775</v>
      </c>
      <c r="S210" s="324">
        <f t="shared" si="65"/>
        <v>733775</v>
      </c>
      <c r="T210" s="324">
        <f t="shared" si="65"/>
        <v>733775</v>
      </c>
      <c r="U210" s="324">
        <f t="shared" si="65"/>
        <v>733775</v>
      </c>
      <c r="V210" s="324">
        <f t="shared" si="65"/>
        <v>733775</v>
      </c>
      <c r="W210" s="324">
        <f t="shared" si="65"/>
        <v>733775</v>
      </c>
      <c r="X210" s="324">
        <f t="shared" si="65"/>
        <v>733775</v>
      </c>
      <c r="Y210" s="324">
        <f t="shared" si="65"/>
        <v>733775</v>
      </c>
      <c r="Z210" s="324">
        <f t="shared" si="65"/>
        <v>733775</v>
      </c>
      <c r="AA210" s="324">
        <f t="shared" si="65"/>
        <v>733775</v>
      </c>
      <c r="AB210" s="324">
        <f t="shared" si="65"/>
        <v>733775</v>
      </c>
      <c r="AC210" s="324">
        <f t="shared" si="65"/>
        <v>733775</v>
      </c>
      <c r="AD210" s="324">
        <f t="shared" si="65"/>
        <v>733775</v>
      </c>
      <c r="AE210" s="324">
        <f t="shared" si="65"/>
        <v>733775</v>
      </c>
      <c r="AF210" s="324">
        <f t="shared" si="65"/>
        <v>733775</v>
      </c>
      <c r="AG210" s="324">
        <f t="shared" si="65"/>
        <v>733775</v>
      </c>
      <c r="AH210" s="324">
        <f t="shared" si="65"/>
        <v>733775</v>
      </c>
      <c r="AI210" s="324">
        <f t="shared" si="66"/>
        <v>21890400</v>
      </c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</row>
    <row r="211" spans="1:52" ht="14.4" outlineLevel="3">
      <c r="A211" s="322"/>
      <c r="B211" s="286" t="s">
        <v>76</v>
      </c>
      <c r="C211" s="323" t="s">
        <v>828</v>
      </c>
      <c r="D211" s="323" t="s">
        <v>101</v>
      </c>
      <c r="E211" s="324">
        <f t="shared" si="65"/>
        <v>135099.99999999997</v>
      </c>
      <c r="F211" s="324">
        <f t="shared" si="65"/>
        <v>135099.99999999997</v>
      </c>
      <c r="G211" s="324">
        <f t="shared" si="65"/>
        <v>135099.99999999997</v>
      </c>
      <c r="H211" s="324">
        <f t="shared" si="65"/>
        <v>135099.99999999997</v>
      </c>
      <c r="I211" s="324">
        <f t="shared" si="65"/>
        <v>135099.99999999997</v>
      </c>
      <c r="J211" s="324">
        <f t="shared" si="65"/>
        <v>135099.99999999997</v>
      </c>
      <c r="K211" s="324">
        <f t="shared" si="65"/>
        <v>135099.99999999997</v>
      </c>
      <c r="L211" s="324">
        <f t="shared" si="65"/>
        <v>135099.99999999997</v>
      </c>
      <c r="M211" s="324">
        <f t="shared" si="65"/>
        <v>135099.99999999997</v>
      </c>
      <c r="N211" s="324">
        <f t="shared" si="65"/>
        <v>137374.99999999997</v>
      </c>
      <c r="O211" s="324">
        <f t="shared" si="65"/>
        <v>137374.99999999997</v>
      </c>
      <c r="P211" s="324">
        <f t="shared" si="65"/>
        <v>137374.99999999997</v>
      </c>
      <c r="Q211" s="324">
        <f t="shared" si="65"/>
        <v>137374.99999999997</v>
      </c>
      <c r="R211" s="324">
        <f t="shared" si="65"/>
        <v>137374.99999999997</v>
      </c>
      <c r="S211" s="324">
        <f t="shared" si="65"/>
        <v>137374.99999999997</v>
      </c>
      <c r="T211" s="324">
        <f t="shared" si="65"/>
        <v>137374.99999999997</v>
      </c>
      <c r="U211" s="324">
        <f t="shared" si="65"/>
        <v>137374.99999999997</v>
      </c>
      <c r="V211" s="324">
        <f t="shared" si="65"/>
        <v>137374.99999999997</v>
      </c>
      <c r="W211" s="324">
        <f t="shared" si="65"/>
        <v>137374.99999999997</v>
      </c>
      <c r="X211" s="324">
        <f t="shared" si="65"/>
        <v>137374.99999999997</v>
      </c>
      <c r="Y211" s="324">
        <f t="shared" si="65"/>
        <v>137374.99999999997</v>
      </c>
      <c r="Z211" s="324">
        <f t="shared" si="65"/>
        <v>137374.99999999997</v>
      </c>
      <c r="AA211" s="324">
        <f t="shared" si="65"/>
        <v>137374.99999999997</v>
      </c>
      <c r="AB211" s="324">
        <f t="shared" si="65"/>
        <v>137374.99999999997</v>
      </c>
      <c r="AC211" s="324">
        <f t="shared" si="65"/>
        <v>137374.99999999997</v>
      </c>
      <c r="AD211" s="324">
        <f t="shared" si="65"/>
        <v>137374.99999999997</v>
      </c>
      <c r="AE211" s="324">
        <f t="shared" si="65"/>
        <v>137374.99999999997</v>
      </c>
      <c r="AF211" s="324">
        <f t="shared" si="65"/>
        <v>137374.99999999997</v>
      </c>
      <c r="AG211" s="324">
        <f t="shared" si="65"/>
        <v>137374.99999999997</v>
      </c>
      <c r="AH211" s="324">
        <f t="shared" si="65"/>
        <v>137374.99999999997</v>
      </c>
      <c r="AI211" s="324">
        <f t="shared" si="66"/>
        <v>4100774.9999999995</v>
      </c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</row>
    <row r="212" spans="1:52" ht="14.4" outlineLevel="3">
      <c r="A212" s="322"/>
      <c r="B212" s="286" t="s">
        <v>77</v>
      </c>
      <c r="C212" s="323" t="s">
        <v>829</v>
      </c>
      <c r="D212" s="323" t="s">
        <v>101</v>
      </c>
      <c r="E212" s="324">
        <f t="shared" si="65"/>
        <v>332500</v>
      </c>
      <c r="F212" s="324">
        <f t="shared" si="65"/>
        <v>332500</v>
      </c>
      <c r="G212" s="324">
        <f t="shared" si="65"/>
        <v>332500</v>
      </c>
      <c r="H212" s="324">
        <f t="shared" si="65"/>
        <v>332500</v>
      </c>
      <c r="I212" s="324">
        <f t="shared" si="65"/>
        <v>332500</v>
      </c>
      <c r="J212" s="324">
        <f t="shared" si="65"/>
        <v>334775.00000000006</v>
      </c>
      <c r="K212" s="324">
        <f t="shared" si="65"/>
        <v>334775.00000000006</v>
      </c>
      <c r="L212" s="324">
        <f t="shared" si="65"/>
        <v>334775.00000000006</v>
      </c>
      <c r="M212" s="324">
        <f t="shared" si="65"/>
        <v>334775.00000000006</v>
      </c>
      <c r="N212" s="324">
        <f t="shared" si="65"/>
        <v>334775.00000000006</v>
      </c>
      <c r="O212" s="324">
        <f t="shared" si="65"/>
        <v>334775.00000000006</v>
      </c>
      <c r="P212" s="324">
        <f t="shared" si="65"/>
        <v>334775.00000000006</v>
      </c>
      <c r="Q212" s="324">
        <f t="shared" si="65"/>
        <v>334775.00000000006</v>
      </c>
      <c r="R212" s="324">
        <f t="shared" si="65"/>
        <v>337050</v>
      </c>
      <c r="S212" s="324">
        <f t="shared" si="65"/>
        <v>337050</v>
      </c>
      <c r="T212" s="324">
        <f t="shared" si="65"/>
        <v>337050</v>
      </c>
      <c r="U212" s="324">
        <f t="shared" si="65"/>
        <v>337050</v>
      </c>
      <c r="V212" s="324">
        <f t="shared" si="65"/>
        <v>337050</v>
      </c>
      <c r="W212" s="324">
        <f t="shared" si="65"/>
        <v>337050</v>
      </c>
      <c r="X212" s="324">
        <f t="shared" si="65"/>
        <v>337050</v>
      </c>
      <c r="Y212" s="324">
        <f t="shared" si="65"/>
        <v>337050</v>
      </c>
      <c r="Z212" s="324">
        <f t="shared" si="65"/>
        <v>337050</v>
      </c>
      <c r="AA212" s="324">
        <f t="shared" si="65"/>
        <v>337050</v>
      </c>
      <c r="AB212" s="324">
        <f t="shared" si="65"/>
        <v>337050</v>
      </c>
      <c r="AC212" s="324">
        <f t="shared" si="65"/>
        <v>337050</v>
      </c>
      <c r="AD212" s="324">
        <f t="shared" si="65"/>
        <v>337050</v>
      </c>
      <c r="AE212" s="324">
        <f t="shared" si="65"/>
        <v>337050</v>
      </c>
      <c r="AF212" s="324">
        <f t="shared" si="65"/>
        <v>337050</v>
      </c>
      <c r="AG212" s="324">
        <f t="shared" si="65"/>
        <v>337050</v>
      </c>
      <c r="AH212" s="324">
        <f t="shared" si="65"/>
        <v>337050</v>
      </c>
      <c r="AI212" s="324">
        <f t="shared" si="66"/>
        <v>10070550</v>
      </c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</row>
    <row r="213" spans="1:52" ht="14.4" outlineLevel="3">
      <c r="A213" s="322"/>
      <c r="B213" s="286" t="s">
        <v>78</v>
      </c>
      <c r="C213" s="323" t="s">
        <v>830</v>
      </c>
      <c r="D213" s="323" t="s">
        <v>101</v>
      </c>
      <c r="E213" s="324">
        <f t="shared" si="65"/>
        <v>163800.00000000003</v>
      </c>
      <c r="F213" s="324">
        <f t="shared" si="65"/>
        <v>163800.00000000003</v>
      </c>
      <c r="G213" s="324">
        <f t="shared" si="65"/>
        <v>163800.00000000003</v>
      </c>
      <c r="H213" s="324">
        <f t="shared" si="65"/>
        <v>163800.00000000003</v>
      </c>
      <c r="I213" s="324">
        <f t="shared" si="65"/>
        <v>163800.00000000003</v>
      </c>
      <c r="J213" s="324">
        <f t="shared" si="65"/>
        <v>163800.00000000003</v>
      </c>
      <c r="K213" s="324">
        <f t="shared" si="65"/>
        <v>163800.00000000003</v>
      </c>
      <c r="L213" s="324">
        <f t="shared" si="65"/>
        <v>163800.00000000003</v>
      </c>
      <c r="M213" s="324">
        <f t="shared" si="65"/>
        <v>163800.00000000003</v>
      </c>
      <c r="N213" s="324">
        <f t="shared" si="65"/>
        <v>163800.00000000003</v>
      </c>
      <c r="O213" s="324">
        <f t="shared" si="65"/>
        <v>163800.00000000003</v>
      </c>
      <c r="P213" s="324">
        <f t="shared" si="65"/>
        <v>163800.00000000003</v>
      </c>
      <c r="Q213" s="324">
        <f t="shared" si="65"/>
        <v>163800.00000000003</v>
      </c>
      <c r="R213" s="324">
        <f t="shared" si="65"/>
        <v>163800.00000000003</v>
      </c>
      <c r="S213" s="324">
        <f t="shared" si="65"/>
        <v>163800.00000000003</v>
      </c>
      <c r="T213" s="324">
        <f t="shared" si="65"/>
        <v>166075.00000000006</v>
      </c>
      <c r="U213" s="324">
        <f t="shared" si="65"/>
        <v>166075.00000000006</v>
      </c>
      <c r="V213" s="324">
        <f t="shared" si="65"/>
        <v>166075.00000000006</v>
      </c>
      <c r="W213" s="324">
        <f t="shared" si="65"/>
        <v>166075.00000000006</v>
      </c>
      <c r="X213" s="324">
        <f t="shared" si="65"/>
        <v>166075.00000000006</v>
      </c>
      <c r="Y213" s="324">
        <f t="shared" si="65"/>
        <v>166075.00000000006</v>
      </c>
      <c r="Z213" s="324">
        <f t="shared" si="65"/>
        <v>166075.00000000006</v>
      </c>
      <c r="AA213" s="324">
        <f t="shared" si="65"/>
        <v>166075.00000000006</v>
      </c>
      <c r="AB213" s="324">
        <f t="shared" si="65"/>
        <v>166075.00000000006</v>
      </c>
      <c r="AC213" s="324">
        <f t="shared" si="65"/>
        <v>166075.00000000006</v>
      </c>
      <c r="AD213" s="324">
        <f t="shared" si="65"/>
        <v>166075.00000000006</v>
      </c>
      <c r="AE213" s="324">
        <f t="shared" si="65"/>
        <v>166075.00000000006</v>
      </c>
      <c r="AF213" s="324">
        <f t="shared" si="65"/>
        <v>166075.00000000006</v>
      </c>
      <c r="AG213" s="324">
        <f t="shared" si="65"/>
        <v>166075.00000000006</v>
      </c>
      <c r="AH213" s="324">
        <f t="shared" si="65"/>
        <v>166075.00000000006</v>
      </c>
      <c r="AI213" s="324">
        <f t="shared" si="66"/>
        <v>4948125.0000000009</v>
      </c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</row>
    <row r="214" spans="1:52" ht="14.4" outlineLevel="3">
      <c r="A214" s="322" t="s">
        <v>831</v>
      </c>
      <c r="B214" s="326" t="s">
        <v>79</v>
      </c>
      <c r="C214" s="327" t="s">
        <v>832</v>
      </c>
      <c r="D214" s="327" t="s">
        <v>101</v>
      </c>
      <c r="E214" s="324">
        <f t="shared" si="65"/>
        <v>101500</v>
      </c>
      <c r="F214" s="324">
        <f t="shared" si="65"/>
        <v>101500</v>
      </c>
      <c r="G214" s="324">
        <f t="shared" si="65"/>
        <v>101500</v>
      </c>
      <c r="H214" s="324">
        <f t="shared" si="65"/>
        <v>101500</v>
      </c>
      <c r="I214" s="324">
        <f t="shared" si="65"/>
        <v>101500</v>
      </c>
      <c r="J214" s="324">
        <f t="shared" si="65"/>
        <v>103774.99999999999</v>
      </c>
      <c r="K214" s="328">
        <f t="shared" si="65"/>
        <v>93449.999999999913</v>
      </c>
      <c r="L214" s="328">
        <f t="shared" si="65"/>
        <v>93449.999999999913</v>
      </c>
      <c r="M214" s="328">
        <f t="shared" si="65"/>
        <v>93449.999999999913</v>
      </c>
      <c r="N214" s="328">
        <f t="shared" si="65"/>
        <v>93449.999999999913</v>
      </c>
      <c r="O214" s="328">
        <f t="shared" si="65"/>
        <v>93449.999999999913</v>
      </c>
      <c r="P214" s="328">
        <f t="shared" si="65"/>
        <v>93449.999999999913</v>
      </c>
      <c r="Q214" s="328">
        <f t="shared" si="65"/>
        <v>93449.999999999913</v>
      </c>
      <c r="R214" s="328">
        <f t="shared" si="65"/>
        <v>93449.999999999913</v>
      </c>
      <c r="S214" s="328">
        <f t="shared" si="65"/>
        <v>93449.999999999913</v>
      </c>
      <c r="T214" s="328">
        <f t="shared" si="65"/>
        <v>93449.999999999913</v>
      </c>
      <c r="U214" s="328">
        <f t="shared" si="65"/>
        <v>93449.999999999913</v>
      </c>
      <c r="V214" s="328">
        <f t="shared" si="65"/>
        <v>93449.999999999913</v>
      </c>
      <c r="W214" s="328">
        <f t="shared" si="65"/>
        <v>93449.999999999913</v>
      </c>
      <c r="X214" s="328">
        <f t="shared" si="65"/>
        <v>93449.999999999913</v>
      </c>
      <c r="Y214" s="328">
        <f t="shared" si="65"/>
        <v>93449.999999999913</v>
      </c>
      <c r="Z214" s="328">
        <f t="shared" si="65"/>
        <v>93449.999999999913</v>
      </c>
      <c r="AA214" s="328">
        <f t="shared" si="65"/>
        <v>93449.999999999913</v>
      </c>
      <c r="AB214" s="328">
        <f t="shared" si="65"/>
        <v>93449.999999999913</v>
      </c>
      <c r="AC214" s="328">
        <f t="shared" si="65"/>
        <v>93449.999999999913</v>
      </c>
      <c r="AD214" s="328">
        <f t="shared" si="65"/>
        <v>93449.999999999913</v>
      </c>
      <c r="AE214" s="328">
        <f t="shared" si="65"/>
        <v>93449.999999999913</v>
      </c>
      <c r="AF214" s="328">
        <f t="shared" si="65"/>
        <v>93449.999999999913</v>
      </c>
      <c r="AG214" s="328">
        <f t="shared" si="65"/>
        <v>93449.999999999913</v>
      </c>
      <c r="AH214" s="328">
        <f t="shared" si="65"/>
        <v>93449.999999999913</v>
      </c>
      <c r="AI214" s="328">
        <f t="shared" si="66"/>
        <v>2854074.9999999995</v>
      </c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</row>
    <row r="215" spans="1:52" ht="14.4" outlineLevel="3">
      <c r="A215" s="322" t="s">
        <v>831</v>
      </c>
      <c r="B215" s="326" t="s">
        <v>80</v>
      </c>
      <c r="C215" s="327" t="s">
        <v>833</v>
      </c>
      <c r="D215" s="327" t="s">
        <v>101</v>
      </c>
      <c r="E215" s="324">
        <f t="shared" si="65"/>
        <v>1399.9999999999204</v>
      </c>
      <c r="F215" s="324">
        <f t="shared" si="65"/>
        <v>1399.9999999999204</v>
      </c>
      <c r="G215" s="324">
        <f t="shared" si="65"/>
        <v>1399.9999999999204</v>
      </c>
      <c r="H215" s="324">
        <f t="shared" si="65"/>
        <v>1399.9999999999204</v>
      </c>
      <c r="I215" s="324">
        <f t="shared" si="65"/>
        <v>1399.9999999999204</v>
      </c>
      <c r="J215" s="324">
        <f t="shared" si="65"/>
        <v>1399.9999999999204</v>
      </c>
      <c r="K215" s="328">
        <f t="shared" si="65"/>
        <v>0</v>
      </c>
      <c r="L215" s="328">
        <f t="shared" si="65"/>
        <v>0</v>
      </c>
      <c r="M215" s="328">
        <f t="shared" si="65"/>
        <v>0</v>
      </c>
      <c r="N215" s="328">
        <f t="shared" si="65"/>
        <v>0</v>
      </c>
      <c r="O215" s="328">
        <f t="shared" si="65"/>
        <v>0</v>
      </c>
      <c r="P215" s="328">
        <f t="shared" si="65"/>
        <v>0</v>
      </c>
      <c r="Q215" s="328">
        <f t="shared" si="65"/>
        <v>0</v>
      </c>
      <c r="R215" s="328">
        <f t="shared" si="65"/>
        <v>0</v>
      </c>
      <c r="S215" s="328">
        <f t="shared" si="65"/>
        <v>0</v>
      </c>
      <c r="T215" s="328">
        <f t="shared" si="65"/>
        <v>0</v>
      </c>
      <c r="U215" s="328">
        <f t="shared" si="65"/>
        <v>0</v>
      </c>
      <c r="V215" s="328">
        <f t="shared" si="65"/>
        <v>0</v>
      </c>
      <c r="W215" s="328">
        <f t="shared" si="65"/>
        <v>0</v>
      </c>
      <c r="X215" s="328">
        <f t="shared" si="65"/>
        <v>0</v>
      </c>
      <c r="Y215" s="328">
        <f t="shared" si="65"/>
        <v>0</v>
      </c>
      <c r="Z215" s="328">
        <f t="shared" si="65"/>
        <v>0</v>
      </c>
      <c r="AA215" s="328">
        <f t="shared" si="65"/>
        <v>0</v>
      </c>
      <c r="AB215" s="328">
        <f t="shared" si="65"/>
        <v>0</v>
      </c>
      <c r="AC215" s="328">
        <f t="shared" si="65"/>
        <v>0</v>
      </c>
      <c r="AD215" s="328">
        <f t="shared" si="65"/>
        <v>0</v>
      </c>
      <c r="AE215" s="328">
        <f t="shared" si="65"/>
        <v>0</v>
      </c>
      <c r="AF215" s="328">
        <f t="shared" si="65"/>
        <v>0</v>
      </c>
      <c r="AG215" s="328">
        <f t="shared" si="65"/>
        <v>0</v>
      </c>
      <c r="AH215" s="328">
        <f t="shared" si="65"/>
        <v>0</v>
      </c>
      <c r="AI215" s="328">
        <f t="shared" si="66"/>
        <v>8399.9999999995216</v>
      </c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</row>
    <row r="216" spans="1:52" ht="14.4" outlineLevel="3">
      <c r="A216" s="322" t="s">
        <v>831</v>
      </c>
      <c r="B216" s="326" t="s">
        <v>81</v>
      </c>
      <c r="C216" s="327" t="s">
        <v>1015</v>
      </c>
      <c r="D216" s="327" t="s">
        <v>101</v>
      </c>
      <c r="E216" s="324">
        <f t="shared" si="65"/>
        <v>37799.99999999984</v>
      </c>
      <c r="F216" s="324">
        <f t="shared" si="65"/>
        <v>37799.99999999984</v>
      </c>
      <c r="G216" s="324">
        <f t="shared" si="65"/>
        <v>37799.99999999984</v>
      </c>
      <c r="H216" s="324">
        <f t="shared" si="65"/>
        <v>37799.99999999984</v>
      </c>
      <c r="I216" s="324">
        <f t="shared" si="65"/>
        <v>37799.99999999984</v>
      </c>
      <c r="J216" s="324">
        <f t="shared" si="65"/>
        <v>37799.99999999984</v>
      </c>
      <c r="K216" s="328">
        <f t="shared" si="65"/>
        <v>0</v>
      </c>
      <c r="L216" s="328">
        <f t="shared" si="65"/>
        <v>0</v>
      </c>
      <c r="M216" s="328">
        <f t="shared" si="65"/>
        <v>0</v>
      </c>
      <c r="N216" s="328">
        <f t="shared" si="65"/>
        <v>0</v>
      </c>
      <c r="O216" s="328">
        <f t="shared" si="65"/>
        <v>0</v>
      </c>
      <c r="P216" s="328">
        <f t="shared" si="65"/>
        <v>0</v>
      </c>
      <c r="Q216" s="328">
        <f t="shared" si="65"/>
        <v>0</v>
      </c>
      <c r="R216" s="328">
        <f t="shared" si="65"/>
        <v>0</v>
      </c>
      <c r="S216" s="328">
        <f t="shared" si="65"/>
        <v>0</v>
      </c>
      <c r="T216" s="328">
        <f t="shared" si="65"/>
        <v>0</v>
      </c>
      <c r="U216" s="328">
        <f t="shared" si="65"/>
        <v>0</v>
      </c>
      <c r="V216" s="328">
        <f t="shared" si="65"/>
        <v>0</v>
      </c>
      <c r="W216" s="328">
        <f t="shared" si="65"/>
        <v>0</v>
      </c>
      <c r="X216" s="328">
        <f t="shared" si="65"/>
        <v>0</v>
      </c>
      <c r="Y216" s="328">
        <f t="shared" si="65"/>
        <v>0</v>
      </c>
      <c r="Z216" s="328">
        <f t="shared" si="65"/>
        <v>0</v>
      </c>
      <c r="AA216" s="328">
        <f t="shared" si="65"/>
        <v>0</v>
      </c>
      <c r="AB216" s="328">
        <f t="shared" si="65"/>
        <v>0</v>
      </c>
      <c r="AC216" s="328">
        <f t="shared" si="65"/>
        <v>0</v>
      </c>
      <c r="AD216" s="328">
        <f t="shared" si="65"/>
        <v>0</v>
      </c>
      <c r="AE216" s="328">
        <f t="shared" si="65"/>
        <v>0</v>
      </c>
      <c r="AF216" s="328">
        <f t="shared" si="65"/>
        <v>0</v>
      </c>
      <c r="AG216" s="328">
        <f t="shared" si="65"/>
        <v>0</v>
      </c>
      <c r="AH216" s="328">
        <f t="shared" si="65"/>
        <v>0</v>
      </c>
      <c r="AI216" s="328">
        <f t="shared" si="66"/>
        <v>226799.99999999901</v>
      </c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</row>
    <row r="217" spans="1:52" ht="14.4" outlineLevel="1">
      <c r="B217" s="403" t="s">
        <v>913</v>
      </c>
      <c r="C217" s="404"/>
      <c r="D217" s="6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126"/>
      <c r="AC217" s="126"/>
      <c r="AD217" s="126"/>
      <c r="AE217" s="126"/>
      <c r="AF217" s="126"/>
      <c r="AG217" s="126"/>
      <c r="AH217" s="126"/>
      <c r="AI217" s="127" t="s">
        <v>821</v>
      </c>
      <c r="AK217" s="15"/>
    </row>
    <row r="218" spans="1:52" ht="14.4" outlineLevel="2">
      <c r="B218" s="10">
        <v>2</v>
      </c>
      <c r="C218" s="11" t="s">
        <v>914</v>
      </c>
      <c r="D218" s="11" t="s">
        <v>101</v>
      </c>
      <c r="E218" s="128">
        <f t="shared" ref="E218:AI218" si="67">SUM(E219:E226)</f>
        <v>46079.999999999833</v>
      </c>
      <c r="F218" s="128">
        <f t="shared" si="67"/>
        <v>46079.999999999833</v>
      </c>
      <c r="G218" s="128">
        <f t="shared" si="67"/>
        <v>46079.999999999833</v>
      </c>
      <c r="H218" s="128">
        <f t="shared" si="67"/>
        <v>46079.999999999833</v>
      </c>
      <c r="I218" s="128">
        <f t="shared" si="67"/>
        <v>46079.999999999833</v>
      </c>
      <c r="J218" s="128">
        <f t="shared" si="67"/>
        <v>46079.999999999833</v>
      </c>
      <c r="K218" s="128">
        <f t="shared" si="67"/>
        <v>46079.999999999833</v>
      </c>
      <c r="L218" s="128">
        <f t="shared" si="67"/>
        <v>46079.999999999833</v>
      </c>
      <c r="M218" s="128">
        <f t="shared" si="67"/>
        <v>92863.99999999984</v>
      </c>
      <c r="N218" s="128">
        <f t="shared" si="67"/>
        <v>92863.99999999984</v>
      </c>
      <c r="O218" s="128">
        <f t="shared" si="67"/>
        <v>92863.99999999984</v>
      </c>
      <c r="P218" s="128">
        <f t="shared" si="67"/>
        <v>110495.99999999983</v>
      </c>
      <c r="Q218" s="128">
        <f t="shared" si="67"/>
        <v>110495.99999999983</v>
      </c>
      <c r="R218" s="128">
        <f t="shared" si="67"/>
        <v>133375.99999999983</v>
      </c>
      <c r="S218" s="128">
        <f t="shared" si="67"/>
        <v>133375.99999999983</v>
      </c>
      <c r="T218" s="128">
        <f t="shared" si="67"/>
        <v>133375.99999999983</v>
      </c>
      <c r="U218" s="128">
        <f t="shared" si="67"/>
        <v>133375.99999999983</v>
      </c>
      <c r="V218" s="128">
        <f t="shared" si="67"/>
        <v>133375.99999999983</v>
      </c>
      <c r="W218" s="128">
        <f t="shared" si="67"/>
        <v>133375.99999999983</v>
      </c>
      <c r="X218" s="128">
        <f t="shared" si="67"/>
        <v>260479.99999999985</v>
      </c>
      <c r="Y218" s="128">
        <f t="shared" si="67"/>
        <v>260479.99999999985</v>
      </c>
      <c r="Z218" s="128">
        <f t="shared" si="67"/>
        <v>260479.99999999985</v>
      </c>
      <c r="AA218" s="128">
        <f t="shared" si="67"/>
        <v>260479.99999999985</v>
      </c>
      <c r="AB218" s="128">
        <f t="shared" si="67"/>
        <v>378175.99999999977</v>
      </c>
      <c r="AC218" s="128">
        <f t="shared" si="67"/>
        <v>378175.99999999977</v>
      </c>
      <c r="AD218" s="128">
        <f t="shared" si="67"/>
        <v>378175.99999999977</v>
      </c>
      <c r="AE218" s="128">
        <f t="shared" si="67"/>
        <v>378175.99999999977</v>
      </c>
      <c r="AF218" s="128">
        <f t="shared" si="67"/>
        <v>378175.99999999977</v>
      </c>
      <c r="AG218" s="128">
        <f t="shared" si="67"/>
        <v>378175.99999999977</v>
      </c>
      <c r="AH218" s="128">
        <f t="shared" si="67"/>
        <v>378175.99999999977</v>
      </c>
      <c r="AI218" s="128">
        <f t="shared" si="67"/>
        <v>5357631.9999999944</v>
      </c>
      <c r="AJ218" s="15"/>
      <c r="AK218" s="13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</row>
    <row r="219" spans="1:52" ht="14.4" outlineLevel="3">
      <c r="A219" s="322"/>
      <c r="B219" s="286" t="s">
        <v>835</v>
      </c>
      <c r="C219" s="323" t="s">
        <v>825</v>
      </c>
      <c r="D219" s="323" t="s">
        <v>101</v>
      </c>
      <c r="E219" s="324">
        <f t="shared" ref="E219:AH226" si="68">E179*3.2*1000</f>
        <v>2880.0000000000027</v>
      </c>
      <c r="F219" s="324">
        <f t="shared" si="68"/>
        <v>2880.0000000000027</v>
      </c>
      <c r="G219" s="324">
        <f t="shared" si="68"/>
        <v>2880.0000000000027</v>
      </c>
      <c r="H219" s="324">
        <f t="shared" si="68"/>
        <v>2880.0000000000027</v>
      </c>
      <c r="I219" s="324">
        <f t="shared" si="68"/>
        <v>2880.0000000000027</v>
      </c>
      <c r="J219" s="324">
        <f t="shared" si="68"/>
        <v>2880.0000000000027</v>
      </c>
      <c r="K219" s="324">
        <f t="shared" si="68"/>
        <v>2880.0000000000027</v>
      </c>
      <c r="L219" s="324">
        <f t="shared" si="68"/>
        <v>2880.0000000000027</v>
      </c>
      <c r="M219" s="324">
        <f t="shared" si="68"/>
        <v>7584.0000000000027</v>
      </c>
      <c r="N219" s="324">
        <f t="shared" si="68"/>
        <v>7584.0000000000027</v>
      </c>
      <c r="O219" s="324">
        <f t="shared" si="68"/>
        <v>7584.0000000000027</v>
      </c>
      <c r="P219" s="324">
        <f t="shared" si="68"/>
        <v>7584.0000000000027</v>
      </c>
      <c r="Q219" s="324">
        <f t="shared" si="68"/>
        <v>7584.0000000000027</v>
      </c>
      <c r="R219" s="324">
        <f t="shared" si="68"/>
        <v>30464.000000000007</v>
      </c>
      <c r="S219" s="324">
        <f t="shared" si="68"/>
        <v>30464.000000000007</v>
      </c>
      <c r="T219" s="324">
        <f t="shared" si="68"/>
        <v>30464.000000000007</v>
      </c>
      <c r="U219" s="324">
        <f t="shared" si="68"/>
        <v>30464.000000000007</v>
      </c>
      <c r="V219" s="324">
        <f t="shared" si="68"/>
        <v>30464.000000000007</v>
      </c>
      <c r="W219" s="324">
        <f t="shared" si="68"/>
        <v>30464.000000000007</v>
      </c>
      <c r="X219" s="324">
        <f t="shared" si="68"/>
        <v>30464.000000000007</v>
      </c>
      <c r="Y219" s="324">
        <f t="shared" si="68"/>
        <v>30464.000000000007</v>
      </c>
      <c r="Z219" s="324">
        <f t="shared" si="68"/>
        <v>30464.000000000007</v>
      </c>
      <c r="AA219" s="324">
        <f t="shared" si="68"/>
        <v>30464.000000000007</v>
      </c>
      <c r="AB219" s="324">
        <f t="shared" si="68"/>
        <v>30464.000000000007</v>
      </c>
      <c r="AC219" s="324">
        <f t="shared" si="68"/>
        <v>30464.000000000007</v>
      </c>
      <c r="AD219" s="324">
        <f t="shared" si="68"/>
        <v>30464.000000000007</v>
      </c>
      <c r="AE219" s="324">
        <f t="shared" si="68"/>
        <v>30464.000000000007</v>
      </c>
      <c r="AF219" s="324">
        <f t="shared" si="68"/>
        <v>30464.000000000007</v>
      </c>
      <c r="AG219" s="324">
        <f t="shared" si="68"/>
        <v>30464.000000000007</v>
      </c>
      <c r="AH219" s="324">
        <f t="shared" si="68"/>
        <v>30464.000000000007</v>
      </c>
      <c r="AI219" s="324">
        <f t="shared" ref="AI219:AI226" si="69">SUM(E219:AH219)</f>
        <v>578848.00000000012</v>
      </c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</row>
    <row r="220" spans="1:52" ht="14.4" outlineLevel="3">
      <c r="A220" s="322"/>
      <c r="B220" s="286" t="s">
        <v>199</v>
      </c>
      <c r="C220" s="323" t="s">
        <v>827</v>
      </c>
      <c r="D220" s="323" t="s">
        <v>101</v>
      </c>
      <c r="E220" s="324">
        <f t="shared" si="68"/>
        <v>29760.000000000131</v>
      </c>
      <c r="F220" s="324">
        <f t="shared" si="68"/>
        <v>29760.000000000131</v>
      </c>
      <c r="G220" s="324">
        <f t="shared" si="68"/>
        <v>29760.000000000131</v>
      </c>
      <c r="H220" s="324">
        <f t="shared" si="68"/>
        <v>29760.000000000131</v>
      </c>
      <c r="I220" s="324">
        <f t="shared" si="68"/>
        <v>29760.000000000131</v>
      </c>
      <c r="J220" s="324">
        <f t="shared" si="68"/>
        <v>29760.000000000131</v>
      </c>
      <c r="K220" s="324">
        <f t="shared" si="68"/>
        <v>29760.000000000131</v>
      </c>
      <c r="L220" s="324">
        <f t="shared" si="68"/>
        <v>29760.000000000131</v>
      </c>
      <c r="M220" s="324">
        <f t="shared" si="68"/>
        <v>59008.000000000131</v>
      </c>
      <c r="N220" s="324">
        <f t="shared" si="68"/>
        <v>59008.000000000131</v>
      </c>
      <c r="O220" s="324">
        <f t="shared" si="68"/>
        <v>59008.000000000131</v>
      </c>
      <c r="P220" s="324">
        <f t="shared" si="68"/>
        <v>59008.000000000131</v>
      </c>
      <c r="Q220" s="324">
        <f t="shared" si="68"/>
        <v>59008.000000000131</v>
      </c>
      <c r="R220" s="324">
        <f t="shared" si="68"/>
        <v>59008.000000000131</v>
      </c>
      <c r="S220" s="324">
        <f t="shared" si="68"/>
        <v>59008.000000000131</v>
      </c>
      <c r="T220" s="324">
        <f t="shared" si="68"/>
        <v>59008.000000000131</v>
      </c>
      <c r="U220" s="324">
        <f t="shared" si="68"/>
        <v>59008.000000000131</v>
      </c>
      <c r="V220" s="324">
        <f t="shared" si="68"/>
        <v>59008.000000000131</v>
      </c>
      <c r="W220" s="324">
        <f t="shared" si="68"/>
        <v>59008.000000000131</v>
      </c>
      <c r="X220" s="324">
        <f t="shared" si="68"/>
        <v>186112.00000000015</v>
      </c>
      <c r="Y220" s="324">
        <f t="shared" si="68"/>
        <v>186112.00000000015</v>
      </c>
      <c r="Z220" s="324">
        <f t="shared" si="68"/>
        <v>186112.00000000015</v>
      </c>
      <c r="AA220" s="324">
        <f t="shared" si="68"/>
        <v>186112.00000000015</v>
      </c>
      <c r="AB220" s="324">
        <f t="shared" si="68"/>
        <v>186112.00000000015</v>
      </c>
      <c r="AC220" s="324">
        <f t="shared" si="68"/>
        <v>186112.00000000015</v>
      </c>
      <c r="AD220" s="324">
        <f t="shared" si="68"/>
        <v>186112.00000000015</v>
      </c>
      <c r="AE220" s="324">
        <f t="shared" si="68"/>
        <v>186112.00000000015</v>
      </c>
      <c r="AF220" s="324">
        <f t="shared" si="68"/>
        <v>186112.00000000015</v>
      </c>
      <c r="AG220" s="324">
        <f t="shared" si="68"/>
        <v>186112.00000000015</v>
      </c>
      <c r="AH220" s="324">
        <f t="shared" si="68"/>
        <v>186112.00000000015</v>
      </c>
      <c r="AI220" s="324">
        <f t="shared" si="69"/>
        <v>2934400.0000000037</v>
      </c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</row>
    <row r="221" spans="1:52" ht="14.4" outlineLevel="3">
      <c r="A221" s="322"/>
      <c r="B221" s="286" t="s">
        <v>200</v>
      </c>
      <c r="C221" s="323" t="s">
        <v>828</v>
      </c>
      <c r="D221" s="323" t="s">
        <v>101</v>
      </c>
      <c r="E221" s="324">
        <f t="shared" si="68"/>
        <v>9279.9999999997453</v>
      </c>
      <c r="F221" s="324">
        <f t="shared" si="68"/>
        <v>9279.9999999997453</v>
      </c>
      <c r="G221" s="324">
        <f t="shared" si="68"/>
        <v>9279.9999999997453</v>
      </c>
      <c r="H221" s="324">
        <f t="shared" si="68"/>
        <v>9279.9999999997453</v>
      </c>
      <c r="I221" s="324">
        <f t="shared" si="68"/>
        <v>9279.9999999997453</v>
      </c>
      <c r="J221" s="324">
        <f t="shared" si="68"/>
        <v>9279.9999999997453</v>
      </c>
      <c r="K221" s="324">
        <f t="shared" si="68"/>
        <v>9279.9999999997453</v>
      </c>
      <c r="L221" s="324">
        <f t="shared" si="68"/>
        <v>9279.9999999997453</v>
      </c>
      <c r="M221" s="324">
        <f t="shared" si="68"/>
        <v>9279.9999999997453</v>
      </c>
      <c r="N221" s="324">
        <f t="shared" si="68"/>
        <v>9279.9999999997453</v>
      </c>
      <c r="O221" s="324">
        <f t="shared" si="68"/>
        <v>9279.9999999997453</v>
      </c>
      <c r="P221" s="324">
        <f t="shared" si="68"/>
        <v>9279.9999999997453</v>
      </c>
      <c r="Q221" s="324">
        <f t="shared" si="68"/>
        <v>9279.9999999997453</v>
      </c>
      <c r="R221" s="324">
        <f t="shared" si="68"/>
        <v>9279.9999999997453</v>
      </c>
      <c r="S221" s="324">
        <f t="shared" si="68"/>
        <v>9279.9999999997453</v>
      </c>
      <c r="T221" s="324">
        <f t="shared" si="68"/>
        <v>9279.9999999997453</v>
      </c>
      <c r="U221" s="324">
        <f t="shared" si="68"/>
        <v>9279.9999999997453</v>
      </c>
      <c r="V221" s="324">
        <f t="shared" si="68"/>
        <v>9279.9999999997453</v>
      </c>
      <c r="W221" s="324">
        <f t="shared" si="68"/>
        <v>9279.9999999997453</v>
      </c>
      <c r="X221" s="324">
        <f t="shared" si="68"/>
        <v>9279.9999999997453</v>
      </c>
      <c r="Y221" s="324">
        <f t="shared" si="68"/>
        <v>9279.9999999997453</v>
      </c>
      <c r="Z221" s="324">
        <f t="shared" si="68"/>
        <v>9279.9999999997453</v>
      </c>
      <c r="AA221" s="324">
        <f t="shared" si="68"/>
        <v>9279.9999999997453</v>
      </c>
      <c r="AB221" s="324">
        <f t="shared" si="68"/>
        <v>45951.999999999753</v>
      </c>
      <c r="AC221" s="324">
        <f t="shared" si="68"/>
        <v>45951.999999999753</v>
      </c>
      <c r="AD221" s="324">
        <f t="shared" si="68"/>
        <v>45951.999999999753</v>
      </c>
      <c r="AE221" s="324">
        <f t="shared" si="68"/>
        <v>45951.999999999753</v>
      </c>
      <c r="AF221" s="324">
        <f t="shared" si="68"/>
        <v>45951.999999999753</v>
      </c>
      <c r="AG221" s="324">
        <f t="shared" si="68"/>
        <v>45951.999999999753</v>
      </c>
      <c r="AH221" s="324">
        <f t="shared" si="68"/>
        <v>45951.999999999753</v>
      </c>
      <c r="AI221" s="324">
        <f t="shared" si="69"/>
        <v>535103.99999999232</v>
      </c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</row>
    <row r="222" spans="1:52" ht="14.4" outlineLevel="3">
      <c r="A222" s="322"/>
      <c r="B222" s="286" t="s">
        <v>201</v>
      </c>
      <c r="C222" s="323" t="s">
        <v>829</v>
      </c>
      <c r="D222" s="323" t="s">
        <v>101</v>
      </c>
      <c r="E222" s="324">
        <f t="shared" si="68"/>
        <v>2880.0000000000186</v>
      </c>
      <c r="F222" s="324">
        <f t="shared" si="68"/>
        <v>2880.0000000000186</v>
      </c>
      <c r="G222" s="324">
        <f t="shared" si="68"/>
        <v>2880.0000000000186</v>
      </c>
      <c r="H222" s="324">
        <f t="shared" si="68"/>
        <v>2880.0000000000186</v>
      </c>
      <c r="I222" s="324">
        <f t="shared" si="68"/>
        <v>2880.0000000000186</v>
      </c>
      <c r="J222" s="324">
        <f t="shared" si="68"/>
        <v>2880.0000000000186</v>
      </c>
      <c r="K222" s="324">
        <f t="shared" si="68"/>
        <v>2880.0000000000186</v>
      </c>
      <c r="L222" s="324">
        <f t="shared" si="68"/>
        <v>2880.0000000000186</v>
      </c>
      <c r="M222" s="324">
        <f t="shared" si="68"/>
        <v>8672.0000000000182</v>
      </c>
      <c r="N222" s="324">
        <f t="shared" si="68"/>
        <v>8672.0000000000182</v>
      </c>
      <c r="O222" s="324">
        <f t="shared" si="68"/>
        <v>8672.0000000000182</v>
      </c>
      <c r="P222" s="324">
        <f t="shared" si="68"/>
        <v>8672.0000000000182</v>
      </c>
      <c r="Q222" s="324">
        <f t="shared" si="68"/>
        <v>8672.0000000000182</v>
      </c>
      <c r="R222" s="324">
        <f t="shared" si="68"/>
        <v>8672.0000000000182</v>
      </c>
      <c r="S222" s="324">
        <f t="shared" si="68"/>
        <v>8672.0000000000182</v>
      </c>
      <c r="T222" s="324">
        <f t="shared" si="68"/>
        <v>8672.0000000000182</v>
      </c>
      <c r="U222" s="324">
        <f t="shared" si="68"/>
        <v>8672.0000000000182</v>
      </c>
      <c r="V222" s="324">
        <f t="shared" si="68"/>
        <v>8672.0000000000182</v>
      </c>
      <c r="W222" s="324">
        <f t="shared" si="68"/>
        <v>8672.0000000000182</v>
      </c>
      <c r="X222" s="324">
        <f t="shared" si="68"/>
        <v>8672.0000000000182</v>
      </c>
      <c r="Y222" s="324">
        <f t="shared" si="68"/>
        <v>8672.0000000000182</v>
      </c>
      <c r="Z222" s="324">
        <f t="shared" si="68"/>
        <v>8672.0000000000182</v>
      </c>
      <c r="AA222" s="324">
        <f t="shared" si="68"/>
        <v>8672.0000000000182</v>
      </c>
      <c r="AB222" s="324">
        <f t="shared" si="68"/>
        <v>56800.000000000015</v>
      </c>
      <c r="AC222" s="324">
        <f t="shared" si="68"/>
        <v>56800.000000000015</v>
      </c>
      <c r="AD222" s="324">
        <f t="shared" si="68"/>
        <v>56800.000000000015</v>
      </c>
      <c r="AE222" s="324">
        <f t="shared" si="68"/>
        <v>56800.000000000015</v>
      </c>
      <c r="AF222" s="324">
        <f t="shared" si="68"/>
        <v>56800.000000000015</v>
      </c>
      <c r="AG222" s="324">
        <f t="shared" si="68"/>
        <v>56800.000000000015</v>
      </c>
      <c r="AH222" s="324">
        <f t="shared" si="68"/>
        <v>56800.000000000015</v>
      </c>
      <c r="AI222" s="324">
        <f t="shared" si="69"/>
        <v>550720.00000000047</v>
      </c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</row>
    <row r="223" spans="1:52" ht="14.4" outlineLevel="3">
      <c r="A223" s="322"/>
      <c r="B223" s="286" t="s">
        <v>836</v>
      </c>
      <c r="C223" s="323" t="s">
        <v>830</v>
      </c>
      <c r="D223" s="323" t="s">
        <v>101</v>
      </c>
      <c r="E223" s="324">
        <f t="shared" si="68"/>
        <v>639.99999999996373</v>
      </c>
      <c r="F223" s="324">
        <f t="shared" si="68"/>
        <v>639.99999999996373</v>
      </c>
      <c r="G223" s="324">
        <f t="shared" si="68"/>
        <v>639.99999999996373</v>
      </c>
      <c r="H223" s="324">
        <f t="shared" si="68"/>
        <v>639.99999999996373</v>
      </c>
      <c r="I223" s="324">
        <f t="shared" si="68"/>
        <v>639.99999999996373</v>
      </c>
      <c r="J223" s="324">
        <f t="shared" si="68"/>
        <v>639.99999999996373</v>
      </c>
      <c r="K223" s="324">
        <f t="shared" si="68"/>
        <v>639.99999999996373</v>
      </c>
      <c r="L223" s="324">
        <f t="shared" si="68"/>
        <v>639.99999999996373</v>
      </c>
      <c r="M223" s="324">
        <f t="shared" si="68"/>
        <v>7679.9999999999645</v>
      </c>
      <c r="N223" s="324">
        <f t="shared" si="68"/>
        <v>7679.9999999999645</v>
      </c>
      <c r="O223" s="324">
        <f t="shared" si="68"/>
        <v>7679.9999999999645</v>
      </c>
      <c r="P223" s="324">
        <f t="shared" si="68"/>
        <v>7679.9999999999645</v>
      </c>
      <c r="Q223" s="324">
        <f t="shared" si="68"/>
        <v>7679.9999999999645</v>
      </c>
      <c r="R223" s="324">
        <f t="shared" si="68"/>
        <v>7679.9999999999645</v>
      </c>
      <c r="S223" s="324">
        <f t="shared" si="68"/>
        <v>7679.9999999999645</v>
      </c>
      <c r="T223" s="324">
        <f t="shared" si="68"/>
        <v>7679.9999999999645</v>
      </c>
      <c r="U223" s="324">
        <f t="shared" si="68"/>
        <v>7679.9999999999645</v>
      </c>
      <c r="V223" s="324">
        <f t="shared" si="68"/>
        <v>7679.9999999999645</v>
      </c>
      <c r="W223" s="324">
        <f t="shared" si="68"/>
        <v>7679.9999999999645</v>
      </c>
      <c r="X223" s="324">
        <f t="shared" si="68"/>
        <v>7679.9999999999645</v>
      </c>
      <c r="Y223" s="324">
        <f t="shared" si="68"/>
        <v>7679.9999999999645</v>
      </c>
      <c r="Z223" s="324">
        <f t="shared" si="68"/>
        <v>7679.9999999999645</v>
      </c>
      <c r="AA223" s="324">
        <f t="shared" si="68"/>
        <v>7679.9999999999645</v>
      </c>
      <c r="AB223" s="324">
        <f t="shared" si="68"/>
        <v>40575.999999999964</v>
      </c>
      <c r="AC223" s="324">
        <f t="shared" si="68"/>
        <v>40575.999999999964</v>
      </c>
      <c r="AD223" s="324">
        <f t="shared" si="68"/>
        <v>40575.999999999964</v>
      </c>
      <c r="AE223" s="324">
        <f t="shared" si="68"/>
        <v>40575.999999999964</v>
      </c>
      <c r="AF223" s="324">
        <f t="shared" si="68"/>
        <v>40575.999999999964</v>
      </c>
      <c r="AG223" s="324">
        <f t="shared" si="68"/>
        <v>40575.999999999964</v>
      </c>
      <c r="AH223" s="324">
        <f t="shared" si="68"/>
        <v>40575.999999999964</v>
      </c>
      <c r="AI223" s="324">
        <f t="shared" si="69"/>
        <v>404351.99999999889</v>
      </c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</row>
    <row r="224" spans="1:52" ht="14.4" outlineLevel="3">
      <c r="A224" s="322" t="s">
        <v>831</v>
      </c>
      <c r="B224" s="326" t="s">
        <v>837</v>
      </c>
      <c r="C224" s="327" t="s">
        <v>832</v>
      </c>
      <c r="D224" s="327" t="s">
        <v>101</v>
      </c>
      <c r="E224" s="324">
        <f t="shared" si="68"/>
        <v>639.99999999996373</v>
      </c>
      <c r="F224" s="324">
        <f t="shared" si="68"/>
        <v>639.99999999996373</v>
      </c>
      <c r="G224" s="324">
        <f t="shared" si="68"/>
        <v>639.99999999996373</v>
      </c>
      <c r="H224" s="324">
        <f t="shared" si="68"/>
        <v>639.99999999996373</v>
      </c>
      <c r="I224" s="324">
        <f t="shared" si="68"/>
        <v>639.99999999996373</v>
      </c>
      <c r="J224" s="324">
        <f t="shared" si="68"/>
        <v>639.99999999996373</v>
      </c>
      <c r="K224" s="328">
        <f t="shared" si="68"/>
        <v>639.99999999996373</v>
      </c>
      <c r="L224" s="328">
        <f t="shared" si="68"/>
        <v>639.99999999996373</v>
      </c>
      <c r="M224" s="328">
        <f t="shared" si="68"/>
        <v>639.99999999996373</v>
      </c>
      <c r="N224" s="328">
        <f t="shared" si="68"/>
        <v>639.99999999996373</v>
      </c>
      <c r="O224" s="328">
        <f t="shared" si="68"/>
        <v>639.99999999996373</v>
      </c>
      <c r="P224" s="328">
        <f t="shared" si="68"/>
        <v>18271.999999999964</v>
      </c>
      <c r="Q224" s="328">
        <f t="shared" si="68"/>
        <v>18271.999999999964</v>
      </c>
      <c r="R224" s="328">
        <f t="shared" si="68"/>
        <v>18271.999999999964</v>
      </c>
      <c r="S224" s="328">
        <f t="shared" si="68"/>
        <v>18271.999999999964</v>
      </c>
      <c r="T224" s="328">
        <f t="shared" si="68"/>
        <v>18271.999999999964</v>
      </c>
      <c r="U224" s="328">
        <f t="shared" si="68"/>
        <v>18271.999999999964</v>
      </c>
      <c r="V224" s="328">
        <f t="shared" si="68"/>
        <v>18271.999999999964</v>
      </c>
      <c r="W224" s="328">
        <f t="shared" si="68"/>
        <v>18271.999999999964</v>
      </c>
      <c r="X224" s="328">
        <f t="shared" si="68"/>
        <v>18271.999999999964</v>
      </c>
      <c r="Y224" s="328">
        <f t="shared" si="68"/>
        <v>18271.999999999964</v>
      </c>
      <c r="Z224" s="328">
        <f t="shared" si="68"/>
        <v>18271.999999999964</v>
      </c>
      <c r="AA224" s="328">
        <f t="shared" si="68"/>
        <v>18271.999999999964</v>
      </c>
      <c r="AB224" s="328">
        <f t="shared" si="68"/>
        <v>18271.999999999964</v>
      </c>
      <c r="AC224" s="328">
        <f t="shared" si="68"/>
        <v>18271.999999999964</v>
      </c>
      <c r="AD224" s="328">
        <f t="shared" si="68"/>
        <v>18271.999999999964</v>
      </c>
      <c r="AE224" s="328">
        <f t="shared" si="68"/>
        <v>18271.999999999964</v>
      </c>
      <c r="AF224" s="328">
        <f t="shared" si="68"/>
        <v>18271.999999999964</v>
      </c>
      <c r="AG224" s="328">
        <f t="shared" si="68"/>
        <v>18271.999999999964</v>
      </c>
      <c r="AH224" s="328">
        <f t="shared" si="68"/>
        <v>18271.999999999964</v>
      </c>
      <c r="AI224" s="328">
        <f t="shared" si="69"/>
        <v>354207.99999999884</v>
      </c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</row>
    <row r="225" spans="1:52" ht="14.4" outlineLevel="3">
      <c r="A225" s="322" t="s">
        <v>831</v>
      </c>
      <c r="B225" s="326" t="s">
        <v>838</v>
      </c>
      <c r="C225" s="327" t="s">
        <v>833</v>
      </c>
      <c r="D225" s="327" t="s">
        <v>101</v>
      </c>
      <c r="E225" s="324">
        <f t="shared" si="68"/>
        <v>0</v>
      </c>
      <c r="F225" s="324">
        <f t="shared" si="68"/>
        <v>0</v>
      </c>
      <c r="G225" s="324">
        <f t="shared" si="68"/>
        <v>0</v>
      </c>
      <c r="H225" s="324">
        <f t="shared" si="68"/>
        <v>0</v>
      </c>
      <c r="I225" s="324">
        <f t="shared" si="68"/>
        <v>0</v>
      </c>
      <c r="J225" s="324">
        <f t="shared" si="68"/>
        <v>0</v>
      </c>
      <c r="K225" s="328">
        <f t="shared" si="68"/>
        <v>0</v>
      </c>
      <c r="L225" s="328">
        <f t="shared" si="68"/>
        <v>0</v>
      </c>
      <c r="M225" s="328">
        <f t="shared" si="68"/>
        <v>0</v>
      </c>
      <c r="N225" s="328">
        <f t="shared" si="68"/>
        <v>0</v>
      </c>
      <c r="O225" s="328">
        <f t="shared" si="68"/>
        <v>0</v>
      </c>
      <c r="P225" s="328">
        <f t="shared" si="68"/>
        <v>0</v>
      </c>
      <c r="Q225" s="328">
        <f t="shared" si="68"/>
        <v>0</v>
      </c>
      <c r="R225" s="328">
        <f t="shared" si="68"/>
        <v>0</v>
      </c>
      <c r="S225" s="328">
        <f t="shared" si="68"/>
        <v>0</v>
      </c>
      <c r="T225" s="328">
        <f t="shared" si="68"/>
        <v>0</v>
      </c>
      <c r="U225" s="328">
        <f t="shared" si="68"/>
        <v>0</v>
      </c>
      <c r="V225" s="328">
        <f t="shared" si="68"/>
        <v>0</v>
      </c>
      <c r="W225" s="328">
        <f t="shared" si="68"/>
        <v>0</v>
      </c>
      <c r="X225" s="328">
        <f t="shared" si="68"/>
        <v>0</v>
      </c>
      <c r="Y225" s="328">
        <f t="shared" si="68"/>
        <v>0</v>
      </c>
      <c r="Z225" s="328">
        <f t="shared" si="68"/>
        <v>0</v>
      </c>
      <c r="AA225" s="328">
        <f t="shared" si="68"/>
        <v>0</v>
      </c>
      <c r="AB225" s="328">
        <f t="shared" si="68"/>
        <v>0</v>
      </c>
      <c r="AC225" s="328">
        <f t="shared" si="68"/>
        <v>0</v>
      </c>
      <c r="AD225" s="328">
        <f t="shared" si="68"/>
        <v>0</v>
      </c>
      <c r="AE225" s="328">
        <f t="shared" si="68"/>
        <v>0</v>
      </c>
      <c r="AF225" s="328">
        <f t="shared" si="68"/>
        <v>0</v>
      </c>
      <c r="AG225" s="328">
        <f t="shared" si="68"/>
        <v>0</v>
      </c>
      <c r="AH225" s="328">
        <f t="shared" si="68"/>
        <v>0</v>
      </c>
      <c r="AI225" s="328">
        <f t="shared" si="69"/>
        <v>0</v>
      </c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</row>
    <row r="226" spans="1:52" ht="14.4" outlineLevel="3">
      <c r="A226" s="322" t="s">
        <v>831</v>
      </c>
      <c r="B226" s="326" t="s">
        <v>839</v>
      </c>
      <c r="C226" s="327" t="s">
        <v>1015</v>
      </c>
      <c r="D226" s="327" t="s">
        <v>101</v>
      </c>
      <c r="E226" s="324">
        <f t="shared" si="68"/>
        <v>0</v>
      </c>
      <c r="F226" s="324">
        <f t="shared" si="68"/>
        <v>0</v>
      </c>
      <c r="G226" s="324">
        <f t="shared" si="68"/>
        <v>0</v>
      </c>
      <c r="H226" s="324">
        <f t="shared" si="68"/>
        <v>0</v>
      </c>
      <c r="I226" s="324">
        <f t="shared" si="68"/>
        <v>0</v>
      </c>
      <c r="J226" s="324">
        <f t="shared" si="68"/>
        <v>0</v>
      </c>
      <c r="K226" s="328">
        <f t="shared" si="68"/>
        <v>0</v>
      </c>
      <c r="L226" s="328">
        <f t="shared" si="68"/>
        <v>0</v>
      </c>
      <c r="M226" s="328">
        <f t="shared" si="68"/>
        <v>0</v>
      </c>
      <c r="N226" s="328">
        <f t="shared" si="68"/>
        <v>0</v>
      </c>
      <c r="O226" s="328">
        <f t="shared" si="68"/>
        <v>0</v>
      </c>
      <c r="P226" s="328">
        <f t="shared" si="68"/>
        <v>0</v>
      </c>
      <c r="Q226" s="328">
        <f t="shared" si="68"/>
        <v>0</v>
      </c>
      <c r="R226" s="328">
        <f t="shared" si="68"/>
        <v>0</v>
      </c>
      <c r="S226" s="328">
        <f t="shared" si="68"/>
        <v>0</v>
      </c>
      <c r="T226" s="328">
        <f t="shared" si="68"/>
        <v>0</v>
      </c>
      <c r="U226" s="328">
        <f t="shared" si="68"/>
        <v>0</v>
      </c>
      <c r="V226" s="328">
        <f t="shared" si="68"/>
        <v>0</v>
      </c>
      <c r="W226" s="328">
        <f t="shared" si="68"/>
        <v>0</v>
      </c>
      <c r="X226" s="328">
        <f t="shared" si="68"/>
        <v>0</v>
      </c>
      <c r="Y226" s="328">
        <f t="shared" si="68"/>
        <v>0</v>
      </c>
      <c r="Z226" s="328">
        <f t="shared" si="68"/>
        <v>0</v>
      </c>
      <c r="AA226" s="328">
        <f t="shared" si="68"/>
        <v>0</v>
      </c>
      <c r="AB226" s="328">
        <f t="shared" si="68"/>
        <v>0</v>
      </c>
      <c r="AC226" s="328">
        <f t="shared" si="68"/>
        <v>0</v>
      </c>
      <c r="AD226" s="328">
        <f t="shared" si="68"/>
        <v>0</v>
      </c>
      <c r="AE226" s="328">
        <f t="shared" si="68"/>
        <v>0</v>
      </c>
      <c r="AF226" s="328">
        <f t="shared" si="68"/>
        <v>0</v>
      </c>
      <c r="AG226" s="328">
        <f t="shared" si="68"/>
        <v>0</v>
      </c>
      <c r="AH226" s="328">
        <f t="shared" si="68"/>
        <v>0</v>
      </c>
      <c r="AI226" s="328">
        <f t="shared" si="69"/>
        <v>0</v>
      </c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</row>
    <row r="227" spans="1:52" ht="14.4" outlineLevel="1">
      <c r="B227" s="403" t="s">
        <v>915</v>
      </c>
      <c r="C227" s="404"/>
      <c r="D227" s="6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  <c r="U227" s="126"/>
      <c r="V227" s="126"/>
      <c r="W227" s="126"/>
      <c r="X227" s="126"/>
      <c r="Y227" s="126"/>
      <c r="Z227" s="126"/>
      <c r="AA227" s="126"/>
      <c r="AB227" s="126"/>
      <c r="AC227" s="126"/>
      <c r="AD227" s="126"/>
      <c r="AE227" s="126"/>
      <c r="AF227" s="126"/>
      <c r="AG227" s="126"/>
      <c r="AH227" s="126"/>
      <c r="AI227" s="127" t="s">
        <v>821</v>
      </c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</row>
    <row r="228" spans="1:52" ht="14.4" outlineLevel="2">
      <c r="B228" s="10">
        <v>3</v>
      </c>
      <c r="C228" s="11" t="s">
        <v>916</v>
      </c>
      <c r="D228" s="11" t="s">
        <v>101</v>
      </c>
      <c r="E228" s="128">
        <f t="shared" ref="E228:AI228" si="70">SUM(E229:E236)</f>
        <v>0</v>
      </c>
      <c r="F228" s="128">
        <f t="shared" si="70"/>
        <v>119261.42857142859</v>
      </c>
      <c r="G228" s="128">
        <f t="shared" si="70"/>
        <v>238522.85714285719</v>
      </c>
      <c r="H228" s="128">
        <f t="shared" si="70"/>
        <v>357784.28571428574</v>
      </c>
      <c r="I228" s="128">
        <f t="shared" si="70"/>
        <v>477045.71428571438</v>
      </c>
      <c r="J228" s="128">
        <f t="shared" si="70"/>
        <v>596307.14285714284</v>
      </c>
      <c r="K228" s="128">
        <f t="shared" si="70"/>
        <v>715568.57142857148</v>
      </c>
      <c r="L228" s="128">
        <f t="shared" si="70"/>
        <v>834830.00000000023</v>
      </c>
      <c r="M228" s="128">
        <f t="shared" si="70"/>
        <v>834830.00000000023</v>
      </c>
      <c r="N228" s="128">
        <f t="shared" si="70"/>
        <v>834830.00000000023</v>
      </c>
      <c r="O228" s="128">
        <f t="shared" si="70"/>
        <v>834830.00000000023</v>
      </c>
      <c r="P228" s="128">
        <f t="shared" si="70"/>
        <v>841442.00000000023</v>
      </c>
      <c r="Q228" s="128">
        <f t="shared" si="70"/>
        <v>841442.00000000023</v>
      </c>
      <c r="R228" s="128">
        <f t="shared" si="70"/>
        <v>850022.00000000023</v>
      </c>
      <c r="S228" s="128">
        <f t="shared" si="70"/>
        <v>850022.00000000023</v>
      </c>
      <c r="T228" s="128">
        <f t="shared" si="70"/>
        <v>850022.00000000023</v>
      </c>
      <c r="U228" s="128">
        <f t="shared" si="70"/>
        <v>850022.00000000023</v>
      </c>
      <c r="V228" s="128">
        <f t="shared" si="70"/>
        <v>850022.00000000023</v>
      </c>
      <c r="W228" s="128">
        <f t="shared" si="70"/>
        <v>850022.00000000023</v>
      </c>
      <c r="X228" s="128">
        <f t="shared" si="70"/>
        <v>897686.00000000023</v>
      </c>
      <c r="Y228" s="128">
        <f t="shared" si="70"/>
        <v>897686.00000000023</v>
      </c>
      <c r="Z228" s="128">
        <f t="shared" si="70"/>
        <v>897686.00000000023</v>
      </c>
      <c r="AA228" s="128">
        <f t="shared" si="70"/>
        <v>897686.00000000023</v>
      </c>
      <c r="AB228" s="128">
        <f t="shared" si="70"/>
        <v>941822.00000000023</v>
      </c>
      <c r="AC228" s="128">
        <f t="shared" si="70"/>
        <v>941822.00000000023</v>
      </c>
      <c r="AD228" s="128">
        <f t="shared" si="70"/>
        <v>941822.00000000023</v>
      </c>
      <c r="AE228" s="128">
        <f t="shared" si="70"/>
        <v>941822.00000000023</v>
      </c>
      <c r="AF228" s="128">
        <f t="shared" si="70"/>
        <v>941822.00000000023</v>
      </c>
      <c r="AG228" s="128">
        <f t="shared" si="70"/>
        <v>941822.00000000023</v>
      </c>
      <c r="AH228" s="128">
        <f t="shared" si="70"/>
        <v>941822.00000000023</v>
      </c>
      <c r="AI228" s="128">
        <f t="shared" si="70"/>
        <v>22810324</v>
      </c>
      <c r="AJ228" s="15"/>
      <c r="AK228" s="13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</row>
    <row r="229" spans="1:52" ht="14.4" outlineLevel="3">
      <c r="A229" s="322"/>
      <c r="B229" s="286" t="s">
        <v>842</v>
      </c>
      <c r="C229" s="323" t="s">
        <v>825</v>
      </c>
      <c r="D229" s="323" t="s">
        <v>101</v>
      </c>
      <c r="E229" s="324">
        <f>(E189*2.5*1000)+(E199*1.2*1000)</f>
        <v>0</v>
      </c>
      <c r="F229" s="324">
        <f t="shared" ref="F229:AH229" si="71">(F189*2.5*1000)+(F199*1.2*1000)</f>
        <v>8540</v>
      </c>
      <c r="G229" s="324">
        <f t="shared" si="71"/>
        <v>17080</v>
      </c>
      <c r="H229" s="324">
        <f t="shared" si="71"/>
        <v>25620.000000000004</v>
      </c>
      <c r="I229" s="324">
        <f t="shared" si="71"/>
        <v>34160</v>
      </c>
      <c r="J229" s="324">
        <f t="shared" si="71"/>
        <v>42700</v>
      </c>
      <c r="K229" s="324">
        <f t="shared" si="71"/>
        <v>51240.000000000007</v>
      </c>
      <c r="L229" s="324">
        <f t="shared" si="71"/>
        <v>59780.000000000007</v>
      </c>
      <c r="M229" s="324">
        <f t="shared" si="71"/>
        <v>59780.000000000007</v>
      </c>
      <c r="N229" s="324">
        <f t="shared" si="71"/>
        <v>59780.000000000007</v>
      </c>
      <c r="O229" s="324">
        <f t="shared" si="71"/>
        <v>59780.000000000007</v>
      </c>
      <c r="P229" s="324">
        <f t="shared" si="71"/>
        <v>59780.000000000007</v>
      </c>
      <c r="Q229" s="324">
        <f t="shared" si="71"/>
        <v>59780.000000000007</v>
      </c>
      <c r="R229" s="324">
        <f t="shared" si="71"/>
        <v>68360</v>
      </c>
      <c r="S229" s="324">
        <f t="shared" si="71"/>
        <v>68360</v>
      </c>
      <c r="T229" s="324">
        <f t="shared" si="71"/>
        <v>68360</v>
      </c>
      <c r="U229" s="324">
        <f t="shared" si="71"/>
        <v>68360</v>
      </c>
      <c r="V229" s="324">
        <f t="shared" si="71"/>
        <v>68360</v>
      </c>
      <c r="W229" s="324">
        <f t="shared" si="71"/>
        <v>68360</v>
      </c>
      <c r="X229" s="324">
        <f t="shared" si="71"/>
        <v>68360</v>
      </c>
      <c r="Y229" s="324">
        <f t="shared" si="71"/>
        <v>68360</v>
      </c>
      <c r="Z229" s="324">
        <f t="shared" si="71"/>
        <v>68360</v>
      </c>
      <c r="AA229" s="324">
        <f t="shared" si="71"/>
        <v>68360</v>
      </c>
      <c r="AB229" s="324">
        <f t="shared" si="71"/>
        <v>68360</v>
      </c>
      <c r="AC229" s="324">
        <f t="shared" si="71"/>
        <v>68360</v>
      </c>
      <c r="AD229" s="324">
        <f t="shared" si="71"/>
        <v>68360</v>
      </c>
      <c r="AE229" s="324">
        <f t="shared" si="71"/>
        <v>68360</v>
      </c>
      <c r="AF229" s="324">
        <f t="shared" si="71"/>
        <v>68360</v>
      </c>
      <c r="AG229" s="324">
        <f t="shared" si="71"/>
        <v>68360</v>
      </c>
      <c r="AH229" s="324">
        <f t="shared" si="71"/>
        <v>68360</v>
      </c>
      <c r="AI229" s="324">
        <f t="shared" ref="AI229:AI236" si="72">SUM(E229:AH229)</f>
        <v>1700140</v>
      </c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</row>
    <row r="230" spans="1:52" ht="14.4" outlineLevel="3">
      <c r="A230" s="322"/>
      <c r="B230" s="286" t="s">
        <v>203</v>
      </c>
      <c r="C230" s="323" t="s">
        <v>827</v>
      </c>
      <c r="D230" s="323" t="s">
        <v>101</v>
      </c>
      <c r="E230" s="324">
        <f t="shared" ref="E230:AH236" si="73">(E190*2.5*1000)+(E200*1.2*1000)</f>
        <v>0</v>
      </c>
      <c r="F230" s="324">
        <f t="shared" si="73"/>
        <v>54537.142857142862</v>
      </c>
      <c r="G230" s="324">
        <f t="shared" si="73"/>
        <v>109074.28571428572</v>
      </c>
      <c r="H230" s="324">
        <f t="shared" si="73"/>
        <v>163611.42857142858</v>
      </c>
      <c r="I230" s="324">
        <f t="shared" si="73"/>
        <v>218148.57142857145</v>
      </c>
      <c r="J230" s="324">
        <f t="shared" si="73"/>
        <v>272685.71428571426</v>
      </c>
      <c r="K230" s="324">
        <f t="shared" si="73"/>
        <v>327222.85714285716</v>
      </c>
      <c r="L230" s="324">
        <f t="shared" si="73"/>
        <v>381760</v>
      </c>
      <c r="M230" s="324">
        <f t="shared" si="73"/>
        <v>381760</v>
      </c>
      <c r="N230" s="324">
        <f t="shared" si="73"/>
        <v>381760</v>
      </c>
      <c r="O230" s="324">
        <f t="shared" si="73"/>
        <v>381760</v>
      </c>
      <c r="P230" s="324">
        <f t="shared" si="73"/>
        <v>381760</v>
      </c>
      <c r="Q230" s="324">
        <f t="shared" si="73"/>
        <v>381760</v>
      </c>
      <c r="R230" s="324">
        <f t="shared" si="73"/>
        <v>381760</v>
      </c>
      <c r="S230" s="324">
        <f t="shared" si="73"/>
        <v>381760</v>
      </c>
      <c r="T230" s="324">
        <f t="shared" si="73"/>
        <v>381760</v>
      </c>
      <c r="U230" s="324">
        <f t="shared" si="73"/>
        <v>381760</v>
      </c>
      <c r="V230" s="324">
        <f t="shared" si="73"/>
        <v>381760</v>
      </c>
      <c r="W230" s="324">
        <f t="shared" si="73"/>
        <v>381760</v>
      </c>
      <c r="X230" s="324">
        <f t="shared" si="73"/>
        <v>429424</v>
      </c>
      <c r="Y230" s="324">
        <f t="shared" si="73"/>
        <v>429424</v>
      </c>
      <c r="Z230" s="324">
        <f t="shared" si="73"/>
        <v>429424</v>
      </c>
      <c r="AA230" s="324">
        <f t="shared" si="73"/>
        <v>429424</v>
      </c>
      <c r="AB230" s="324">
        <f t="shared" si="73"/>
        <v>429424</v>
      </c>
      <c r="AC230" s="324">
        <f t="shared" si="73"/>
        <v>429424</v>
      </c>
      <c r="AD230" s="324">
        <f t="shared" si="73"/>
        <v>429424</v>
      </c>
      <c r="AE230" s="324">
        <f t="shared" si="73"/>
        <v>429424</v>
      </c>
      <c r="AF230" s="324">
        <f t="shared" si="73"/>
        <v>429424</v>
      </c>
      <c r="AG230" s="324">
        <f t="shared" si="73"/>
        <v>429424</v>
      </c>
      <c r="AH230" s="324">
        <f t="shared" si="73"/>
        <v>429424</v>
      </c>
      <c r="AI230" s="324">
        <f t="shared" si="72"/>
        <v>10450064</v>
      </c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</row>
    <row r="231" spans="1:52" ht="14.4" outlineLevel="3">
      <c r="A231" s="322"/>
      <c r="B231" s="286" t="s">
        <v>843</v>
      </c>
      <c r="C231" s="323" t="s">
        <v>828</v>
      </c>
      <c r="D231" s="323" t="s">
        <v>101</v>
      </c>
      <c r="E231" s="324">
        <f t="shared" si="73"/>
        <v>0</v>
      </c>
      <c r="F231" s="324">
        <f t="shared" si="73"/>
        <v>9154.2857142857265</v>
      </c>
      <c r="G231" s="324">
        <f t="shared" si="73"/>
        <v>18308.571428571453</v>
      </c>
      <c r="H231" s="324">
        <f t="shared" si="73"/>
        <v>27462.857142857178</v>
      </c>
      <c r="I231" s="324">
        <f t="shared" si="73"/>
        <v>36617.142857142906</v>
      </c>
      <c r="J231" s="324">
        <f t="shared" si="73"/>
        <v>45771.428571428638</v>
      </c>
      <c r="K231" s="324">
        <f t="shared" si="73"/>
        <v>54925.714285714363</v>
      </c>
      <c r="L231" s="324">
        <f t="shared" si="73"/>
        <v>64080.000000000087</v>
      </c>
      <c r="M231" s="324">
        <f t="shared" si="73"/>
        <v>64080.000000000087</v>
      </c>
      <c r="N231" s="324">
        <f t="shared" si="73"/>
        <v>64080.000000000087</v>
      </c>
      <c r="O231" s="324">
        <f t="shared" si="73"/>
        <v>64080.000000000087</v>
      </c>
      <c r="P231" s="324">
        <f t="shared" si="73"/>
        <v>64080.000000000087</v>
      </c>
      <c r="Q231" s="324">
        <f t="shared" si="73"/>
        <v>64080.000000000087</v>
      </c>
      <c r="R231" s="324">
        <f t="shared" si="73"/>
        <v>64080.000000000087</v>
      </c>
      <c r="S231" s="324">
        <f t="shared" si="73"/>
        <v>64080.000000000087</v>
      </c>
      <c r="T231" s="324">
        <f t="shared" si="73"/>
        <v>64080.000000000087</v>
      </c>
      <c r="U231" s="324">
        <f t="shared" si="73"/>
        <v>64080.000000000087</v>
      </c>
      <c r="V231" s="324">
        <f t="shared" si="73"/>
        <v>64080.000000000087</v>
      </c>
      <c r="W231" s="324">
        <f t="shared" si="73"/>
        <v>64080.000000000087</v>
      </c>
      <c r="X231" s="324">
        <f t="shared" si="73"/>
        <v>64080.000000000087</v>
      </c>
      <c r="Y231" s="324">
        <f t="shared" si="73"/>
        <v>64080.000000000087</v>
      </c>
      <c r="Z231" s="324">
        <f t="shared" si="73"/>
        <v>64080.000000000087</v>
      </c>
      <c r="AA231" s="324">
        <f t="shared" si="73"/>
        <v>64080.000000000087</v>
      </c>
      <c r="AB231" s="324">
        <f t="shared" si="73"/>
        <v>77832.000000000087</v>
      </c>
      <c r="AC231" s="324">
        <f t="shared" si="73"/>
        <v>77832.000000000087</v>
      </c>
      <c r="AD231" s="324">
        <f t="shared" si="73"/>
        <v>77832.000000000087</v>
      </c>
      <c r="AE231" s="324">
        <f t="shared" si="73"/>
        <v>77832.000000000087</v>
      </c>
      <c r="AF231" s="324">
        <f t="shared" si="73"/>
        <v>77832.000000000087</v>
      </c>
      <c r="AG231" s="324">
        <f t="shared" si="73"/>
        <v>77832.000000000087</v>
      </c>
      <c r="AH231" s="324">
        <f t="shared" si="73"/>
        <v>77832.000000000087</v>
      </c>
      <c r="AI231" s="324">
        <f t="shared" si="72"/>
        <v>1762344.0000000019</v>
      </c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</row>
    <row r="232" spans="1:52" ht="14.4" outlineLevel="3">
      <c r="A232" s="322"/>
      <c r="B232" s="286" t="s">
        <v>844</v>
      </c>
      <c r="C232" s="323" t="s">
        <v>829</v>
      </c>
      <c r="D232" s="323" t="s">
        <v>101</v>
      </c>
      <c r="E232" s="324">
        <f t="shared" si="73"/>
        <v>0</v>
      </c>
      <c r="F232" s="324">
        <f t="shared" si="73"/>
        <v>27743.571428571424</v>
      </c>
      <c r="G232" s="324">
        <f t="shared" si="73"/>
        <v>55487.142857142848</v>
      </c>
      <c r="H232" s="324">
        <f t="shared" si="73"/>
        <v>83230.71428571429</v>
      </c>
      <c r="I232" s="324">
        <f t="shared" si="73"/>
        <v>110974.2857142857</v>
      </c>
      <c r="J232" s="324">
        <f t="shared" si="73"/>
        <v>138717.85714285713</v>
      </c>
      <c r="K232" s="324">
        <f t="shared" si="73"/>
        <v>166461.42857142858</v>
      </c>
      <c r="L232" s="324">
        <f t="shared" si="73"/>
        <v>194205</v>
      </c>
      <c r="M232" s="324">
        <f t="shared" si="73"/>
        <v>194205</v>
      </c>
      <c r="N232" s="324">
        <f t="shared" si="73"/>
        <v>194205</v>
      </c>
      <c r="O232" s="324">
        <f t="shared" si="73"/>
        <v>194205</v>
      </c>
      <c r="P232" s="324">
        <f t="shared" si="73"/>
        <v>194205</v>
      </c>
      <c r="Q232" s="324">
        <f t="shared" si="73"/>
        <v>194205</v>
      </c>
      <c r="R232" s="324">
        <f t="shared" si="73"/>
        <v>194205</v>
      </c>
      <c r="S232" s="324">
        <f t="shared" si="73"/>
        <v>194205</v>
      </c>
      <c r="T232" s="324">
        <f t="shared" si="73"/>
        <v>194205</v>
      </c>
      <c r="U232" s="324">
        <f t="shared" si="73"/>
        <v>194205</v>
      </c>
      <c r="V232" s="324">
        <f t="shared" si="73"/>
        <v>194205</v>
      </c>
      <c r="W232" s="324">
        <f t="shared" si="73"/>
        <v>194205</v>
      </c>
      <c r="X232" s="324">
        <f t="shared" si="73"/>
        <v>194205</v>
      </c>
      <c r="Y232" s="324">
        <f t="shared" si="73"/>
        <v>194205</v>
      </c>
      <c r="Z232" s="324">
        <f t="shared" si="73"/>
        <v>194205</v>
      </c>
      <c r="AA232" s="324">
        <f t="shared" si="73"/>
        <v>194205</v>
      </c>
      <c r="AB232" s="324">
        <f t="shared" si="73"/>
        <v>212253</v>
      </c>
      <c r="AC232" s="324">
        <f t="shared" si="73"/>
        <v>212253</v>
      </c>
      <c r="AD232" s="324">
        <f t="shared" si="73"/>
        <v>212253</v>
      </c>
      <c r="AE232" s="324">
        <f t="shared" si="73"/>
        <v>212253</v>
      </c>
      <c r="AF232" s="324">
        <f t="shared" si="73"/>
        <v>212253</v>
      </c>
      <c r="AG232" s="324">
        <f t="shared" si="73"/>
        <v>212253</v>
      </c>
      <c r="AH232" s="324">
        <f t="shared" si="73"/>
        <v>212253</v>
      </c>
      <c r="AI232" s="324">
        <f t="shared" si="72"/>
        <v>5175666</v>
      </c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</row>
    <row r="233" spans="1:52" ht="14.4" outlineLevel="3">
      <c r="A233" s="322"/>
      <c r="B233" s="286" t="s">
        <v>845</v>
      </c>
      <c r="C233" s="323" t="s">
        <v>830</v>
      </c>
      <c r="D233" s="323" t="s">
        <v>101</v>
      </c>
      <c r="E233" s="324">
        <f t="shared" si="73"/>
        <v>0</v>
      </c>
      <c r="F233" s="324">
        <f t="shared" si="73"/>
        <v>12220.000000000007</v>
      </c>
      <c r="G233" s="324">
        <f t="shared" si="73"/>
        <v>24440.000000000015</v>
      </c>
      <c r="H233" s="324">
        <f t="shared" si="73"/>
        <v>36660.000000000022</v>
      </c>
      <c r="I233" s="324">
        <f t="shared" si="73"/>
        <v>48880.000000000029</v>
      </c>
      <c r="J233" s="324">
        <f t="shared" si="73"/>
        <v>61100.000000000044</v>
      </c>
      <c r="K233" s="324">
        <f t="shared" si="73"/>
        <v>73320.000000000044</v>
      </c>
      <c r="L233" s="324">
        <f t="shared" si="73"/>
        <v>85540.000000000058</v>
      </c>
      <c r="M233" s="324">
        <f t="shared" si="73"/>
        <v>85540.000000000058</v>
      </c>
      <c r="N233" s="324">
        <f t="shared" si="73"/>
        <v>85540.000000000058</v>
      </c>
      <c r="O233" s="324">
        <f t="shared" si="73"/>
        <v>85540.000000000058</v>
      </c>
      <c r="P233" s="324">
        <f t="shared" si="73"/>
        <v>85540.000000000058</v>
      </c>
      <c r="Q233" s="324">
        <f t="shared" si="73"/>
        <v>85540.000000000058</v>
      </c>
      <c r="R233" s="324">
        <f t="shared" si="73"/>
        <v>85540.000000000058</v>
      </c>
      <c r="S233" s="324">
        <f t="shared" si="73"/>
        <v>85540.000000000058</v>
      </c>
      <c r="T233" s="324">
        <f t="shared" si="73"/>
        <v>85540.000000000058</v>
      </c>
      <c r="U233" s="324">
        <f t="shared" si="73"/>
        <v>85540.000000000058</v>
      </c>
      <c r="V233" s="324">
        <f t="shared" si="73"/>
        <v>85540.000000000058</v>
      </c>
      <c r="W233" s="324">
        <f t="shared" si="73"/>
        <v>85540.000000000058</v>
      </c>
      <c r="X233" s="324">
        <f t="shared" si="73"/>
        <v>85540.000000000058</v>
      </c>
      <c r="Y233" s="324">
        <f t="shared" si="73"/>
        <v>85540.000000000058</v>
      </c>
      <c r="Z233" s="324">
        <f t="shared" si="73"/>
        <v>85540.000000000058</v>
      </c>
      <c r="AA233" s="324">
        <f t="shared" si="73"/>
        <v>85540.000000000058</v>
      </c>
      <c r="AB233" s="324">
        <f t="shared" si="73"/>
        <v>97876.000000000058</v>
      </c>
      <c r="AC233" s="324">
        <f t="shared" si="73"/>
        <v>97876.000000000058</v>
      </c>
      <c r="AD233" s="324">
        <f t="shared" si="73"/>
        <v>97876.000000000058</v>
      </c>
      <c r="AE233" s="324">
        <f t="shared" si="73"/>
        <v>97876.000000000058</v>
      </c>
      <c r="AF233" s="324">
        <f t="shared" si="73"/>
        <v>97876.000000000058</v>
      </c>
      <c r="AG233" s="324">
        <f t="shared" si="73"/>
        <v>97876.000000000058</v>
      </c>
      <c r="AH233" s="324">
        <f t="shared" si="73"/>
        <v>97876.000000000058</v>
      </c>
      <c r="AI233" s="324">
        <f t="shared" si="72"/>
        <v>2310392.0000000005</v>
      </c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</row>
    <row r="234" spans="1:52" ht="14.4" outlineLevel="3">
      <c r="A234" s="322" t="s">
        <v>831</v>
      </c>
      <c r="B234" s="326" t="s">
        <v>846</v>
      </c>
      <c r="C234" s="327" t="s">
        <v>832</v>
      </c>
      <c r="D234" s="327" t="s">
        <v>101</v>
      </c>
      <c r="E234" s="324">
        <f t="shared" si="73"/>
        <v>0</v>
      </c>
      <c r="F234" s="324">
        <f t="shared" si="73"/>
        <v>7066.4285714285643</v>
      </c>
      <c r="G234" s="324">
        <f t="shared" si="73"/>
        <v>14132.857142857129</v>
      </c>
      <c r="H234" s="324">
        <f t="shared" si="73"/>
        <v>21199.285714285696</v>
      </c>
      <c r="I234" s="324">
        <f t="shared" si="73"/>
        <v>28265.714285714257</v>
      </c>
      <c r="J234" s="324">
        <f t="shared" si="73"/>
        <v>35332.142857142826</v>
      </c>
      <c r="K234" s="328">
        <f t="shared" si="73"/>
        <v>42398.571428571391</v>
      </c>
      <c r="L234" s="328">
        <f t="shared" si="73"/>
        <v>49464.999999999949</v>
      </c>
      <c r="M234" s="328">
        <f t="shared" si="73"/>
        <v>49464.999999999949</v>
      </c>
      <c r="N234" s="328">
        <f t="shared" si="73"/>
        <v>49464.999999999949</v>
      </c>
      <c r="O234" s="328">
        <f t="shared" si="73"/>
        <v>49464.999999999949</v>
      </c>
      <c r="P234" s="328">
        <f t="shared" si="73"/>
        <v>56076.999999999949</v>
      </c>
      <c r="Q234" s="328">
        <f t="shared" si="73"/>
        <v>56076.999999999949</v>
      </c>
      <c r="R234" s="328">
        <f t="shared" si="73"/>
        <v>56076.999999999949</v>
      </c>
      <c r="S234" s="328">
        <f t="shared" si="73"/>
        <v>56076.999999999949</v>
      </c>
      <c r="T234" s="328">
        <f t="shared" si="73"/>
        <v>56076.999999999949</v>
      </c>
      <c r="U234" s="328">
        <f t="shared" si="73"/>
        <v>56076.999999999949</v>
      </c>
      <c r="V234" s="328">
        <f t="shared" si="73"/>
        <v>56076.999999999949</v>
      </c>
      <c r="W234" s="328">
        <f t="shared" si="73"/>
        <v>56076.999999999949</v>
      </c>
      <c r="X234" s="328">
        <f t="shared" si="73"/>
        <v>56076.999999999949</v>
      </c>
      <c r="Y234" s="328">
        <f t="shared" si="73"/>
        <v>56076.999999999949</v>
      </c>
      <c r="Z234" s="328">
        <f t="shared" si="73"/>
        <v>56076.999999999949</v>
      </c>
      <c r="AA234" s="328">
        <f t="shared" si="73"/>
        <v>56076.999999999949</v>
      </c>
      <c r="AB234" s="328">
        <f t="shared" si="73"/>
        <v>56076.999999999949</v>
      </c>
      <c r="AC234" s="328">
        <f t="shared" si="73"/>
        <v>56076.999999999949</v>
      </c>
      <c r="AD234" s="328">
        <f t="shared" si="73"/>
        <v>56076.999999999949</v>
      </c>
      <c r="AE234" s="328">
        <f t="shared" si="73"/>
        <v>56076.999999999949</v>
      </c>
      <c r="AF234" s="328">
        <f t="shared" si="73"/>
        <v>56076.999999999949</v>
      </c>
      <c r="AG234" s="328">
        <f t="shared" si="73"/>
        <v>56076.999999999949</v>
      </c>
      <c r="AH234" s="328">
        <f t="shared" si="73"/>
        <v>56076.999999999949</v>
      </c>
      <c r="AI234" s="328">
        <f t="shared" si="72"/>
        <v>1411717.9999999993</v>
      </c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</row>
    <row r="235" spans="1:52" ht="14.4" outlineLevel="3">
      <c r="A235" s="322" t="s">
        <v>831</v>
      </c>
      <c r="B235" s="326" t="s">
        <v>847</v>
      </c>
      <c r="C235" s="327" t="s">
        <v>833</v>
      </c>
      <c r="D235" s="327" t="s">
        <v>101</v>
      </c>
      <c r="E235" s="324">
        <f t="shared" si="73"/>
        <v>0</v>
      </c>
      <c r="F235" s="324">
        <f t="shared" si="73"/>
        <v>0</v>
      </c>
      <c r="G235" s="324">
        <f t="shared" si="73"/>
        <v>0</v>
      </c>
      <c r="H235" s="324">
        <f t="shared" si="73"/>
        <v>0</v>
      </c>
      <c r="I235" s="324">
        <f t="shared" si="73"/>
        <v>0</v>
      </c>
      <c r="J235" s="324">
        <f t="shared" si="73"/>
        <v>0</v>
      </c>
      <c r="K235" s="328">
        <f t="shared" si="73"/>
        <v>0</v>
      </c>
      <c r="L235" s="328">
        <f t="shared" si="73"/>
        <v>0</v>
      </c>
      <c r="M235" s="328">
        <f t="shared" si="73"/>
        <v>0</v>
      </c>
      <c r="N235" s="328">
        <f t="shared" si="73"/>
        <v>0</v>
      </c>
      <c r="O235" s="328">
        <f t="shared" si="73"/>
        <v>0</v>
      </c>
      <c r="P235" s="328">
        <f t="shared" si="73"/>
        <v>0</v>
      </c>
      <c r="Q235" s="328">
        <f t="shared" si="73"/>
        <v>0</v>
      </c>
      <c r="R235" s="328">
        <f t="shared" si="73"/>
        <v>0</v>
      </c>
      <c r="S235" s="328">
        <f t="shared" si="73"/>
        <v>0</v>
      </c>
      <c r="T235" s="328">
        <f t="shared" si="73"/>
        <v>0</v>
      </c>
      <c r="U235" s="328">
        <f t="shared" si="73"/>
        <v>0</v>
      </c>
      <c r="V235" s="328">
        <f t="shared" si="73"/>
        <v>0</v>
      </c>
      <c r="W235" s="328">
        <f t="shared" si="73"/>
        <v>0</v>
      </c>
      <c r="X235" s="328">
        <f t="shared" si="73"/>
        <v>0</v>
      </c>
      <c r="Y235" s="328">
        <f t="shared" si="73"/>
        <v>0</v>
      </c>
      <c r="Z235" s="328">
        <f t="shared" si="73"/>
        <v>0</v>
      </c>
      <c r="AA235" s="328">
        <f t="shared" si="73"/>
        <v>0</v>
      </c>
      <c r="AB235" s="328">
        <f t="shared" si="73"/>
        <v>0</v>
      </c>
      <c r="AC235" s="328">
        <f t="shared" si="73"/>
        <v>0</v>
      </c>
      <c r="AD235" s="328">
        <f t="shared" si="73"/>
        <v>0</v>
      </c>
      <c r="AE235" s="328">
        <f t="shared" si="73"/>
        <v>0</v>
      </c>
      <c r="AF235" s="328">
        <f t="shared" si="73"/>
        <v>0</v>
      </c>
      <c r="AG235" s="328">
        <f t="shared" si="73"/>
        <v>0</v>
      </c>
      <c r="AH235" s="328">
        <f t="shared" si="73"/>
        <v>0</v>
      </c>
      <c r="AI235" s="328">
        <f t="shared" si="72"/>
        <v>0</v>
      </c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</row>
    <row r="236" spans="1:52" ht="14.4" outlineLevel="3">
      <c r="A236" s="322" t="s">
        <v>831</v>
      </c>
      <c r="B236" s="326" t="s">
        <v>848</v>
      </c>
      <c r="C236" s="327" t="s">
        <v>1015</v>
      </c>
      <c r="D236" s="327" t="s">
        <v>101</v>
      </c>
      <c r="E236" s="324">
        <f t="shared" si="73"/>
        <v>0</v>
      </c>
      <c r="F236" s="324">
        <f t="shared" si="73"/>
        <v>0</v>
      </c>
      <c r="G236" s="324">
        <f t="shared" si="73"/>
        <v>0</v>
      </c>
      <c r="H236" s="324">
        <f t="shared" si="73"/>
        <v>0</v>
      </c>
      <c r="I236" s="324">
        <f t="shared" si="73"/>
        <v>0</v>
      </c>
      <c r="J236" s="324">
        <f t="shared" si="73"/>
        <v>0</v>
      </c>
      <c r="K236" s="328">
        <f t="shared" si="73"/>
        <v>0</v>
      </c>
      <c r="L236" s="328">
        <f t="shared" si="73"/>
        <v>0</v>
      </c>
      <c r="M236" s="328">
        <f t="shared" si="73"/>
        <v>0</v>
      </c>
      <c r="N236" s="328">
        <f t="shared" si="73"/>
        <v>0</v>
      </c>
      <c r="O236" s="328">
        <f t="shared" si="73"/>
        <v>0</v>
      </c>
      <c r="P236" s="328">
        <f t="shared" si="73"/>
        <v>0</v>
      </c>
      <c r="Q236" s="328">
        <f t="shared" si="73"/>
        <v>0</v>
      </c>
      <c r="R236" s="328">
        <f t="shared" si="73"/>
        <v>0</v>
      </c>
      <c r="S236" s="328">
        <f t="shared" si="73"/>
        <v>0</v>
      </c>
      <c r="T236" s="328">
        <f t="shared" si="73"/>
        <v>0</v>
      </c>
      <c r="U236" s="328">
        <f t="shared" si="73"/>
        <v>0</v>
      </c>
      <c r="V236" s="328">
        <f t="shared" si="73"/>
        <v>0</v>
      </c>
      <c r="W236" s="328">
        <f t="shared" si="73"/>
        <v>0</v>
      </c>
      <c r="X236" s="328">
        <f t="shared" si="73"/>
        <v>0</v>
      </c>
      <c r="Y236" s="328">
        <f t="shared" si="73"/>
        <v>0</v>
      </c>
      <c r="Z236" s="328">
        <f t="shared" si="73"/>
        <v>0</v>
      </c>
      <c r="AA236" s="328">
        <f t="shared" si="73"/>
        <v>0</v>
      </c>
      <c r="AB236" s="328">
        <f t="shared" si="73"/>
        <v>0</v>
      </c>
      <c r="AC236" s="328">
        <f t="shared" si="73"/>
        <v>0</v>
      </c>
      <c r="AD236" s="328">
        <f t="shared" si="73"/>
        <v>0</v>
      </c>
      <c r="AE236" s="328">
        <f t="shared" si="73"/>
        <v>0</v>
      </c>
      <c r="AF236" s="328">
        <f t="shared" si="73"/>
        <v>0</v>
      </c>
      <c r="AG236" s="328">
        <f t="shared" si="73"/>
        <v>0</v>
      </c>
      <c r="AH236" s="328">
        <f t="shared" si="73"/>
        <v>0</v>
      </c>
      <c r="AI236" s="328">
        <f t="shared" si="72"/>
        <v>0</v>
      </c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</row>
    <row r="237" spans="1:52" ht="14.4" outlineLevel="3">
      <c r="A237" s="322"/>
      <c r="B237" s="287"/>
      <c r="C237" s="323"/>
      <c r="D237" s="323"/>
      <c r="E237" s="325"/>
      <c r="F237" s="325"/>
      <c r="G237" s="325"/>
      <c r="H237" s="325"/>
      <c r="I237" s="325"/>
      <c r="J237" s="325"/>
      <c r="K237" s="325"/>
      <c r="L237" s="325"/>
      <c r="M237" s="325"/>
      <c r="N237" s="325"/>
      <c r="O237" s="325"/>
      <c r="P237" s="325"/>
      <c r="Q237" s="325"/>
      <c r="R237" s="325"/>
      <c r="S237" s="325"/>
      <c r="T237" s="325"/>
      <c r="U237" s="325"/>
      <c r="V237" s="325"/>
      <c r="W237" s="325"/>
      <c r="X237" s="325"/>
      <c r="Y237" s="325"/>
      <c r="Z237" s="325"/>
      <c r="AA237" s="325"/>
      <c r="AB237" s="325"/>
      <c r="AC237" s="325"/>
      <c r="AD237" s="325"/>
      <c r="AE237" s="325"/>
      <c r="AF237" s="325"/>
      <c r="AG237" s="325"/>
      <c r="AH237" s="325"/>
      <c r="AI237" s="32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</row>
    <row r="238" spans="1:52" ht="14.4">
      <c r="B238" s="26"/>
      <c r="C238" s="27" t="s">
        <v>917</v>
      </c>
      <c r="D238" s="28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  <c r="O238" s="136"/>
      <c r="P238" s="136"/>
      <c r="Q238" s="136"/>
      <c r="R238" s="136"/>
      <c r="S238" s="136"/>
      <c r="T238" s="136"/>
      <c r="U238" s="136"/>
      <c r="V238" s="136"/>
      <c r="W238" s="136"/>
      <c r="X238" s="136"/>
      <c r="Y238" s="136"/>
      <c r="Z238" s="136"/>
      <c r="AA238" s="136"/>
      <c r="AB238" s="136"/>
      <c r="AC238" s="136"/>
      <c r="AD238" s="136"/>
      <c r="AE238" s="136"/>
      <c r="AF238" s="136"/>
      <c r="AG238" s="136"/>
      <c r="AH238" s="136"/>
      <c r="AI238" s="136"/>
    </row>
    <row r="239" spans="1:52" ht="14.4">
      <c r="A239" s="322"/>
      <c r="B239" s="286"/>
      <c r="C239" s="330" t="s">
        <v>918</v>
      </c>
      <c r="D239" s="330"/>
      <c r="E239" s="325">
        <f t="shared" ref="E239:AH239" si="74">E208</f>
        <v>1609999.9999999998</v>
      </c>
      <c r="F239" s="325">
        <f t="shared" si="74"/>
        <v>1609999.9999999998</v>
      </c>
      <c r="G239" s="325">
        <f t="shared" si="74"/>
        <v>1609999.9999999998</v>
      </c>
      <c r="H239" s="325">
        <f t="shared" si="74"/>
        <v>1609999.9999999998</v>
      </c>
      <c r="I239" s="325">
        <f t="shared" si="74"/>
        <v>1609999.9999999998</v>
      </c>
      <c r="J239" s="325">
        <f t="shared" si="74"/>
        <v>1614549.9999999998</v>
      </c>
      <c r="K239" s="325">
        <f t="shared" si="74"/>
        <v>1565025</v>
      </c>
      <c r="L239" s="325">
        <f t="shared" si="74"/>
        <v>1567300</v>
      </c>
      <c r="M239" s="325">
        <f t="shared" si="74"/>
        <v>1567300</v>
      </c>
      <c r="N239" s="325">
        <f t="shared" si="74"/>
        <v>1571850.0000000002</v>
      </c>
      <c r="O239" s="325">
        <f t="shared" si="74"/>
        <v>1574125</v>
      </c>
      <c r="P239" s="325">
        <f t="shared" si="74"/>
        <v>1576400</v>
      </c>
      <c r="Q239" s="325">
        <f t="shared" si="74"/>
        <v>1580950</v>
      </c>
      <c r="R239" s="325">
        <f t="shared" si="74"/>
        <v>1583225</v>
      </c>
      <c r="S239" s="325">
        <f t="shared" si="74"/>
        <v>1583225</v>
      </c>
      <c r="T239" s="325">
        <f t="shared" si="74"/>
        <v>1585500</v>
      </c>
      <c r="U239" s="325">
        <f t="shared" si="74"/>
        <v>1585500</v>
      </c>
      <c r="V239" s="325">
        <f t="shared" si="74"/>
        <v>1585500</v>
      </c>
      <c r="W239" s="325">
        <f t="shared" si="74"/>
        <v>1585500</v>
      </c>
      <c r="X239" s="325">
        <f t="shared" si="74"/>
        <v>1585500</v>
      </c>
      <c r="Y239" s="325">
        <f t="shared" si="74"/>
        <v>1585500</v>
      </c>
      <c r="Z239" s="325">
        <f t="shared" si="74"/>
        <v>1585500</v>
      </c>
      <c r="AA239" s="325">
        <f t="shared" si="74"/>
        <v>1585500</v>
      </c>
      <c r="AB239" s="325">
        <f t="shared" si="74"/>
        <v>1585500</v>
      </c>
      <c r="AC239" s="325">
        <f t="shared" si="74"/>
        <v>1585500</v>
      </c>
      <c r="AD239" s="325">
        <f t="shared" si="74"/>
        <v>1585500</v>
      </c>
      <c r="AE239" s="325">
        <f t="shared" si="74"/>
        <v>1585500</v>
      </c>
      <c r="AF239" s="325">
        <f t="shared" si="74"/>
        <v>1585500</v>
      </c>
      <c r="AG239" s="325">
        <f t="shared" si="74"/>
        <v>1585500</v>
      </c>
      <c r="AH239" s="325">
        <f t="shared" si="74"/>
        <v>1585500</v>
      </c>
      <c r="AI239" s="325"/>
      <c r="AK239" s="135"/>
      <c r="AL239" s="15"/>
    </row>
    <row r="240" spans="1:52" ht="14.4">
      <c r="A240" s="322"/>
      <c r="B240" s="286"/>
      <c r="C240" s="330" t="s">
        <v>919</v>
      </c>
      <c r="D240" s="330"/>
      <c r="E240" s="325">
        <f>E218</f>
        <v>46079.999999999833</v>
      </c>
      <c r="F240" s="325">
        <f t="shared" ref="F240:AH240" si="75">F218</f>
        <v>46079.999999999833</v>
      </c>
      <c r="G240" s="325">
        <f t="shared" si="75"/>
        <v>46079.999999999833</v>
      </c>
      <c r="H240" s="325">
        <f t="shared" si="75"/>
        <v>46079.999999999833</v>
      </c>
      <c r="I240" s="325">
        <f t="shared" si="75"/>
        <v>46079.999999999833</v>
      </c>
      <c r="J240" s="325">
        <f t="shared" si="75"/>
        <v>46079.999999999833</v>
      </c>
      <c r="K240" s="325">
        <f t="shared" si="75"/>
        <v>46079.999999999833</v>
      </c>
      <c r="L240" s="325">
        <f t="shared" si="75"/>
        <v>46079.999999999833</v>
      </c>
      <c r="M240" s="325">
        <f t="shared" si="75"/>
        <v>92863.99999999984</v>
      </c>
      <c r="N240" s="325">
        <f t="shared" si="75"/>
        <v>92863.99999999984</v>
      </c>
      <c r="O240" s="325">
        <f t="shared" si="75"/>
        <v>92863.99999999984</v>
      </c>
      <c r="P240" s="325">
        <f t="shared" si="75"/>
        <v>110495.99999999983</v>
      </c>
      <c r="Q240" s="325">
        <f t="shared" si="75"/>
        <v>110495.99999999983</v>
      </c>
      <c r="R240" s="325">
        <f t="shared" si="75"/>
        <v>133375.99999999983</v>
      </c>
      <c r="S240" s="325">
        <f t="shared" si="75"/>
        <v>133375.99999999983</v>
      </c>
      <c r="T240" s="325">
        <f t="shared" si="75"/>
        <v>133375.99999999983</v>
      </c>
      <c r="U240" s="325">
        <f t="shared" si="75"/>
        <v>133375.99999999983</v>
      </c>
      <c r="V240" s="325">
        <f t="shared" si="75"/>
        <v>133375.99999999983</v>
      </c>
      <c r="W240" s="325">
        <f t="shared" si="75"/>
        <v>133375.99999999983</v>
      </c>
      <c r="X240" s="325">
        <f t="shared" si="75"/>
        <v>260479.99999999985</v>
      </c>
      <c r="Y240" s="325">
        <f t="shared" si="75"/>
        <v>260479.99999999985</v>
      </c>
      <c r="Z240" s="325">
        <f t="shared" si="75"/>
        <v>260479.99999999985</v>
      </c>
      <c r="AA240" s="325">
        <f t="shared" si="75"/>
        <v>260479.99999999985</v>
      </c>
      <c r="AB240" s="325">
        <f t="shared" si="75"/>
        <v>378175.99999999977</v>
      </c>
      <c r="AC240" s="325">
        <f t="shared" si="75"/>
        <v>378175.99999999977</v>
      </c>
      <c r="AD240" s="325">
        <f t="shared" si="75"/>
        <v>378175.99999999977</v>
      </c>
      <c r="AE240" s="325">
        <f t="shared" si="75"/>
        <v>378175.99999999977</v>
      </c>
      <c r="AF240" s="325">
        <f t="shared" si="75"/>
        <v>378175.99999999977</v>
      </c>
      <c r="AG240" s="325">
        <f t="shared" si="75"/>
        <v>378175.99999999977</v>
      </c>
      <c r="AH240" s="325">
        <f t="shared" si="75"/>
        <v>378175.99999999977</v>
      </c>
      <c r="AI240" s="325"/>
      <c r="AK240" s="135"/>
      <c r="AL240" s="15"/>
    </row>
    <row r="241" spans="1:38" ht="14.4">
      <c r="A241" s="322"/>
      <c r="B241" s="286"/>
      <c r="C241" s="330" t="s">
        <v>920</v>
      </c>
      <c r="D241" s="330"/>
      <c r="E241" s="325">
        <f t="shared" ref="E241:AH241" si="76">E228</f>
        <v>0</v>
      </c>
      <c r="F241" s="325">
        <f t="shared" si="76"/>
        <v>119261.42857142859</v>
      </c>
      <c r="G241" s="325">
        <f t="shared" si="76"/>
        <v>238522.85714285719</v>
      </c>
      <c r="H241" s="325">
        <f t="shared" si="76"/>
        <v>357784.28571428574</v>
      </c>
      <c r="I241" s="325">
        <f t="shared" si="76"/>
        <v>477045.71428571438</v>
      </c>
      <c r="J241" s="325">
        <f t="shared" si="76"/>
        <v>596307.14285714284</v>
      </c>
      <c r="K241" s="325">
        <f t="shared" si="76"/>
        <v>715568.57142857148</v>
      </c>
      <c r="L241" s="325">
        <f t="shared" si="76"/>
        <v>834830.00000000023</v>
      </c>
      <c r="M241" s="325">
        <f t="shared" si="76"/>
        <v>834830.00000000023</v>
      </c>
      <c r="N241" s="325">
        <f t="shared" si="76"/>
        <v>834830.00000000023</v>
      </c>
      <c r="O241" s="325">
        <f t="shared" si="76"/>
        <v>834830.00000000023</v>
      </c>
      <c r="P241" s="325">
        <f t="shared" si="76"/>
        <v>841442.00000000023</v>
      </c>
      <c r="Q241" s="325">
        <f t="shared" si="76"/>
        <v>841442.00000000023</v>
      </c>
      <c r="R241" s="325">
        <f t="shared" si="76"/>
        <v>850022.00000000023</v>
      </c>
      <c r="S241" s="325">
        <f t="shared" si="76"/>
        <v>850022.00000000023</v>
      </c>
      <c r="T241" s="325">
        <f t="shared" si="76"/>
        <v>850022.00000000023</v>
      </c>
      <c r="U241" s="325">
        <f t="shared" si="76"/>
        <v>850022.00000000023</v>
      </c>
      <c r="V241" s="325">
        <f t="shared" si="76"/>
        <v>850022.00000000023</v>
      </c>
      <c r="W241" s="325">
        <f t="shared" si="76"/>
        <v>850022.00000000023</v>
      </c>
      <c r="X241" s="325">
        <f t="shared" si="76"/>
        <v>897686.00000000023</v>
      </c>
      <c r="Y241" s="325">
        <f t="shared" si="76"/>
        <v>897686.00000000023</v>
      </c>
      <c r="Z241" s="325">
        <f t="shared" si="76"/>
        <v>897686.00000000023</v>
      </c>
      <c r="AA241" s="325">
        <f t="shared" si="76"/>
        <v>897686.00000000023</v>
      </c>
      <c r="AB241" s="325">
        <f t="shared" si="76"/>
        <v>941822.00000000023</v>
      </c>
      <c r="AC241" s="325">
        <f t="shared" si="76"/>
        <v>941822.00000000023</v>
      </c>
      <c r="AD241" s="325">
        <f t="shared" si="76"/>
        <v>941822.00000000023</v>
      </c>
      <c r="AE241" s="325">
        <f t="shared" si="76"/>
        <v>941822.00000000023</v>
      </c>
      <c r="AF241" s="325">
        <f t="shared" si="76"/>
        <v>941822.00000000023</v>
      </c>
      <c r="AG241" s="325">
        <f t="shared" si="76"/>
        <v>941822.00000000023</v>
      </c>
      <c r="AH241" s="325">
        <f t="shared" si="76"/>
        <v>941822.00000000023</v>
      </c>
      <c r="AI241" s="325"/>
      <c r="AK241" s="135"/>
      <c r="AL241" s="15"/>
    </row>
    <row r="242" spans="1:38" ht="14.4">
      <c r="A242" s="322"/>
      <c r="B242" s="286"/>
      <c r="C242" s="330" t="s">
        <v>921</v>
      </c>
      <c r="D242" s="330"/>
      <c r="E242" s="325">
        <f>E239+E240+E241</f>
        <v>1656079.9999999995</v>
      </c>
      <c r="F242" s="325">
        <f t="shared" ref="F242:AH242" si="77">F239+F240+F241</f>
        <v>1775341.4285714282</v>
      </c>
      <c r="G242" s="325">
        <f t="shared" si="77"/>
        <v>1894602.8571428568</v>
      </c>
      <c r="H242" s="325">
        <f t="shared" si="77"/>
        <v>2013864.2857142852</v>
      </c>
      <c r="I242" s="325">
        <f t="shared" si="77"/>
        <v>2133125.7142857141</v>
      </c>
      <c r="J242" s="325">
        <f t="shared" si="77"/>
        <v>2256937.1428571423</v>
      </c>
      <c r="K242" s="325">
        <f t="shared" si="77"/>
        <v>2326673.5714285714</v>
      </c>
      <c r="L242" s="325">
        <f t="shared" si="77"/>
        <v>2448210</v>
      </c>
      <c r="M242" s="325">
        <f t="shared" si="77"/>
        <v>2494994</v>
      </c>
      <c r="N242" s="325">
        <f t="shared" si="77"/>
        <v>2499544</v>
      </c>
      <c r="O242" s="325">
        <f t="shared" si="77"/>
        <v>2501819</v>
      </c>
      <c r="P242" s="325">
        <f t="shared" si="77"/>
        <v>2528338</v>
      </c>
      <c r="Q242" s="325">
        <f t="shared" si="77"/>
        <v>2532888</v>
      </c>
      <c r="R242" s="325">
        <f t="shared" si="77"/>
        <v>2566623</v>
      </c>
      <c r="S242" s="325">
        <f t="shared" si="77"/>
        <v>2566623</v>
      </c>
      <c r="T242" s="325">
        <f t="shared" si="77"/>
        <v>2568898</v>
      </c>
      <c r="U242" s="325">
        <f t="shared" si="77"/>
        <v>2568898</v>
      </c>
      <c r="V242" s="325">
        <f t="shared" si="77"/>
        <v>2568898</v>
      </c>
      <c r="W242" s="325">
        <f t="shared" si="77"/>
        <v>2568898</v>
      </c>
      <c r="X242" s="325">
        <f t="shared" si="77"/>
        <v>2743666</v>
      </c>
      <c r="Y242" s="325">
        <f t="shared" si="77"/>
        <v>2743666</v>
      </c>
      <c r="Z242" s="325">
        <f t="shared" si="77"/>
        <v>2743666</v>
      </c>
      <c r="AA242" s="325">
        <f t="shared" si="77"/>
        <v>2743666</v>
      </c>
      <c r="AB242" s="325">
        <f t="shared" si="77"/>
        <v>2905498</v>
      </c>
      <c r="AC242" s="325">
        <f t="shared" si="77"/>
        <v>2905498</v>
      </c>
      <c r="AD242" s="325">
        <f t="shared" si="77"/>
        <v>2905498</v>
      </c>
      <c r="AE242" s="325">
        <f t="shared" si="77"/>
        <v>2905498</v>
      </c>
      <c r="AF242" s="325">
        <f t="shared" si="77"/>
        <v>2905498</v>
      </c>
      <c r="AG242" s="325">
        <f t="shared" si="77"/>
        <v>2905498</v>
      </c>
      <c r="AH242" s="325">
        <f t="shared" si="77"/>
        <v>2905498</v>
      </c>
      <c r="AI242" s="325"/>
      <c r="AK242" s="135"/>
      <c r="AL242" s="15"/>
    </row>
    <row r="243" spans="1:38" ht="14.4">
      <c r="A243" s="322"/>
      <c r="B243" s="286"/>
      <c r="C243" s="330" t="s">
        <v>922</v>
      </c>
      <c r="D243" s="330"/>
      <c r="E243" s="325">
        <f>+E242/10000</f>
        <v>165.60799999999995</v>
      </c>
      <c r="F243" s="325">
        <f t="shared" ref="F243:AH243" si="78">+F242/10000</f>
        <v>177.53414285714283</v>
      </c>
      <c r="G243" s="325">
        <f t="shared" si="78"/>
        <v>189.46028571428567</v>
      </c>
      <c r="H243" s="325">
        <f t="shared" si="78"/>
        <v>201.38642857142852</v>
      </c>
      <c r="I243" s="325">
        <f t="shared" si="78"/>
        <v>213.3125714285714</v>
      </c>
      <c r="J243" s="325">
        <f t="shared" si="78"/>
        <v>225.69371428571424</v>
      </c>
      <c r="K243" s="325">
        <f t="shared" si="78"/>
        <v>232.66735714285713</v>
      </c>
      <c r="L243" s="325">
        <f t="shared" si="78"/>
        <v>244.821</v>
      </c>
      <c r="M243" s="325">
        <f t="shared" si="78"/>
        <v>249.49940000000001</v>
      </c>
      <c r="N243" s="325">
        <f t="shared" si="78"/>
        <v>249.95439999999999</v>
      </c>
      <c r="O243" s="325">
        <f t="shared" si="78"/>
        <v>250.18190000000001</v>
      </c>
      <c r="P243" s="325">
        <f t="shared" si="78"/>
        <v>252.8338</v>
      </c>
      <c r="Q243" s="325">
        <f t="shared" si="78"/>
        <v>253.28880000000001</v>
      </c>
      <c r="R243" s="325">
        <f t="shared" si="78"/>
        <v>256.66230000000002</v>
      </c>
      <c r="S243" s="325">
        <f t="shared" si="78"/>
        <v>256.66230000000002</v>
      </c>
      <c r="T243" s="325">
        <f t="shared" si="78"/>
        <v>256.88979999999998</v>
      </c>
      <c r="U243" s="325">
        <f t="shared" si="78"/>
        <v>256.88979999999998</v>
      </c>
      <c r="V243" s="325">
        <f t="shared" si="78"/>
        <v>256.88979999999998</v>
      </c>
      <c r="W243" s="325">
        <f t="shared" si="78"/>
        <v>256.88979999999998</v>
      </c>
      <c r="X243" s="325">
        <f t="shared" si="78"/>
        <v>274.36660000000001</v>
      </c>
      <c r="Y243" s="325">
        <f t="shared" si="78"/>
        <v>274.36660000000001</v>
      </c>
      <c r="Z243" s="325">
        <f t="shared" si="78"/>
        <v>274.36660000000001</v>
      </c>
      <c r="AA243" s="325">
        <f t="shared" si="78"/>
        <v>274.36660000000001</v>
      </c>
      <c r="AB243" s="325">
        <f t="shared" si="78"/>
        <v>290.5498</v>
      </c>
      <c r="AC243" s="325">
        <f t="shared" si="78"/>
        <v>290.5498</v>
      </c>
      <c r="AD243" s="325">
        <f t="shared" si="78"/>
        <v>290.5498</v>
      </c>
      <c r="AE243" s="325">
        <f t="shared" si="78"/>
        <v>290.5498</v>
      </c>
      <c r="AF243" s="325">
        <f t="shared" si="78"/>
        <v>290.5498</v>
      </c>
      <c r="AG243" s="325">
        <f t="shared" si="78"/>
        <v>290.5498</v>
      </c>
      <c r="AH243" s="325">
        <f t="shared" si="78"/>
        <v>290.5498</v>
      </c>
      <c r="AI243" s="325"/>
    </row>
    <row r="244" spans="1:38">
      <c r="B244" s="16"/>
      <c r="C244" s="17"/>
      <c r="D244" s="17"/>
      <c r="E244" s="129"/>
      <c r="F244" s="129"/>
      <c r="G244" s="129"/>
      <c r="H244" s="129"/>
      <c r="I244" s="129"/>
      <c r="J244" s="129"/>
      <c r="K244" s="129"/>
      <c r="L244" s="129"/>
      <c r="M244" s="129"/>
      <c r="N244" s="129"/>
      <c r="O244" s="129"/>
      <c r="P244" s="129"/>
      <c r="Q244" s="129"/>
      <c r="R244" s="129"/>
      <c r="S244" s="129"/>
      <c r="T244" s="129"/>
      <c r="U244" s="129"/>
      <c r="V244" s="129"/>
      <c r="W244" s="129"/>
      <c r="X244" s="129"/>
      <c r="Y244" s="129"/>
      <c r="Z244" s="129"/>
      <c r="AA244" s="129"/>
      <c r="AB244" s="129"/>
      <c r="AC244" s="129"/>
      <c r="AD244" s="129"/>
      <c r="AE244" s="129"/>
      <c r="AF244" s="129"/>
      <c r="AG244" s="129"/>
      <c r="AH244" s="129"/>
      <c r="AI244" s="129"/>
    </row>
    <row r="245" spans="1:38" ht="14.4">
      <c r="B245" s="30"/>
      <c r="C245" s="31" t="s">
        <v>923</v>
      </c>
      <c r="D245" s="31" t="s">
        <v>823</v>
      </c>
      <c r="E245" s="137">
        <f>(E61+E71+E81)/12000</f>
        <v>138.00666666666663</v>
      </c>
      <c r="F245" s="137"/>
      <c r="G245" s="137"/>
      <c r="H245" s="137"/>
      <c r="I245" s="137"/>
      <c r="J245" s="137"/>
      <c r="K245" s="137"/>
      <c r="L245" s="137"/>
      <c r="M245" s="137"/>
      <c r="N245" s="137"/>
      <c r="O245" s="137"/>
      <c r="P245" s="137"/>
      <c r="Q245" s="137"/>
      <c r="R245" s="137"/>
      <c r="S245" s="137"/>
      <c r="T245" s="137"/>
      <c r="U245" s="137"/>
      <c r="V245" s="137"/>
      <c r="W245" s="137"/>
      <c r="X245" s="137"/>
      <c r="Y245" s="137"/>
      <c r="Z245" s="137"/>
      <c r="AA245" s="137"/>
      <c r="AB245" s="137"/>
      <c r="AC245" s="137"/>
      <c r="AD245" s="137"/>
      <c r="AE245" s="137"/>
      <c r="AF245" s="137"/>
      <c r="AG245" s="137"/>
      <c r="AH245" s="137"/>
      <c r="AI245" s="138" t="s">
        <v>924</v>
      </c>
    </row>
    <row r="246" spans="1:38" ht="14.4">
      <c r="B246" s="30"/>
      <c r="C246" s="31" t="s">
        <v>925</v>
      </c>
      <c r="D246" s="31" t="s">
        <v>823</v>
      </c>
      <c r="E246" s="137">
        <f>E242/12000</f>
        <v>138.00666666666663</v>
      </c>
      <c r="F246" s="137">
        <f t="shared" ref="F246:AH246" si="79">F242/12000</f>
        <v>147.94511904761902</v>
      </c>
      <c r="G246" s="137">
        <f t="shared" si="79"/>
        <v>157.8835714285714</v>
      </c>
      <c r="H246" s="137">
        <f t="shared" si="79"/>
        <v>167.82202380952376</v>
      </c>
      <c r="I246" s="137">
        <f t="shared" si="79"/>
        <v>177.76047619047617</v>
      </c>
      <c r="J246" s="137">
        <f t="shared" si="79"/>
        <v>188.07809523809519</v>
      </c>
      <c r="K246" s="137">
        <f t="shared" si="79"/>
        <v>193.88946428571427</v>
      </c>
      <c r="L246" s="137">
        <f t="shared" si="79"/>
        <v>204.01750000000001</v>
      </c>
      <c r="M246" s="137">
        <f t="shared" si="79"/>
        <v>207.91616666666667</v>
      </c>
      <c r="N246" s="137">
        <f t="shared" si="79"/>
        <v>208.29533333333333</v>
      </c>
      <c r="O246" s="137">
        <f t="shared" si="79"/>
        <v>208.48491666666666</v>
      </c>
      <c r="P246" s="137">
        <f t="shared" si="79"/>
        <v>210.69483333333332</v>
      </c>
      <c r="Q246" s="137">
        <f t="shared" si="79"/>
        <v>211.07400000000001</v>
      </c>
      <c r="R246" s="137">
        <f t="shared" si="79"/>
        <v>213.88525000000001</v>
      </c>
      <c r="S246" s="137">
        <f t="shared" si="79"/>
        <v>213.88525000000001</v>
      </c>
      <c r="T246" s="137">
        <f t="shared" si="79"/>
        <v>214.07483333333334</v>
      </c>
      <c r="U246" s="137">
        <f t="shared" si="79"/>
        <v>214.07483333333334</v>
      </c>
      <c r="V246" s="137">
        <f t="shared" si="79"/>
        <v>214.07483333333334</v>
      </c>
      <c r="W246" s="137">
        <f t="shared" si="79"/>
        <v>214.07483333333334</v>
      </c>
      <c r="X246" s="137">
        <f t="shared" si="79"/>
        <v>228.63883333333334</v>
      </c>
      <c r="Y246" s="137">
        <f t="shared" si="79"/>
        <v>228.63883333333334</v>
      </c>
      <c r="Z246" s="137">
        <f t="shared" si="79"/>
        <v>228.63883333333334</v>
      </c>
      <c r="AA246" s="137">
        <f t="shared" si="79"/>
        <v>228.63883333333334</v>
      </c>
      <c r="AB246" s="137">
        <f t="shared" si="79"/>
        <v>242.12483333333333</v>
      </c>
      <c r="AC246" s="137">
        <f t="shared" si="79"/>
        <v>242.12483333333333</v>
      </c>
      <c r="AD246" s="137">
        <f t="shared" si="79"/>
        <v>242.12483333333333</v>
      </c>
      <c r="AE246" s="137">
        <f t="shared" si="79"/>
        <v>242.12483333333333</v>
      </c>
      <c r="AF246" s="137">
        <f t="shared" si="79"/>
        <v>242.12483333333333</v>
      </c>
      <c r="AG246" s="137">
        <f t="shared" si="79"/>
        <v>242.12483333333333</v>
      </c>
      <c r="AH246" s="137">
        <f t="shared" si="79"/>
        <v>242.12483333333333</v>
      </c>
      <c r="AI246" s="138">
        <f>AVERAGE(E246:AH246)</f>
        <v>210.51223888888887</v>
      </c>
    </row>
    <row r="248" spans="1:38" s="1" customFormat="1" ht="49.95" customHeight="1">
      <c r="B248" s="359" t="s">
        <v>0</v>
      </c>
      <c r="C248" s="360"/>
      <c r="D248" s="361"/>
    </row>
    <row r="249" spans="1:38" s="1" customFormat="1" ht="15.6">
      <c r="B249" s="107" t="s">
        <v>926</v>
      </c>
      <c r="C249" s="108"/>
      <c r="D249" s="109"/>
    </row>
    <row r="250" spans="1:38" s="1" customFormat="1" ht="15.6">
      <c r="B250" s="110" t="s">
        <v>2</v>
      </c>
      <c r="C250" s="111"/>
      <c r="D250" s="112"/>
    </row>
    <row r="251" spans="1:38" s="1" customFormat="1" ht="15.6">
      <c r="B251" s="113"/>
      <c r="C251" s="114"/>
      <c r="D251" s="113"/>
    </row>
    <row r="252" spans="1:38" s="1" customFormat="1" ht="18">
      <c r="B252" s="115" t="s">
        <v>816</v>
      </c>
      <c r="C252" s="116"/>
      <c r="D252" s="117"/>
    </row>
    <row r="253" spans="1:38" s="1" customFormat="1" ht="18">
      <c r="B253" s="118" t="s">
        <v>1016</v>
      </c>
      <c r="C253" s="119"/>
      <c r="D253" s="120"/>
    </row>
    <row r="254" spans="1:38" s="1" customFormat="1" ht="18">
      <c r="B254" s="121" t="s">
        <v>4</v>
      </c>
      <c r="C254" s="122"/>
      <c r="D254" s="123"/>
    </row>
    <row r="255" spans="1:38" s="1" customFormat="1">
      <c r="E255" s="1">
        <v>2024</v>
      </c>
      <c r="F255" s="1">
        <f>E255+1</f>
        <v>2025</v>
      </c>
      <c r="G255" s="1">
        <f t="shared" ref="G255:AH255" si="80">F255+1</f>
        <v>2026</v>
      </c>
      <c r="H255" s="1">
        <f t="shared" si="80"/>
        <v>2027</v>
      </c>
      <c r="I255" s="1">
        <f t="shared" si="80"/>
        <v>2028</v>
      </c>
      <c r="J255" s="1">
        <f t="shared" si="80"/>
        <v>2029</v>
      </c>
      <c r="K255" s="1">
        <f t="shared" si="80"/>
        <v>2030</v>
      </c>
      <c r="L255" s="1">
        <f t="shared" si="80"/>
        <v>2031</v>
      </c>
      <c r="M255" s="1">
        <f t="shared" si="80"/>
        <v>2032</v>
      </c>
      <c r="N255" s="1">
        <f t="shared" si="80"/>
        <v>2033</v>
      </c>
      <c r="O255" s="1">
        <f t="shared" si="80"/>
        <v>2034</v>
      </c>
      <c r="P255" s="1">
        <f t="shared" si="80"/>
        <v>2035</v>
      </c>
      <c r="Q255" s="1">
        <f t="shared" si="80"/>
        <v>2036</v>
      </c>
      <c r="R255" s="1">
        <f t="shared" si="80"/>
        <v>2037</v>
      </c>
      <c r="S255" s="1">
        <f t="shared" si="80"/>
        <v>2038</v>
      </c>
      <c r="T255" s="1">
        <f t="shared" si="80"/>
        <v>2039</v>
      </c>
      <c r="U255" s="1">
        <f t="shared" si="80"/>
        <v>2040</v>
      </c>
      <c r="V255" s="1">
        <f t="shared" si="80"/>
        <v>2041</v>
      </c>
      <c r="W255" s="1">
        <f t="shared" si="80"/>
        <v>2042</v>
      </c>
      <c r="X255" s="1">
        <f t="shared" si="80"/>
        <v>2043</v>
      </c>
      <c r="Y255" s="1">
        <f t="shared" si="80"/>
        <v>2044</v>
      </c>
      <c r="Z255" s="1">
        <f t="shared" si="80"/>
        <v>2045</v>
      </c>
      <c r="AA255" s="1">
        <f t="shared" si="80"/>
        <v>2046</v>
      </c>
      <c r="AB255" s="1">
        <f t="shared" si="80"/>
        <v>2047</v>
      </c>
      <c r="AC255" s="1">
        <f t="shared" si="80"/>
        <v>2048</v>
      </c>
      <c r="AD255" s="1">
        <f t="shared" si="80"/>
        <v>2049</v>
      </c>
      <c r="AE255" s="1">
        <f t="shared" si="80"/>
        <v>2050</v>
      </c>
      <c r="AF255" s="1">
        <f t="shared" si="80"/>
        <v>2051</v>
      </c>
      <c r="AG255" s="1">
        <f t="shared" si="80"/>
        <v>2052</v>
      </c>
      <c r="AH255" s="1">
        <f t="shared" si="80"/>
        <v>2053</v>
      </c>
    </row>
    <row r="256" spans="1:38" ht="14.4">
      <c r="B256" s="393" t="s">
        <v>36</v>
      </c>
      <c r="C256" s="393" t="s">
        <v>817</v>
      </c>
      <c r="D256" s="394" t="s">
        <v>89</v>
      </c>
      <c r="E256" s="397" t="s">
        <v>818</v>
      </c>
      <c r="F256" s="397"/>
      <c r="G256" s="397"/>
      <c r="H256" s="397"/>
      <c r="I256" s="397"/>
      <c r="J256" s="397"/>
      <c r="K256" s="397"/>
      <c r="L256" s="397"/>
      <c r="M256" s="397"/>
      <c r="N256" s="397"/>
      <c r="O256" s="397"/>
      <c r="P256" s="397"/>
      <c r="Q256" s="397"/>
      <c r="R256" s="397"/>
      <c r="S256" s="397"/>
      <c r="T256" s="397"/>
      <c r="U256" s="397"/>
      <c r="V256" s="397"/>
      <c r="W256" s="397"/>
      <c r="X256" s="397"/>
      <c r="Y256" s="397"/>
      <c r="Z256" s="397"/>
      <c r="AA256" s="397"/>
      <c r="AB256" s="397"/>
      <c r="AC256" s="397"/>
      <c r="AD256" s="397"/>
      <c r="AE256" s="397"/>
      <c r="AF256" s="397"/>
      <c r="AG256" s="397"/>
      <c r="AH256" s="397"/>
      <c r="AI256" s="3"/>
    </row>
    <row r="257" spans="2:52" ht="14.4">
      <c r="B257" s="393"/>
      <c r="C257" s="393"/>
      <c r="D257" s="395"/>
      <c r="E257" s="398">
        <v>1</v>
      </c>
      <c r="F257" s="398">
        <v>2</v>
      </c>
      <c r="G257" s="398">
        <v>3</v>
      </c>
      <c r="H257" s="398">
        <v>4</v>
      </c>
      <c r="I257" s="398">
        <v>5</v>
      </c>
      <c r="J257" s="398">
        <v>6</v>
      </c>
      <c r="K257" s="400">
        <v>7</v>
      </c>
      <c r="L257" s="400">
        <v>8</v>
      </c>
      <c r="M257" s="400">
        <v>9</v>
      </c>
      <c r="N257" s="400">
        <v>10</v>
      </c>
      <c r="O257" s="400">
        <v>11</v>
      </c>
      <c r="P257" s="400">
        <v>12</v>
      </c>
      <c r="Q257" s="400">
        <v>13</v>
      </c>
      <c r="R257" s="400">
        <v>14</v>
      </c>
      <c r="S257" s="400">
        <v>15</v>
      </c>
      <c r="T257" s="400">
        <v>16</v>
      </c>
      <c r="U257" s="400">
        <v>17</v>
      </c>
      <c r="V257" s="400">
        <v>18</v>
      </c>
      <c r="W257" s="400">
        <v>19</v>
      </c>
      <c r="X257" s="400">
        <v>20</v>
      </c>
      <c r="Y257" s="400">
        <v>21</v>
      </c>
      <c r="Z257" s="400">
        <v>22</v>
      </c>
      <c r="AA257" s="400">
        <v>23</v>
      </c>
      <c r="AB257" s="400">
        <v>24</v>
      </c>
      <c r="AC257" s="400">
        <v>25</v>
      </c>
      <c r="AD257" s="400">
        <v>26</v>
      </c>
      <c r="AE257" s="400">
        <v>27</v>
      </c>
      <c r="AF257" s="400">
        <v>28</v>
      </c>
      <c r="AG257" s="400">
        <v>29</v>
      </c>
      <c r="AH257" s="400">
        <v>30</v>
      </c>
      <c r="AI257" s="3"/>
    </row>
    <row r="258" spans="2:52" ht="14.4">
      <c r="B258" s="393"/>
      <c r="C258" s="393"/>
      <c r="D258" s="395"/>
      <c r="E258" s="399"/>
      <c r="F258" s="399"/>
      <c r="G258" s="399"/>
      <c r="H258" s="399"/>
      <c r="I258" s="399"/>
      <c r="J258" s="399"/>
      <c r="K258" s="400"/>
      <c r="L258" s="400"/>
      <c r="M258" s="400"/>
      <c r="N258" s="400"/>
      <c r="O258" s="400"/>
      <c r="P258" s="400"/>
      <c r="Q258" s="400"/>
      <c r="R258" s="400"/>
      <c r="S258" s="400"/>
      <c r="T258" s="400"/>
      <c r="U258" s="400"/>
      <c r="V258" s="400"/>
      <c r="W258" s="400"/>
      <c r="X258" s="400"/>
      <c r="Y258" s="400"/>
      <c r="Z258" s="400"/>
      <c r="AA258" s="400"/>
      <c r="AB258" s="400"/>
      <c r="AC258" s="400"/>
      <c r="AD258" s="400"/>
      <c r="AE258" s="400"/>
      <c r="AF258" s="400"/>
      <c r="AG258" s="400"/>
      <c r="AH258" s="400"/>
      <c r="AI258" s="3"/>
    </row>
    <row r="259" spans="2:52" ht="14.4">
      <c r="B259" s="393"/>
      <c r="C259" s="393"/>
      <c r="D259" s="396"/>
      <c r="E259" s="4">
        <v>12</v>
      </c>
      <c r="F259" s="4">
        <v>24</v>
      </c>
      <c r="G259" s="4">
        <v>36</v>
      </c>
      <c r="H259" s="4">
        <v>48</v>
      </c>
      <c r="I259" s="4">
        <v>60</v>
      </c>
      <c r="J259" s="4">
        <v>72</v>
      </c>
      <c r="K259" s="4">
        <v>84</v>
      </c>
      <c r="L259" s="4">
        <v>96</v>
      </c>
      <c r="M259" s="4">
        <v>108</v>
      </c>
      <c r="N259" s="4">
        <v>120</v>
      </c>
      <c r="O259" s="4">
        <v>132</v>
      </c>
      <c r="P259" s="4">
        <v>144</v>
      </c>
      <c r="Q259" s="4">
        <v>156</v>
      </c>
      <c r="R259" s="4">
        <v>168</v>
      </c>
      <c r="S259" s="4">
        <v>180</v>
      </c>
      <c r="T259" s="4">
        <v>192</v>
      </c>
      <c r="U259" s="4">
        <v>204</v>
      </c>
      <c r="V259" s="4">
        <v>216</v>
      </c>
      <c r="W259" s="4">
        <v>228</v>
      </c>
      <c r="X259" s="4">
        <v>240</v>
      </c>
      <c r="Y259" s="4">
        <v>252</v>
      </c>
      <c r="Z259" s="4">
        <v>264</v>
      </c>
      <c r="AA259" s="4">
        <v>276</v>
      </c>
      <c r="AB259" s="4">
        <v>288</v>
      </c>
      <c r="AC259" s="4">
        <v>300</v>
      </c>
      <c r="AD259" s="4">
        <v>312</v>
      </c>
      <c r="AE259" s="4">
        <v>324</v>
      </c>
      <c r="AF259" s="4">
        <v>336</v>
      </c>
      <c r="AG259" s="4">
        <v>348</v>
      </c>
      <c r="AH259" s="4">
        <v>360</v>
      </c>
      <c r="AI259" s="3"/>
    </row>
    <row r="260" spans="2:52" ht="14.4">
      <c r="B260" s="401" t="s">
        <v>819</v>
      </c>
      <c r="C260" s="402"/>
      <c r="D260" s="67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6"/>
    </row>
    <row r="261" spans="2:52" ht="14.4" outlineLevel="1">
      <c r="B261" s="403" t="s">
        <v>820</v>
      </c>
      <c r="C261" s="404"/>
      <c r="D261" s="66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8" t="s">
        <v>821</v>
      </c>
      <c r="AK261" s="9"/>
      <c r="AL261" s="9"/>
    </row>
    <row r="262" spans="2:52" ht="14.4" outlineLevel="2">
      <c r="B262" s="10">
        <v>1</v>
      </c>
      <c r="C262" s="11" t="s">
        <v>822</v>
      </c>
      <c r="D262" s="11" t="s">
        <v>823</v>
      </c>
      <c r="E262" s="12">
        <f t="shared" ref="E262:AI262" si="81">SUM(E263:E264)</f>
        <v>0</v>
      </c>
      <c r="F262" s="12">
        <f t="shared" si="81"/>
        <v>0</v>
      </c>
      <c r="G262" s="12">
        <f t="shared" si="81"/>
        <v>0</v>
      </c>
      <c r="H262" s="12">
        <f t="shared" si="81"/>
        <v>0</v>
      </c>
      <c r="I262" s="12">
        <f t="shared" si="81"/>
        <v>0</v>
      </c>
      <c r="J262" s="12">
        <f t="shared" si="81"/>
        <v>8.4440000000000008</v>
      </c>
      <c r="K262" s="12">
        <f t="shared" si="81"/>
        <v>8.4440000000000008</v>
      </c>
      <c r="L262" s="12">
        <f t="shared" si="81"/>
        <v>8.4440000000000008</v>
      </c>
      <c r="M262" s="12">
        <f t="shared" si="81"/>
        <v>8.4440000000000008</v>
      </c>
      <c r="N262" s="12">
        <f t="shared" si="81"/>
        <v>8.4440000000000008</v>
      </c>
      <c r="O262" s="12">
        <f t="shared" si="81"/>
        <v>8.4440000000000008</v>
      </c>
      <c r="P262" s="12">
        <f t="shared" si="81"/>
        <v>8.4440000000000008</v>
      </c>
      <c r="Q262" s="12">
        <f t="shared" si="81"/>
        <v>8.4440000000000008</v>
      </c>
      <c r="R262" s="12">
        <f t="shared" si="81"/>
        <v>8.4440000000000008</v>
      </c>
      <c r="S262" s="12">
        <f t="shared" si="81"/>
        <v>8.4440000000000008</v>
      </c>
      <c r="T262" s="12">
        <f t="shared" si="81"/>
        <v>8.4440000000000008</v>
      </c>
      <c r="U262" s="12">
        <f t="shared" si="81"/>
        <v>8.4440000000000008</v>
      </c>
      <c r="V262" s="12">
        <f t="shared" si="81"/>
        <v>8.4440000000000008</v>
      </c>
      <c r="W262" s="12">
        <f t="shared" si="81"/>
        <v>8.4440000000000008</v>
      </c>
      <c r="X262" s="12">
        <f t="shared" si="81"/>
        <v>8.4440000000000008</v>
      </c>
      <c r="Y262" s="12">
        <f t="shared" si="81"/>
        <v>8.4440000000000008</v>
      </c>
      <c r="Z262" s="12">
        <f t="shared" si="81"/>
        <v>8.4440000000000008</v>
      </c>
      <c r="AA262" s="12">
        <f t="shared" si="81"/>
        <v>8.4440000000000008</v>
      </c>
      <c r="AB262" s="12">
        <f t="shared" si="81"/>
        <v>8.4440000000000008</v>
      </c>
      <c r="AC262" s="12">
        <f t="shared" si="81"/>
        <v>8.4440000000000008</v>
      </c>
      <c r="AD262" s="12">
        <f t="shared" si="81"/>
        <v>8.4440000000000008</v>
      </c>
      <c r="AE262" s="12">
        <f t="shared" si="81"/>
        <v>8.4440000000000008</v>
      </c>
      <c r="AF262" s="12">
        <f t="shared" si="81"/>
        <v>8.4440000000000008</v>
      </c>
      <c r="AG262" s="12">
        <f t="shared" si="81"/>
        <v>8.4440000000000008</v>
      </c>
      <c r="AH262" s="12">
        <f t="shared" si="81"/>
        <v>8.4440000000000008</v>
      </c>
      <c r="AI262" s="12">
        <f t="shared" si="81"/>
        <v>211.09999999999994</v>
      </c>
      <c r="AJ262" s="13"/>
      <c r="AK262" s="14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</row>
    <row r="263" spans="2:52" ht="14.4" outlineLevel="3">
      <c r="B263" s="286" t="s">
        <v>824</v>
      </c>
      <c r="C263" s="323" t="s">
        <v>927</v>
      </c>
      <c r="D263" s="323" t="s">
        <v>826</v>
      </c>
      <c r="E263" s="331"/>
      <c r="F263" s="331"/>
      <c r="G263" s="331"/>
      <c r="H263" s="331"/>
      <c r="I263" s="331"/>
      <c r="J263" s="331">
        <f>(3.3-0)*2</f>
        <v>6.6</v>
      </c>
      <c r="K263" s="331">
        <f t="shared" ref="K263:Z264" si="82">J263</f>
        <v>6.6</v>
      </c>
      <c r="L263" s="331">
        <f t="shared" si="82"/>
        <v>6.6</v>
      </c>
      <c r="M263" s="331">
        <f t="shared" si="82"/>
        <v>6.6</v>
      </c>
      <c r="N263" s="331">
        <f t="shared" si="82"/>
        <v>6.6</v>
      </c>
      <c r="O263" s="331">
        <f t="shared" si="82"/>
        <v>6.6</v>
      </c>
      <c r="P263" s="331">
        <f t="shared" si="82"/>
        <v>6.6</v>
      </c>
      <c r="Q263" s="331">
        <f t="shared" si="82"/>
        <v>6.6</v>
      </c>
      <c r="R263" s="331">
        <f t="shared" si="82"/>
        <v>6.6</v>
      </c>
      <c r="S263" s="331">
        <f t="shared" si="82"/>
        <v>6.6</v>
      </c>
      <c r="T263" s="331">
        <f t="shared" si="82"/>
        <v>6.6</v>
      </c>
      <c r="U263" s="331">
        <f t="shared" si="82"/>
        <v>6.6</v>
      </c>
      <c r="V263" s="331">
        <f t="shared" si="82"/>
        <v>6.6</v>
      </c>
      <c r="W263" s="331">
        <f t="shared" si="82"/>
        <v>6.6</v>
      </c>
      <c r="X263" s="331">
        <f t="shared" si="82"/>
        <v>6.6</v>
      </c>
      <c r="Y263" s="331">
        <f t="shared" si="82"/>
        <v>6.6</v>
      </c>
      <c r="Z263" s="331">
        <f t="shared" si="82"/>
        <v>6.6</v>
      </c>
      <c r="AA263" s="331">
        <f t="shared" ref="V263:AH264" si="83">Z263</f>
        <v>6.6</v>
      </c>
      <c r="AB263" s="331">
        <f t="shared" si="83"/>
        <v>6.6</v>
      </c>
      <c r="AC263" s="331">
        <f t="shared" si="83"/>
        <v>6.6</v>
      </c>
      <c r="AD263" s="331">
        <f t="shared" si="83"/>
        <v>6.6</v>
      </c>
      <c r="AE263" s="331">
        <f t="shared" si="83"/>
        <v>6.6</v>
      </c>
      <c r="AF263" s="331">
        <f t="shared" si="83"/>
        <v>6.6</v>
      </c>
      <c r="AG263" s="331">
        <f t="shared" si="83"/>
        <v>6.6</v>
      </c>
      <c r="AH263" s="331">
        <f t="shared" si="83"/>
        <v>6.6</v>
      </c>
      <c r="AI263" s="331">
        <f t="shared" ref="AI263:AI264" si="84">SUM(E263:AH263)</f>
        <v>164.99999999999991</v>
      </c>
      <c r="AJ263" s="15"/>
      <c r="AK263" s="13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</row>
    <row r="264" spans="2:52" ht="14.4" outlineLevel="3">
      <c r="B264" s="286" t="s">
        <v>74</v>
      </c>
      <c r="C264" s="323" t="s">
        <v>928</v>
      </c>
      <c r="D264" s="323" t="s">
        <v>826</v>
      </c>
      <c r="E264" s="332"/>
      <c r="F264" s="332"/>
      <c r="G264" s="332"/>
      <c r="H264" s="332"/>
      <c r="I264" s="332"/>
      <c r="J264" s="332">
        <f>(4.222-3.3)*2</f>
        <v>1.8440000000000012</v>
      </c>
      <c r="K264" s="332">
        <f t="shared" si="82"/>
        <v>1.8440000000000012</v>
      </c>
      <c r="L264" s="332">
        <f t="shared" si="82"/>
        <v>1.8440000000000012</v>
      </c>
      <c r="M264" s="332">
        <f t="shared" si="82"/>
        <v>1.8440000000000012</v>
      </c>
      <c r="N264" s="332">
        <f t="shared" si="82"/>
        <v>1.8440000000000012</v>
      </c>
      <c r="O264" s="332">
        <f t="shared" si="82"/>
        <v>1.8440000000000012</v>
      </c>
      <c r="P264" s="332">
        <f t="shared" si="82"/>
        <v>1.8440000000000012</v>
      </c>
      <c r="Q264" s="332">
        <f t="shared" si="82"/>
        <v>1.8440000000000012</v>
      </c>
      <c r="R264" s="332">
        <f t="shared" si="82"/>
        <v>1.8440000000000012</v>
      </c>
      <c r="S264" s="332">
        <f t="shared" si="82"/>
        <v>1.8440000000000012</v>
      </c>
      <c r="T264" s="332">
        <f t="shared" si="82"/>
        <v>1.8440000000000012</v>
      </c>
      <c r="U264" s="332">
        <f t="shared" si="82"/>
        <v>1.8440000000000012</v>
      </c>
      <c r="V264" s="332">
        <f t="shared" si="83"/>
        <v>1.8440000000000012</v>
      </c>
      <c r="W264" s="332">
        <f t="shared" si="83"/>
        <v>1.8440000000000012</v>
      </c>
      <c r="X264" s="332">
        <f t="shared" si="83"/>
        <v>1.8440000000000012</v>
      </c>
      <c r="Y264" s="332">
        <f t="shared" si="83"/>
        <v>1.8440000000000012</v>
      </c>
      <c r="Z264" s="332">
        <f t="shared" si="83"/>
        <v>1.8440000000000012</v>
      </c>
      <c r="AA264" s="332">
        <f t="shared" si="83"/>
        <v>1.8440000000000012</v>
      </c>
      <c r="AB264" s="332">
        <f t="shared" si="83"/>
        <v>1.8440000000000012</v>
      </c>
      <c r="AC264" s="332">
        <f t="shared" si="83"/>
        <v>1.8440000000000012</v>
      </c>
      <c r="AD264" s="332">
        <f t="shared" si="83"/>
        <v>1.8440000000000012</v>
      </c>
      <c r="AE264" s="332">
        <f t="shared" si="83"/>
        <v>1.8440000000000012</v>
      </c>
      <c r="AF264" s="332">
        <f t="shared" si="83"/>
        <v>1.8440000000000012</v>
      </c>
      <c r="AG264" s="332">
        <f t="shared" si="83"/>
        <v>1.8440000000000012</v>
      </c>
      <c r="AH264" s="332">
        <f t="shared" si="83"/>
        <v>1.8440000000000012</v>
      </c>
      <c r="AI264" s="332">
        <f t="shared" si="84"/>
        <v>46.10000000000003</v>
      </c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</row>
    <row r="265" spans="2:52" ht="14.4" outlineLevel="1">
      <c r="B265" s="403" t="s">
        <v>820</v>
      </c>
      <c r="C265" s="404"/>
      <c r="D265" s="66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8" t="s">
        <v>821</v>
      </c>
      <c r="AK265" s="9"/>
      <c r="AL265" s="9"/>
    </row>
    <row r="266" spans="2:52" ht="14.4" outlineLevel="2">
      <c r="B266" s="10">
        <v>2</v>
      </c>
      <c r="C266" s="11" t="s">
        <v>834</v>
      </c>
      <c r="D266" s="11" t="s">
        <v>823</v>
      </c>
      <c r="E266" s="12">
        <f t="shared" ref="E266:AI266" si="85">SUM(E267:E268)</f>
        <v>0</v>
      </c>
      <c r="F266" s="12">
        <f t="shared" si="85"/>
        <v>0</v>
      </c>
      <c r="G266" s="12">
        <f t="shared" si="85"/>
        <v>0</v>
      </c>
      <c r="H266" s="12">
        <f t="shared" si="85"/>
        <v>0</v>
      </c>
      <c r="I266" s="12">
        <f t="shared" si="85"/>
        <v>0</v>
      </c>
      <c r="J266" s="12">
        <f t="shared" si="85"/>
        <v>0</v>
      </c>
      <c r="K266" s="12">
        <f t="shared" si="85"/>
        <v>0</v>
      </c>
      <c r="L266" s="12">
        <f t="shared" si="85"/>
        <v>0</v>
      </c>
      <c r="M266" s="12">
        <f t="shared" si="85"/>
        <v>0</v>
      </c>
      <c r="N266" s="12">
        <f t="shared" si="85"/>
        <v>0</v>
      </c>
      <c r="O266" s="12">
        <f t="shared" si="85"/>
        <v>0</v>
      </c>
      <c r="P266" s="12">
        <f t="shared" si="85"/>
        <v>0</v>
      </c>
      <c r="Q266" s="12">
        <f t="shared" si="85"/>
        <v>0</v>
      </c>
      <c r="R266" s="12">
        <f t="shared" si="85"/>
        <v>0</v>
      </c>
      <c r="S266" s="12">
        <f t="shared" si="85"/>
        <v>0</v>
      </c>
      <c r="T266" s="12">
        <f t="shared" si="85"/>
        <v>0</v>
      </c>
      <c r="U266" s="12">
        <f t="shared" si="85"/>
        <v>0</v>
      </c>
      <c r="V266" s="12">
        <f t="shared" si="85"/>
        <v>0</v>
      </c>
      <c r="W266" s="12">
        <f t="shared" si="85"/>
        <v>0</v>
      </c>
      <c r="X266" s="12">
        <f t="shared" si="85"/>
        <v>0</v>
      </c>
      <c r="Y266" s="12">
        <f t="shared" si="85"/>
        <v>0</v>
      </c>
      <c r="Z266" s="12">
        <f t="shared" si="85"/>
        <v>0</v>
      </c>
      <c r="AA266" s="12">
        <f t="shared" si="85"/>
        <v>0</v>
      </c>
      <c r="AB266" s="12">
        <f t="shared" si="85"/>
        <v>0</v>
      </c>
      <c r="AC266" s="12">
        <f t="shared" si="85"/>
        <v>0</v>
      </c>
      <c r="AD266" s="12">
        <f t="shared" si="85"/>
        <v>0</v>
      </c>
      <c r="AE266" s="12">
        <f t="shared" si="85"/>
        <v>0</v>
      </c>
      <c r="AF266" s="12">
        <f t="shared" si="85"/>
        <v>0</v>
      </c>
      <c r="AG266" s="12">
        <f t="shared" si="85"/>
        <v>0</v>
      </c>
      <c r="AH266" s="12">
        <f t="shared" si="85"/>
        <v>0</v>
      </c>
      <c r="AI266" s="12">
        <f t="shared" si="85"/>
        <v>0</v>
      </c>
      <c r="AJ266" s="13"/>
      <c r="AK266" s="14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</row>
    <row r="267" spans="2:52" ht="14.4" outlineLevel="3">
      <c r="B267" s="286" t="s">
        <v>835</v>
      </c>
      <c r="C267" s="323" t="s">
        <v>927</v>
      </c>
      <c r="D267" s="323" t="s">
        <v>826</v>
      </c>
      <c r="E267" s="331"/>
      <c r="F267" s="331"/>
      <c r="G267" s="331"/>
      <c r="H267" s="331"/>
      <c r="I267" s="331"/>
      <c r="J267" s="331"/>
      <c r="K267" s="331"/>
      <c r="L267" s="331"/>
      <c r="M267" s="331"/>
      <c r="N267" s="331"/>
      <c r="O267" s="331"/>
      <c r="P267" s="331"/>
      <c r="Q267" s="331"/>
      <c r="R267" s="331"/>
      <c r="S267" s="331"/>
      <c r="T267" s="331"/>
      <c r="U267" s="331"/>
      <c r="V267" s="331"/>
      <c r="W267" s="331"/>
      <c r="X267" s="331"/>
      <c r="Y267" s="331"/>
      <c r="Z267" s="331"/>
      <c r="AA267" s="331"/>
      <c r="AB267" s="331"/>
      <c r="AC267" s="331"/>
      <c r="AD267" s="331"/>
      <c r="AE267" s="331"/>
      <c r="AF267" s="331"/>
      <c r="AG267" s="331"/>
      <c r="AH267" s="331"/>
      <c r="AI267" s="331">
        <f t="shared" ref="AI267:AI268" si="86">SUM(E267:AH267)</f>
        <v>0</v>
      </c>
      <c r="AJ267" s="15"/>
      <c r="AK267" s="13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</row>
    <row r="268" spans="2:52" ht="14.4" outlineLevel="3">
      <c r="B268" s="286" t="s">
        <v>199</v>
      </c>
      <c r="C268" s="323" t="s">
        <v>928</v>
      </c>
      <c r="D268" s="323" t="s">
        <v>826</v>
      </c>
      <c r="E268" s="332"/>
      <c r="F268" s="332"/>
      <c r="G268" s="332"/>
      <c r="H268" s="332"/>
      <c r="I268" s="332"/>
      <c r="J268" s="332"/>
      <c r="K268" s="332"/>
      <c r="L268" s="332"/>
      <c r="M268" s="332"/>
      <c r="N268" s="332"/>
      <c r="O268" s="332"/>
      <c r="P268" s="332"/>
      <c r="Q268" s="332"/>
      <c r="R268" s="332"/>
      <c r="S268" s="332"/>
      <c r="T268" s="332"/>
      <c r="U268" s="332"/>
      <c r="V268" s="332"/>
      <c r="W268" s="332"/>
      <c r="X268" s="332"/>
      <c r="Y268" s="332"/>
      <c r="Z268" s="332"/>
      <c r="AA268" s="332"/>
      <c r="AB268" s="332"/>
      <c r="AC268" s="332"/>
      <c r="AD268" s="332"/>
      <c r="AE268" s="332"/>
      <c r="AF268" s="332"/>
      <c r="AG268" s="332"/>
      <c r="AH268" s="332"/>
      <c r="AI268" s="332">
        <f t="shared" si="86"/>
        <v>0</v>
      </c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</row>
    <row r="269" spans="2:52" ht="14.4" outlineLevel="1">
      <c r="B269" s="403" t="s">
        <v>820</v>
      </c>
      <c r="C269" s="404"/>
      <c r="D269" s="66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8" t="s">
        <v>821</v>
      </c>
      <c r="AK269" s="9"/>
      <c r="AL269" s="9"/>
    </row>
    <row r="270" spans="2:52" ht="14.4" outlineLevel="2">
      <c r="B270" s="10">
        <v>3</v>
      </c>
      <c r="C270" s="11" t="s">
        <v>929</v>
      </c>
      <c r="D270" s="11" t="s">
        <v>823</v>
      </c>
      <c r="E270" s="12">
        <f t="shared" ref="E270:AI270" si="87">SUM(E271:E272)</f>
        <v>0</v>
      </c>
      <c r="F270" s="12">
        <f t="shared" si="87"/>
        <v>0</v>
      </c>
      <c r="G270" s="12">
        <f t="shared" si="87"/>
        <v>0</v>
      </c>
      <c r="H270" s="12">
        <f t="shared" si="87"/>
        <v>0</v>
      </c>
      <c r="I270" s="12">
        <f t="shared" si="87"/>
        <v>0</v>
      </c>
      <c r="J270" s="12">
        <f t="shared" si="87"/>
        <v>0</v>
      </c>
      <c r="K270" s="12">
        <f t="shared" si="87"/>
        <v>0</v>
      </c>
      <c r="L270" s="12">
        <f t="shared" si="87"/>
        <v>0</v>
      </c>
      <c r="M270" s="12">
        <f t="shared" si="87"/>
        <v>0</v>
      </c>
      <c r="N270" s="12">
        <f t="shared" si="87"/>
        <v>0</v>
      </c>
      <c r="O270" s="12">
        <f t="shared" si="87"/>
        <v>0</v>
      </c>
      <c r="P270" s="12">
        <f t="shared" si="87"/>
        <v>0</v>
      </c>
      <c r="Q270" s="12">
        <f t="shared" si="87"/>
        <v>0</v>
      </c>
      <c r="R270" s="12">
        <f t="shared" si="87"/>
        <v>0</v>
      </c>
      <c r="S270" s="12">
        <f t="shared" si="87"/>
        <v>0</v>
      </c>
      <c r="T270" s="12">
        <f t="shared" si="87"/>
        <v>0</v>
      </c>
      <c r="U270" s="12">
        <f t="shared" si="87"/>
        <v>0</v>
      </c>
      <c r="V270" s="12">
        <f t="shared" si="87"/>
        <v>0</v>
      </c>
      <c r="W270" s="12">
        <f t="shared" si="87"/>
        <v>0</v>
      </c>
      <c r="X270" s="12">
        <f t="shared" si="87"/>
        <v>0</v>
      </c>
      <c r="Y270" s="12">
        <f t="shared" si="87"/>
        <v>0</v>
      </c>
      <c r="Z270" s="12">
        <f t="shared" si="87"/>
        <v>0</v>
      </c>
      <c r="AA270" s="12">
        <f t="shared" si="87"/>
        <v>0</v>
      </c>
      <c r="AB270" s="12">
        <f t="shared" si="87"/>
        <v>0</v>
      </c>
      <c r="AC270" s="12">
        <f t="shared" si="87"/>
        <v>0</v>
      </c>
      <c r="AD270" s="12">
        <f t="shared" si="87"/>
        <v>0</v>
      </c>
      <c r="AE270" s="12">
        <f t="shared" si="87"/>
        <v>0</v>
      </c>
      <c r="AF270" s="12">
        <f t="shared" si="87"/>
        <v>0</v>
      </c>
      <c r="AG270" s="12">
        <f t="shared" si="87"/>
        <v>0</v>
      </c>
      <c r="AH270" s="12">
        <f t="shared" si="87"/>
        <v>0</v>
      </c>
      <c r="AI270" s="12">
        <f t="shared" si="87"/>
        <v>0</v>
      </c>
      <c r="AJ270" s="13"/>
      <c r="AK270" s="14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5"/>
      <c r="AZ270" s="15"/>
    </row>
    <row r="271" spans="2:52" ht="14.4" outlineLevel="3">
      <c r="B271" s="286" t="s">
        <v>842</v>
      </c>
      <c r="C271" s="323" t="s">
        <v>927</v>
      </c>
      <c r="D271" s="323" t="s">
        <v>826</v>
      </c>
      <c r="E271" s="331"/>
      <c r="F271" s="331"/>
      <c r="G271" s="331"/>
      <c r="H271" s="331"/>
      <c r="I271" s="331"/>
      <c r="J271" s="331"/>
      <c r="K271" s="331"/>
      <c r="L271" s="331"/>
      <c r="M271" s="331"/>
      <c r="N271" s="331"/>
      <c r="O271" s="331"/>
      <c r="P271" s="331"/>
      <c r="Q271" s="331"/>
      <c r="R271" s="331"/>
      <c r="S271" s="331"/>
      <c r="T271" s="331"/>
      <c r="U271" s="331"/>
      <c r="V271" s="331"/>
      <c r="W271" s="331"/>
      <c r="X271" s="331"/>
      <c r="Y271" s="331"/>
      <c r="Z271" s="331"/>
      <c r="AA271" s="331"/>
      <c r="AB271" s="331"/>
      <c r="AC271" s="331"/>
      <c r="AD271" s="331"/>
      <c r="AE271" s="331"/>
      <c r="AF271" s="331"/>
      <c r="AG271" s="331"/>
      <c r="AH271" s="331"/>
      <c r="AI271" s="331">
        <f t="shared" ref="AI271:AI272" si="88">SUM(E271:AH271)</f>
        <v>0</v>
      </c>
      <c r="AJ271" s="15"/>
      <c r="AK271" s="13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</row>
    <row r="272" spans="2:52" ht="14.4" outlineLevel="3">
      <c r="B272" s="286" t="s">
        <v>203</v>
      </c>
      <c r="C272" s="323" t="s">
        <v>928</v>
      </c>
      <c r="D272" s="323" t="s">
        <v>826</v>
      </c>
      <c r="E272" s="332"/>
      <c r="F272" s="332"/>
      <c r="G272" s="332"/>
      <c r="H272" s="332"/>
      <c r="I272" s="332"/>
      <c r="J272" s="332"/>
      <c r="K272" s="332"/>
      <c r="L272" s="332"/>
      <c r="M272" s="332"/>
      <c r="N272" s="332"/>
      <c r="O272" s="332"/>
      <c r="P272" s="332"/>
      <c r="Q272" s="332"/>
      <c r="R272" s="332"/>
      <c r="S272" s="332"/>
      <c r="T272" s="332"/>
      <c r="U272" s="332"/>
      <c r="V272" s="332"/>
      <c r="W272" s="332"/>
      <c r="X272" s="332"/>
      <c r="Y272" s="332"/>
      <c r="Z272" s="332"/>
      <c r="AA272" s="332"/>
      <c r="AB272" s="332"/>
      <c r="AC272" s="332"/>
      <c r="AD272" s="332"/>
      <c r="AE272" s="332"/>
      <c r="AF272" s="332"/>
      <c r="AG272" s="332"/>
      <c r="AH272" s="332"/>
      <c r="AI272" s="332">
        <f t="shared" si="88"/>
        <v>0</v>
      </c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</row>
    <row r="273" spans="2:52" ht="14.4" outlineLevel="1">
      <c r="B273" s="403" t="s">
        <v>840</v>
      </c>
      <c r="C273" s="404"/>
      <c r="D273" s="66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8" t="s">
        <v>821</v>
      </c>
      <c r="AK273" s="9"/>
      <c r="AL273" s="9"/>
    </row>
    <row r="274" spans="2:52" ht="14.4" outlineLevel="2">
      <c r="B274" s="10">
        <v>4</v>
      </c>
      <c r="C274" s="11" t="s">
        <v>841</v>
      </c>
      <c r="D274" s="11" t="s">
        <v>826</v>
      </c>
      <c r="E274" s="12">
        <f t="shared" ref="E274:AI274" si="89">SUM(E275:E276)</f>
        <v>0</v>
      </c>
      <c r="F274" s="12">
        <f t="shared" si="89"/>
        <v>0</v>
      </c>
      <c r="G274" s="12">
        <f t="shared" si="89"/>
        <v>0</v>
      </c>
      <c r="H274" s="12">
        <f t="shared" si="89"/>
        <v>0</v>
      </c>
      <c r="I274" s="12">
        <f t="shared" si="89"/>
        <v>0</v>
      </c>
      <c r="J274" s="12">
        <f t="shared" si="89"/>
        <v>0</v>
      </c>
      <c r="K274" s="12">
        <f t="shared" si="89"/>
        <v>0</v>
      </c>
      <c r="L274" s="12">
        <f t="shared" si="89"/>
        <v>0</v>
      </c>
      <c r="M274" s="12">
        <f t="shared" si="89"/>
        <v>0</v>
      </c>
      <c r="N274" s="12">
        <f t="shared" si="89"/>
        <v>0</v>
      </c>
      <c r="O274" s="12">
        <f t="shared" si="89"/>
        <v>0</v>
      </c>
      <c r="P274" s="12">
        <f t="shared" si="89"/>
        <v>0</v>
      </c>
      <c r="Q274" s="12">
        <f t="shared" si="89"/>
        <v>0</v>
      </c>
      <c r="R274" s="12">
        <f t="shared" si="89"/>
        <v>0</v>
      </c>
      <c r="S274" s="12">
        <f t="shared" si="89"/>
        <v>0</v>
      </c>
      <c r="T274" s="12">
        <f t="shared" si="89"/>
        <v>0</v>
      </c>
      <c r="U274" s="12">
        <f t="shared" si="89"/>
        <v>0</v>
      </c>
      <c r="V274" s="12">
        <f t="shared" si="89"/>
        <v>0</v>
      </c>
      <c r="W274" s="12">
        <f t="shared" si="89"/>
        <v>0</v>
      </c>
      <c r="X274" s="12">
        <f t="shared" si="89"/>
        <v>0</v>
      </c>
      <c r="Y274" s="12">
        <f t="shared" si="89"/>
        <v>0</v>
      </c>
      <c r="Z274" s="12">
        <f t="shared" si="89"/>
        <v>0</v>
      </c>
      <c r="AA274" s="12">
        <f t="shared" si="89"/>
        <v>0</v>
      </c>
      <c r="AB274" s="12">
        <f t="shared" si="89"/>
        <v>0</v>
      </c>
      <c r="AC274" s="12">
        <f t="shared" si="89"/>
        <v>0</v>
      </c>
      <c r="AD274" s="12">
        <f t="shared" si="89"/>
        <v>0</v>
      </c>
      <c r="AE274" s="12">
        <f t="shared" si="89"/>
        <v>0</v>
      </c>
      <c r="AF274" s="12">
        <f t="shared" si="89"/>
        <v>0</v>
      </c>
      <c r="AG274" s="12">
        <f t="shared" si="89"/>
        <v>0</v>
      </c>
      <c r="AH274" s="12">
        <f t="shared" si="89"/>
        <v>0</v>
      </c>
      <c r="AI274" s="12">
        <f t="shared" si="89"/>
        <v>0</v>
      </c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</row>
    <row r="275" spans="2:52" ht="14.4" outlineLevel="3">
      <c r="B275" s="286" t="s">
        <v>851</v>
      </c>
      <c r="C275" s="323" t="s">
        <v>927</v>
      </c>
      <c r="D275" s="323" t="s">
        <v>826</v>
      </c>
      <c r="E275" s="331"/>
      <c r="F275" s="331"/>
      <c r="G275" s="331"/>
      <c r="H275" s="331"/>
      <c r="I275" s="331"/>
      <c r="J275" s="331"/>
      <c r="K275" s="331"/>
      <c r="L275" s="331"/>
      <c r="M275" s="331"/>
      <c r="N275" s="331"/>
      <c r="O275" s="331"/>
      <c r="P275" s="331"/>
      <c r="Q275" s="331"/>
      <c r="R275" s="331"/>
      <c r="S275" s="331"/>
      <c r="T275" s="331"/>
      <c r="U275" s="331"/>
      <c r="V275" s="331"/>
      <c r="W275" s="331"/>
      <c r="X275" s="331"/>
      <c r="Y275" s="331"/>
      <c r="Z275" s="331"/>
      <c r="AA275" s="331"/>
      <c r="AB275" s="331"/>
      <c r="AC275" s="331"/>
      <c r="AD275" s="331"/>
      <c r="AE275" s="331"/>
      <c r="AF275" s="331"/>
      <c r="AG275" s="331"/>
      <c r="AH275" s="331"/>
      <c r="AI275" s="331">
        <f t="shared" ref="AI275:AI276" si="90">SUM(E275:AH275)</f>
        <v>0</v>
      </c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</row>
    <row r="276" spans="2:52" ht="14.4" outlineLevel="3">
      <c r="B276" s="286" t="s">
        <v>205</v>
      </c>
      <c r="C276" s="323" t="s">
        <v>928</v>
      </c>
      <c r="D276" s="323" t="s">
        <v>826</v>
      </c>
      <c r="E276" s="331"/>
      <c r="F276" s="331"/>
      <c r="G276" s="331"/>
      <c r="H276" s="331"/>
      <c r="I276" s="331"/>
      <c r="J276" s="331"/>
      <c r="K276" s="331"/>
      <c r="L276" s="331"/>
      <c r="M276" s="331"/>
      <c r="N276" s="331"/>
      <c r="O276" s="331"/>
      <c r="P276" s="331"/>
      <c r="Q276" s="331"/>
      <c r="R276" s="331"/>
      <c r="S276" s="331"/>
      <c r="T276" s="331"/>
      <c r="U276" s="331"/>
      <c r="V276" s="331"/>
      <c r="W276" s="331"/>
      <c r="X276" s="331"/>
      <c r="Y276" s="331"/>
      <c r="Z276" s="331"/>
      <c r="AA276" s="331"/>
      <c r="AB276" s="331"/>
      <c r="AC276" s="331"/>
      <c r="AD276" s="331"/>
      <c r="AE276" s="331"/>
      <c r="AF276" s="331"/>
      <c r="AG276" s="331"/>
      <c r="AH276" s="331"/>
      <c r="AI276" s="331">
        <f t="shared" si="90"/>
        <v>0</v>
      </c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</row>
    <row r="277" spans="2:52" ht="14.4" outlineLevel="1">
      <c r="B277" s="403" t="s">
        <v>849</v>
      </c>
      <c r="C277" s="404"/>
      <c r="D277" s="66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8" t="s">
        <v>821</v>
      </c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</row>
    <row r="278" spans="2:52" ht="14.4" outlineLevel="2">
      <c r="B278" s="10">
        <v>5</v>
      </c>
      <c r="C278" s="11" t="s">
        <v>850</v>
      </c>
      <c r="D278" s="11" t="s">
        <v>823</v>
      </c>
      <c r="E278" s="12">
        <f t="shared" ref="E278:AI278" si="91">SUM(E279:E280)</f>
        <v>0</v>
      </c>
      <c r="F278" s="12">
        <f t="shared" si="91"/>
        <v>0</v>
      </c>
      <c r="G278" s="12">
        <f t="shared" si="91"/>
        <v>0</v>
      </c>
      <c r="H278" s="12">
        <f t="shared" si="91"/>
        <v>0</v>
      </c>
      <c r="I278" s="12">
        <f t="shared" si="91"/>
        <v>0</v>
      </c>
      <c r="J278" s="12">
        <f t="shared" si="91"/>
        <v>8.4440000000000008</v>
      </c>
      <c r="K278" s="12">
        <f t="shared" si="91"/>
        <v>8.4440000000000008</v>
      </c>
      <c r="L278" s="12">
        <f t="shared" si="91"/>
        <v>8.4440000000000008</v>
      </c>
      <c r="M278" s="12">
        <f t="shared" si="91"/>
        <v>8.4440000000000008</v>
      </c>
      <c r="N278" s="12">
        <f t="shared" si="91"/>
        <v>8.4440000000000008</v>
      </c>
      <c r="O278" s="12">
        <f t="shared" si="91"/>
        <v>8.4440000000000008</v>
      </c>
      <c r="P278" s="12">
        <f t="shared" si="91"/>
        <v>8.4440000000000008</v>
      </c>
      <c r="Q278" s="12">
        <f t="shared" si="91"/>
        <v>8.4440000000000008</v>
      </c>
      <c r="R278" s="12">
        <f t="shared" si="91"/>
        <v>8.4440000000000008</v>
      </c>
      <c r="S278" s="12">
        <f t="shared" si="91"/>
        <v>8.4440000000000008</v>
      </c>
      <c r="T278" s="12">
        <f t="shared" si="91"/>
        <v>8.4440000000000008</v>
      </c>
      <c r="U278" s="12">
        <f t="shared" si="91"/>
        <v>8.4440000000000008</v>
      </c>
      <c r="V278" s="12">
        <f t="shared" si="91"/>
        <v>8.4440000000000008</v>
      </c>
      <c r="W278" s="12">
        <f t="shared" si="91"/>
        <v>8.4440000000000008</v>
      </c>
      <c r="X278" s="12">
        <f t="shared" si="91"/>
        <v>8.4440000000000008</v>
      </c>
      <c r="Y278" s="12">
        <f t="shared" si="91"/>
        <v>8.4440000000000008</v>
      </c>
      <c r="Z278" s="12">
        <f t="shared" si="91"/>
        <v>8.4440000000000008</v>
      </c>
      <c r="AA278" s="12">
        <f t="shared" si="91"/>
        <v>8.4440000000000008</v>
      </c>
      <c r="AB278" s="12">
        <f t="shared" si="91"/>
        <v>8.4440000000000008</v>
      </c>
      <c r="AC278" s="12">
        <f t="shared" si="91"/>
        <v>8.4440000000000008</v>
      </c>
      <c r="AD278" s="12">
        <f t="shared" si="91"/>
        <v>8.4440000000000008</v>
      </c>
      <c r="AE278" s="12">
        <f t="shared" si="91"/>
        <v>8.4440000000000008</v>
      </c>
      <c r="AF278" s="12">
        <f t="shared" si="91"/>
        <v>8.4440000000000008</v>
      </c>
      <c r="AG278" s="12">
        <f t="shared" si="91"/>
        <v>8.4440000000000008</v>
      </c>
      <c r="AH278" s="12">
        <f t="shared" si="91"/>
        <v>8.4440000000000008</v>
      </c>
      <c r="AI278" s="12">
        <f t="shared" si="91"/>
        <v>211.09999999999994</v>
      </c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</row>
    <row r="279" spans="2:52" ht="14.4" outlineLevel="3">
      <c r="B279" s="286" t="s">
        <v>888</v>
      </c>
      <c r="C279" s="323" t="s">
        <v>927</v>
      </c>
      <c r="D279" s="323" t="s">
        <v>826</v>
      </c>
      <c r="E279" s="331"/>
      <c r="F279" s="331"/>
      <c r="G279" s="331"/>
      <c r="H279" s="331"/>
      <c r="I279" s="331"/>
      <c r="J279" s="331">
        <f>(3.3-0)*2</f>
        <v>6.6</v>
      </c>
      <c r="K279" s="331">
        <f t="shared" ref="K279:Z280" si="92">J279</f>
        <v>6.6</v>
      </c>
      <c r="L279" s="331">
        <f t="shared" si="92"/>
        <v>6.6</v>
      </c>
      <c r="M279" s="331">
        <f t="shared" si="92"/>
        <v>6.6</v>
      </c>
      <c r="N279" s="331">
        <f t="shared" si="92"/>
        <v>6.6</v>
      </c>
      <c r="O279" s="331">
        <f t="shared" si="92"/>
        <v>6.6</v>
      </c>
      <c r="P279" s="331">
        <f t="shared" si="92"/>
        <v>6.6</v>
      </c>
      <c r="Q279" s="331">
        <f t="shared" si="92"/>
        <v>6.6</v>
      </c>
      <c r="R279" s="331">
        <f t="shared" si="92"/>
        <v>6.6</v>
      </c>
      <c r="S279" s="331">
        <f t="shared" si="92"/>
        <v>6.6</v>
      </c>
      <c r="T279" s="331">
        <f t="shared" si="92"/>
        <v>6.6</v>
      </c>
      <c r="U279" s="331">
        <f t="shared" si="92"/>
        <v>6.6</v>
      </c>
      <c r="V279" s="331">
        <f t="shared" si="92"/>
        <v>6.6</v>
      </c>
      <c r="W279" s="331">
        <f t="shared" si="92"/>
        <v>6.6</v>
      </c>
      <c r="X279" s="331">
        <f t="shared" si="92"/>
        <v>6.6</v>
      </c>
      <c r="Y279" s="331">
        <f t="shared" si="92"/>
        <v>6.6</v>
      </c>
      <c r="Z279" s="331">
        <f t="shared" si="92"/>
        <v>6.6</v>
      </c>
      <c r="AA279" s="331">
        <f t="shared" ref="V279:AH280" si="93">Z279</f>
        <v>6.6</v>
      </c>
      <c r="AB279" s="331">
        <f t="shared" si="93"/>
        <v>6.6</v>
      </c>
      <c r="AC279" s="331">
        <f t="shared" si="93"/>
        <v>6.6</v>
      </c>
      <c r="AD279" s="331">
        <f t="shared" si="93"/>
        <v>6.6</v>
      </c>
      <c r="AE279" s="331">
        <f t="shared" si="93"/>
        <v>6.6</v>
      </c>
      <c r="AF279" s="331">
        <f t="shared" si="93"/>
        <v>6.6</v>
      </c>
      <c r="AG279" s="331">
        <f t="shared" si="93"/>
        <v>6.6</v>
      </c>
      <c r="AH279" s="331">
        <f t="shared" si="93"/>
        <v>6.6</v>
      </c>
      <c r="AI279" s="331">
        <f t="shared" ref="AI279:AI280" si="94">SUM(E279:AH279)</f>
        <v>164.99999999999991</v>
      </c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</row>
    <row r="280" spans="2:52" ht="14.4" outlineLevel="3">
      <c r="B280" s="286" t="s">
        <v>889</v>
      </c>
      <c r="C280" s="323" t="s">
        <v>928</v>
      </c>
      <c r="D280" s="323" t="s">
        <v>826</v>
      </c>
      <c r="E280" s="332"/>
      <c r="F280" s="332"/>
      <c r="G280" s="332"/>
      <c r="H280" s="332"/>
      <c r="I280" s="332"/>
      <c r="J280" s="332">
        <f>(4.222-3.3)*2</f>
        <v>1.8440000000000012</v>
      </c>
      <c r="K280" s="332">
        <f t="shared" si="92"/>
        <v>1.8440000000000012</v>
      </c>
      <c r="L280" s="332">
        <f t="shared" si="92"/>
        <v>1.8440000000000012</v>
      </c>
      <c r="M280" s="332">
        <f t="shared" si="92"/>
        <v>1.8440000000000012</v>
      </c>
      <c r="N280" s="332">
        <f t="shared" si="92"/>
        <v>1.8440000000000012</v>
      </c>
      <c r="O280" s="332">
        <f t="shared" si="92"/>
        <v>1.8440000000000012</v>
      </c>
      <c r="P280" s="332">
        <f t="shared" si="92"/>
        <v>1.8440000000000012</v>
      </c>
      <c r="Q280" s="332">
        <f t="shared" si="92"/>
        <v>1.8440000000000012</v>
      </c>
      <c r="R280" s="332">
        <f t="shared" si="92"/>
        <v>1.8440000000000012</v>
      </c>
      <c r="S280" s="332">
        <f t="shared" si="92"/>
        <v>1.8440000000000012</v>
      </c>
      <c r="T280" s="332">
        <f t="shared" si="92"/>
        <v>1.8440000000000012</v>
      </c>
      <c r="U280" s="332">
        <f t="shared" si="92"/>
        <v>1.8440000000000012</v>
      </c>
      <c r="V280" s="332">
        <f t="shared" si="93"/>
        <v>1.8440000000000012</v>
      </c>
      <c r="W280" s="332">
        <f t="shared" si="93"/>
        <v>1.8440000000000012</v>
      </c>
      <c r="X280" s="332">
        <f t="shared" si="93"/>
        <v>1.8440000000000012</v>
      </c>
      <c r="Y280" s="332">
        <f t="shared" si="93"/>
        <v>1.8440000000000012</v>
      </c>
      <c r="Z280" s="332">
        <f t="shared" si="93"/>
        <v>1.8440000000000012</v>
      </c>
      <c r="AA280" s="332">
        <f t="shared" si="93"/>
        <v>1.8440000000000012</v>
      </c>
      <c r="AB280" s="332">
        <f t="shared" si="93"/>
        <v>1.8440000000000012</v>
      </c>
      <c r="AC280" s="332">
        <f t="shared" si="93"/>
        <v>1.8440000000000012</v>
      </c>
      <c r="AD280" s="332">
        <f t="shared" si="93"/>
        <v>1.8440000000000012</v>
      </c>
      <c r="AE280" s="332">
        <f t="shared" si="93"/>
        <v>1.8440000000000012</v>
      </c>
      <c r="AF280" s="332">
        <f t="shared" si="93"/>
        <v>1.8440000000000012</v>
      </c>
      <c r="AG280" s="332">
        <f t="shared" si="93"/>
        <v>1.8440000000000012</v>
      </c>
      <c r="AH280" s="332">
        <f t="shared" si="93"/>
        <v>1.8440000000000012</v>
      </c>
      <c r="AI280" s="332">
        <f t="shared" si="94"/>
        <v>46.10000000000003</v>
      </c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</row>
    <row r="281" spans="2:52" ht="14.4" outlineLevel="1">
      <c r="B281" s="403" t="s">
        <v>858</v>
      </c>
      <c r="C281" s="404"/>
      <c r="D281" s="66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8"/>
    </row>
    <row r="282" spans="2:52" ht="14.4" outlineLevel="2">
      <c r="B282" s="10">
        <v>1</v>
      </c>
      <c r="C282" s="11" t="s">
        <v>859</v>
      </c>
      <c r="D282" s="11" t="s">
        <v>101</v>
      </c>
      <c r="E282" s="12">
        <f t="shared" ref="E282:AI282" si="95">SUM(E283:E284)</f>
        <v>0</v>
      </c>
      <c r="F282" s="12">
        <f t="shared" si="95"/>
        <v>0</v>
      </c>
      <c r="G282" s="12">
        <f t="shared" si="95"/>
        <v>0</v>
      </c>
      <c r="H282" s="12">
        <f t="shared" si="95"/>
        <v>0</v>
      </c>
      <c r="I282" s="12">
        <f t="shared" si="95"/>
        <v>0</v>
      </c>
      <c r="J282" s="12">
        <f t="shared" si="95"/>
        <v>29554</v>
      </c>
      <c r="K282" s="12">
        <f t="shared" si="95"/>
        <v>29554</v>
      </c>
      <c r="L282" s="12">
        <f t="shared" si="95"/>
        <v>29554</v>
      </c>
      <c r="M282" s="12">
        <f t="shared" si="95"/>
        <v>29554</v>
      </c>
      <c r="N282" s="12">
        <f t="shared" si="95"/>
        <v>29554</v>
      </c>
      <c r="O282" s="12">
        <f t="shared" si="95"/>
        <v>29554</v>
      </c>
      <c r="P282" s="12">
        <f t="shared" si="95"/>
        <v>29554</v>
      </c>
      <c r="Q282" s="12">
        <f t="shared" si="95"/>
        <v>29554</v>
      </c>
      <c r="R282" s="12">
        <f t="shared" si="95"/>
        <v>29554</v>
      </c>
      <c r="S282" s="12">
        <f t="shared" si="95"/>
        <v>29554</v>
      </c>
      <c r="T282" s="12">
        <f t="shared" si="95"/>
        <v>29554</v>
      </c>
      <c r="U282" s="12">
        <f t="shared" si="95"/>
        <v>29554</v>
      </c>
      <c r="V282" s="12">
        <f t="shared" si="95"/>
        <v>29554</v>
      </c>
      <c r="W282" s="12">
        <f t="shared" si="95"/>
        <v>29554</v>
      </c>
      <c r="X282" s="12">
        <f t="shared" si="95"/>
        <v>29554</v>
      </c>
      <c r="Y282" s="12">
        <f t="shared" si="95"/>
        <v>29554</v>
      </c>
      <c r="Z282" s="12">
        <f t="shared" si="95"/>
        <v>29554</v>
      </c>
      <c r="AA282" s="12">
        <f t="shared" si="95"/>
        <v>29554</v>
      </c>
      <c r="AB282" s="12">
        <f t="shared" si="95"/>
        <v>29554</v>
      </c>
      <c r="AC282" s="12">
        <f t="shared" si="95"/>
        <v>29554</v>
      </c>
      <c r="AD282" s="12">
        <f t="shared" si="95"/>
        <v>29554</v>
      </c>
      <c r="AE282" s="12">
        <f t="shared" si="95"/>
        <v>29554</v>
      </c>
      <c r="AF282" s="12">
        <f t="shared" si="95"/>
        <v>29554</v>
      </c>
      <c r="AG282" s="12">
        <f t="shared" si="95"/>
        <v>29554</v>
      </c>
      <c r="AH282" s="12">
        <f t="shared" si="95"/>
        <v>29554</v>
      </c>
      <c r="AI282" s="12">
        <f t="shared" si="95"/>
        <v>738849.99999999977</v>
      </c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</row>
    <row r="283" spans="2:52" ht="14.4" outlineLevel="3">
      <c r="B283" s="286" t="s">
        <v>824</v>
      </c>
      <c r="C283" s="323" t="s">
        <v>927</v>
      </c>
      <c r="D283" s="323" t="s">
        <v>101</v>
      </c>
      <c r="E283" s="331">
        <f t="shared" ref="E283:AI284" si="96">((E263+E267+E271)*3.5)*1000</f>
        <v>0</v>
      </c>
      <c r="F283" s="331">
        <f t="shared" si="96"/>
        <v>0</v>
      </c>
      <c r="G283" s="331">
        <f t="shared" si="96"/>
        <v>0</v>
      </c>
      <c r="H283" s="331">
        <f t="shared" si="96"/>
        <v>0</v>
      </c>
      <c r="I283" s="331">
        <f t="shared" si="96"/>
        <v>0</v>
      </c>
      <c r="J283" s="331">
        <f t="shared" si="96"/>
        <v>23099.999999999996</v>
      </c>
      <c r="K283" s="331">
        <f t="shared" si="96"/>
        <v>23099.999999999996</v>
      </c>
      <c r="L283" s="331">
        <f t="shared" si="96"/>
        <v>23099.999999999996</v>
      </c>
      <c r="M283" s="331">
        <f t="shared" si="96"/>
        <v>23099.999999999996</v>
      </c>
      <c r="N283" s="331">
        <f t="shared" si="96"/>
        <v>23099.999999999996</v>
      </c>
      <c r="O283" s="331">
        <f t="shared" si="96"/>
        <v>23099.999999999996</v>
      </c>
      <c r="P283" s="331">
        <f t="shared" si="96"/>
        <v>23099.999999999996</v>
      </c>
      <c r="Q283" s="331">
        <f t="shared" si="96"/>
        <v>23099.999999999996</v>
      </c>
      <c r="R283" s="331">
        <f t="shared" si="96"/>
        <v>23099.999999999996</v>
      </c>
      <c r="S283" s="331">
        <f t="shared" si="96"/>
        <v>23099.999999999996</v>
      </c>
      <c r="T283" s="331">
        <f t="shared" si="96"/>
        <v>23099.999999999996</v>
      </c>
      <c r="U283" s="331">
        <f t="shared" si="96"/>
        <v>23099.999999999996</v>
      </c>
      <c r="V283" s="331">
        <f t="shared" si="96"/>
        <v>23099.999999999996</v>
      </c>
      <c r="W283" s="331">
        <f t="shared" si="96"/>
        <v>23099.999999999996</v>
      </c>
      <c r="X283" s="331">
        <f t="shared" si="96"/>
        <v>23099.999999999996</v>
      </c>
      <c r="Y283" s="331">
        <f t="shared" si="96"/>
        <v>23099.999999999996</v>
      </c>
      <c r="Z283" s="331">
        <f t="shared" si="96"/>
        <v>23099.999999999996</v>
      </c>
      <c r="AA283" s="331">
        <f t="shared" si="96"/>
        <v>23099.999999999996</v>
      </c>
      <c r="AB283" s="331">
        <f t="shared" si="96"/>
        <v>23099.999999999996</v>
      </c>
      <c r="AC283" s="331">
        <f t="shared" si="96"/>
        <v>23099.999999999996</v>
      </c>
      <c r="AD283" s="331">
        <f t="shared" si="96"/>
        <v>23099.999999999996</v>
      </c>
      <c r="AE283" s="331">
        <f t="shared" si="96"/>
        <v>23099.999999999996</v>
      </c>
      <c r="AF283" s="331">
        <f t="shared" si="96"/>
        <v>23099.999999999996</v>
      </c>
      <c r="AG283" s="331">
        <f t="shared" si="96"/>
        <v>23099.999999999996</v>
      </c>
      <c r="AH283" s="331">
        <f t="shared" si="96"/>
        <v>23099.999999999996</v>
      </c>
      <c r="AI283" s="331">
        <f t="shared" si="96"/>
        <v>577499.99999999965</v>
      </c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</row>
    <row r="284" spans="2:52" ht="14.4" outlineLevel="3">
      <c r="B284" s="286" t="s">
        <v>74</v>
      </c>
      <c r="C284" s="323" t="s">
        <v>928</v>
      </c>
      <c r="D284" s="323" t="s">
        <v>101</v>
      </c>
      <c r="E284" s="331">
        <f t="shared" si="96"/>
        <v>0</v>
      </c>
      <c r="F284" s="332">
        <f t="shared" si="96"/>
        <v>0</v>
      </c>
      <c r="G284" s="332">
        <f t="shared" si="96"/>
        <v>0</v>
      </c>
      <c r="H284" s="332">
        <f t="shared" si="96"/>
        <v>0</v>
      </c>
      <c r="I284" s="332">
        <f t="shared" si="96"/>
        <v>0</v>
      </c>
      <c r="J284" s="332">
        <f t="shared" si="96"/>
        <v>6454.0000000000045</v>
      </c>
      <c r="K284" s="332">
        <f t="shared" si="96"/>
        <v>6454.0000000000045</v>
      </c>
      <c r="L284" s="332">
        <f t="shared" si="96"/>
        <v>6454.0000000000045</v>
      </c>
      <c r="M284" s="332">
        <f t="shared" si="96"/>
        <v>6454.0000000000045</v>
      </c>
      <c r="N284" s="332">
        <f t="shared" si="96"/>
        <v>6454.0000000000045</v>
      </c>
      <c r="O284" s="332">
        <f t="shared" si="96"/>
        <v>6454.0000000000045</v>
      </c>
      <c r="P284" s="332">
        <f t="shared" si="96"/>
        <v>6454.0000000000045</v>
      </c>
      <c r="Q284" s="332">
        <f t="shared" si="96"/>
        <v>6454.0000000000045</v>
      </c>
      <c r="R284" s="332">
        <f t="shared" si="96"/>
        <v>6454.0000000000045</v>
      </c>
      <c r="S284" s="332">
        <f t="shared" si="96"/>
        <v>6454.0000000000045</v>
      </c>
      <c r="T284" s="332">
        <f t="shared" si="96"/>
        <v>6454.0000000000045</v>
      </c>
      <c r="U284" s="332">
        <f t="shared" si="96"/>
        <v>6454.0000000000045</v>
      </c>
      <c r="V284" s="332">
        <f t="shared" si="96"/>
        <v>6454.0000000000045</v>
      </c>
      <c r="W284" s="332">
        <f t="shared" si="96"/>
        <v>6454.0000000000045</v>
      </c>
      <c r="X284" s="332">
        <f t="shared" si="96"/>
        <v>6454.0000000000045</v>
      </c>
      <c r="Y284" s="332">
        <f t="shared" si="96"/>
        <v>6454.0000000000045</v>
      </c>
      <c r="Z284" s="332">
        <f t="shared" si="96"/>
        <v>6454.0000000000045</v>
      </c>
      <c r="AA284" s="332">
        <f t="shared" si="96"/>
        <v>6454.0000000000045</v>
      </c>
      <c r="AB284" s="332">
        <f t="shared" si="96"/>
        <v>6454.0000000000045</v>
      </c>
      <c r="AC284" s="332">
        <f t="shared" si="96"/>
        <v>6454.0000000000045</v>
      </c>
      <c r="AD284" s="332">
        <f t="shared" si="96"/>
        <v>6454.0000000000045</v>
      </c>
      <c r="AE284" s="332">
        <f t="shared" si="96"/>
        <v>6454.0000000000045</v>
      </c>
      <c r="AF284" s="332">
        <f t="shared" si="96"/>
        <v>6454.0000000000045</v>
      </c>
      <c r="AG284" s="332">
        <f t="shared" si="96"/>
        <v>6454.0000000000045</v>
      </c>
      <c r="AH284" s="332">
        <f t="shared" si="96"/>
        <v>6454.0000000000045</v>
      </c>
      <c r="AI284" s="332">
        <f t="shared" si="96"/>
        <v>161350.00000000012</v>
      </c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</row>
    <row r="285" spans="2:52" ht="14.4" outlineLevel="1">
      <c r="B285" s="403" t="s">
        <v>860</v>
      </c>
      <c r="C285" s="404"/>
      <c r="D285" s="66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8"/>
    </row>
    <row r="286" spans="2:52" ht="14.4" outlineLevel="2">
      <c r="B286" s="10">
        <v>2</v>
      </c>
      <c r="C286" s="11" t="s">
        <v>861</v>
      </c>
      <c r="D286" s="11" t="s">
        <v>101</v>
      </c>
      <c r="E286" s="12">
        <f t="shared" ref="E286:AI286" si="97">SUM(E287:E288)</f>
        <v>0</v>
      </c>
      <c r="F286" s="12">
        <f t="shared" si="97"/>
        <v>0</v>
      </c>
      <c r="G286" s="12">
        <f t="shared" si="97"/>
        <v>0</v>
      </c>
      <c r="H286" s="12">
        <f t="shared" si="97"/>
        <v>0</v>
      </c>
      <c r="I286" s="12">
        <f t="shared" si="97"/>
        <v>0</v>
      </c>
      <c r="J286" s="12">
        <f t="shared" si="97"/>
        <v>0</v>
      </c>
      <c r="K286" s="12">
        <f t="shared" si="97"/>
        <v>0</v>
      </c>
      <c r="L286" s="12">
        <f t="shared" si="97"/>
        <v>0</v>
      </c>
      <c r="M286" s="12">
        <f t="shared" si="97"/>
        <v>0</v>
      </c>
      <c r="N286" s="12">
        <f t="shared" si="97"/>
        <v>0</v>
      </c>
      <c r="O286" s="12">
        <f t="shared" si="97"/>
        <v>0</v>
      </c>
      <c r="P286" s="12">
        <f t="shared" si="97"/>
        <v>0</v>
      </c>
      <c r="Q286" s="12">
        <f t="shared" si="97"/>
        <v>0</v>
      </c>
      <c r="R286" s="12">
        <f t="shared" si="97"/>
        <v>0</v>
      </c>
      <c r="S286" s="12">
        <f t="shared" si="97"/>
        <v>0</v>
      </c>
      <c r="T286" s="12">
        <f t="shared" si="97"/>
        <v>0</v>
      </c>
      <c r="U286" s="12">
        <f t="shared" si="97"/>
        <v>0</v>
      </c>
      <c r="V286" s="12">
        <f t="shared" si="97"/>
        <v>0</v>
      </c>
      <c r="W286" s="12">
        <f t="shared" si="97"/>
        <v>0</v>
      </c>
      <c r="X286" s="12">
        <f t="shared" si="97"/>
        <v>0</v>
      </c>
      <c r="Y286" s="12">
        <f t="shared" si="97"/>
        <v>0</v>
      </c>
      <c r="Z286" s="12">
        <f t="shared" si="97"/>
        <v>0</v>
      </c>
      <c r="AA286" s="12">
        <f t="shared" si="97"/>
        <v>0</v>
      </c>
      <c r="AB286" s="12">
        <f t="shared" si="97"/>
        <v>0</v>
      </c>
      <c r="AC286" s="12">
        <f t="shared" si="97"/>
        <v>0</v>
      </c>
      <c r="AD286" s="12">
        <f t="shared" si="97"/>
        <v>0</v>
      </c>
      <c r="AE286" s="12">
        <f t="shared" si="97"/>
        <v>0</v>
      </c>
      <c r="AF286" s="12">
        <f t="shared" si="97"/>
        <v>0</v>
      </c>
      <c r="AG286" s="12">
        <f t="shared" si="97"/>
        <v>0</v>
      </c>
      <c r="AH286" s="12">
        <f t="shared" si="97"/>
        <v>0</v>
      </c>
      <c r="AI286" s="12">
        <f t="shared" si="97"/>
        <v>0</v>
      </c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</row>
    <row r="287" spans="2:52" ht="14.4" outlineLevel="3">
      <c r="B287" s="286" t="s">
        <v>835</v>
      </c>
      <c r="C287" s="323" t="s">
        <v>927</v>
      </c>
      <c r="D287" s="323" t="s">
        <v>101</v>
      </c>
      <c r="E287" s="331">
        <f t="shared" ref="E287:AI288" si="98">(E275*3.2)*1000</f>
        <v>0</v>
      </c>
      <c r="F287" s="331">
        <f t="shared" si="98"/>
        <v>0</v>
      </c>
      <c r="G287" s="331">
        <f t="shared" si="98"/>
        <v>0</v>
      </c>
      <c r="H287" s="331">
        <f t="shared" si="98"/>
        <v>0</v>
      </c>
      <c r="I287" s="331">
        <f t="shared" si="98"/>
        <v>0</v>
      </c>
      <c r="J287" s="331">
        <f t="shared" si="98"/>
        <v>0</v>
      </c>
      <c r="K287" s="331">
        <f t="shared" si="98"/>
        <v>0</v>
      </c>
      <c r="L287" s="331">
        <f t="shared" si="98"/>
        <v>0</v>
      </c>
      <c r="M287" s="331">
        <f t="shared" si="98"/>
        <v>0</v>
      </c>
      <c r="N287" s="331">
        <f t="shared" si="98"/>
        <v>0</v>
      </c>
      <c r="O287" s="331">
        <f t="shared" si="98"/>
        <v>0</v>
      </c>
      <c r="P287" s="331">
        <f t="shared" si="98"/>
        <v>0</v>
      </c>
      <c r="Q287" s="331">
        <f t="shared" si="98"/>
        <v>0</v>
      </c>
      <c r="R287" s="331">
        <f t="shared" si="98"/>
        <v>0</v>
      </c>
      <c r="S287" s="331">
        <f t="shared" si="98"/>
        <v>0</v>
      </c>
      <c r="T287" s="331">
        <f t="shared" si="98"/>
        <v>0</v>
      </c>
      <c r="U287" s="331">
        <f t="shared" si="98"/>
        <v>0</v>
      </c>
      <c r="V287" s="331">
        <f t="shared" si="98"/>
        <v>0</v>
      </c>
      <c r="W287" s="331">
        <f t="shared" si="98"/>
        <v>0</v>
      </c>
      <c r="X287" s="331">
        <f t="shared" si="98"/>
        <v>0</v>
      </c>
      <c r="Y287" s="331">
        <f t="shared" si="98"/>
        <v>0</v>
      </c>
      <c r="Z287" s="331">
        <f t="shared" si="98"/>
        <v>0</v>
      </c>
      <c r="AA287" s="331">
        <f t="shared" si="98"/>
        <v>0</v>
      </c>
      <c r="AB287" s="331">
        <f t="shared" si="98"/>
        <v>0</v>
      </c>
      <c r="AC287" s="331">
        <f t="shared" si="98"/>
        <v>0</v>
      </c>
      <c r="AD287" s="331">
        <f t="shared" si="98"/>
        <v>0</v>
      </c>
      <c r="AE287" s="331">
        <f t="shared" si="98"/>
        <v>0</v>
      </c>
      <c r="AF287" s="331">
        <f t="shared" si="98"/>
        <v>0</v>
      </c>
      <c r="AG287" s="331">
        <f t="shared" si="98"/>
        <v>0</v>
      </c>
      <c r="AH287" s="331">
        <f t="shared" si="98"/>
        <v>0</v>
      </c>
      <c r="AI287" s="331">
        <f t="shared" si="98"/>
        <v>0</v>
      </c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</row>
    <row r="288" spans="2:52" ht="14.4" outlineLevel="3">
      <c r="B288" s="286" t="s">
        <v>199</v>
      </c>
      <c r="C288" s="323" t="s">
        <v>928</v>
      </c>
      <c r="D288" s="323" t="s">
        <v>101</v>
      </c>
      <c r="E288" s="331">
        <f t="shared" si="98"/>
        <v>0</v>
      </c>
      <c r="F288" s="332">
        <f t="shared" si="98"/>
        <v>0</v>
      </c>
      <c r="G288" s="332">
        <f t="shared" si="98"/>
        <v>0</v>
      </c>
      <c r="H288" s="332">
        <f t="shared" si="98"/>
        <v>0</v>
      </c>
      <c r="I288" s="332">
        <f t="shared" si="98"/>
        <v>0</v>
      </c>
      <c r="J288" s="332">
        <f t="shared" si="98"/>
        <v>0</v>
      </c>
      <c r="K288" s="332">
        <f t="shared" si="98"/>
        <v>0</v>
      </c>
      <c r="L288" s="332">
        <f t="shared" si="98"/>
        <v>0</v>
      </c>
      <c r="M288" s="332">
        <f t="shared" si="98"/>
        <v>0</v>
      </c>
      <c r="N288" s="332">
        <f t="shared" si="98"/>
        <v>0</v>
      </c>
      <c r="O288" s="332">
        <f t="shared" si="98"/>
        <v>0</v>
      </c>
      <c r="P288" s="332">
        <f t="shared" si="98"/>
        <v>0</v>
      </c>
      <c r="Q288" s="332">
        <f t="shared" si="98"/>
        <v>0</v>
      </c>
      <c r="R288" s="332">
        <f t="shared" si="98"/>
        <v>0</v>
      </c>
      <c r="S288" s="332">
        <f t="shared" si="98"/>
        <v>0</v>
      </c>
      <c r="T288" s="332">
        <f t="shared" si="98"/>
        <v>0</v>
      </c>
      <c r="U288" s="332">
        <f t="shared" si="98"/>
        <v>0</v>
      </c>
      <c r="V288" s="332">
        <f t="shared" si="98"/>
        <v>0</v>
      </c>
      <c r="W288" s="332">
        <f t="shared" si="98"/>
        <v>0</v>
      </c>
      <c r="X288" s="332">
        <f t="shared" si="98"/>
        <v>0</v>
      </c>
      <c r="Y288" s="332">
        <f t="shared" si="98"/>
        <v>0</v>
      </c>
      <c r="Z288" s="332">
        <f t="shared" si="98"/>
        <v>0</v>
      </c>
      <c r="AA288" s="332">
        <f t="shared" si="98"/>
        <v>0</v>
      </c>
      <c r="AB288" s="332">
        <f t="shared" si="98"/>
        <v>0</v>
      </c>
      <c r="AC288" s="332">
        <f t="shared" si="98"/>
        <v>0</v>
      </c>
      <c r="AD288" s="332">
        <f t="shared" si="98"/>
        <v>0</v>
      </c>
      <c r="AE288" s="332">
        <f t="shared" si="98"/>
        <v>0</v>
      </c>
      <c r="AF288" s="332">
        <f t="shared" si="98"/>
        <v>0</v>
      </c>
      <c r="AG288" s="332">
        <f t="shared" si="98"/>
        <v>0</v>
      </c>
      <c r="AH288" s="332">
        <f t="shared" si="98"/>
        <v>0</v>
      </c>
      <c r="AI288" s="332">
        <f t="shared" si="98"/>
        <v>0</v>
      </c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</row>
    <row r="289" spans="1:52" ht="14.4" outlineLevel="1">
      <c r="B289" s="403" t="s">
        <v>862</v>
      </c>
      <c r="C289" s="404"/>
      <c r="D289" s="19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</row>
    <row r="290" spans="1:52" ht="14.4" outlineLevel="2">
      <c r="B290" s="10">
        <v>3</v>
      </c>
      <c r="C290" s="11" t="s">
        <v>863</v>
      </c>
      <c r="D290" s="11" t="s">
        <v>101</v>
      </c>
      <c r="E290" s="12">
        <f t="shared" ref="E290:AI290" si="99">SUM(E291:E292)</f>
        <v>0</v>
      </c>
      <c r="F290" s="12">
        <f t="shared" si="99"/>
        <v>0</v>
      </c>
      <c r="G290" s="12">
        <f t="shared" si="99"/>
        <v>0</v>
      </c>
      <c r="H290" s="12">
        <f t="shared" si="99"/>
        <v>0</v>
      </c>
      <c r="I290" s="12">
        <f t="shared" si="99"/>
        <v>0</v>
      </c>
      <c r="J290" s="12">
        <f t="shared" si="99"/>
        <v>21110.000000000004</v>
      </c>
      <c r="K290" s="12">
        <f t="shared" si="99"/>
        <v>21110.000000000004</v>
      </c>
      <c r="L290" s="12">
        <f t="shared" si="99"/>
        <v>21110.000000000004</v>
      </c>
      <c r="M290" s="12">
        <f t="shared" si="99"/>
        <v>21110.000000000004</v>
      </c>
      <c r="N290" s="12">
        <f t="shared" si="99"/>
        <v>21110.000000000004</v>
      </c>
      <c r="O290" s="12">
        <f t="shared" si="99"/>
        <v>21110.000000000004</v>
      </c>
      <c r="P290" s="12">
        <f t="shared" si="99"/>
        <v>21110.000000000004</v>
      </c>
      <c r="Q290" s="12">
        <f t="shared" si="99"/>
        <v>21110.000000000004</v>
      </c>
      <c r="R290" s="12">
        <f t="shared" si="99"/>
        <v>21110.000000000004</v>
      </c>
      <c r="S290" s="12">
        <f t="shared" si="99"/>
        <v>21110.000000000004</v>
      </c>
      <c r="T290" s="12">
        <f t="shared" si="99"/>
        <v>21110.000000000004</v>
      </c>
      <c r="U290" s="12">
        <f t="shared" si="99"/>
        <v>21110.000000000004</v>
      </c>
      <c r="V290" s="12">
        <f t="shared" si="99"/>
        <v>21110.000000000004</v>
      </c>
      <c r="W290" s="12">
        <f t="shared" si="99"/>
        <v>21110.000000000004</v>
      </c>
      <c r="X290" s="12">
        <f t="shared" si="99"/>
        <v>21110.000000000004</v>
      </c>
      <c r="Y290" s="12">
        <f t="shared" si="99"/>
        <v>21110.000000000004</v>
      </c>
      <c r="Z290" s="12">
        <f t="shared" si="99"/>
        <v>21110.000000000004</v>
      </c>
      <c r="AA290" s="12">
        <f t="shared" si="99"/>
        <v>21110.000000000004</v>
      </c>
      <c r="AB290" s="12">
        <f t="shared" si="99"/>
        <v>21110.000000000004</v>
      </c>
      <c r="AC290" s="12">
        <f t="shared" si="99"/>
        <v>21110.000000000004</v>
      </c>
      <c r="AD290" s="12">
        <f t="shared" si="99"/>
        <v>21110.000000000004</v>
      </c>
      <c r="AE290" s="12">
        <f t="shared" si="99"/>
        <v>21110.000000000004</v>
      </c>
      <c r="AF290" s="12">
        <f t="shared" si="99"/>
        <v>21110.000000000004</v>
      </c>
      <c r="AG290" s="12">
        <f t="shared" si="99"/>
        <v>21110.000000000004</v>
      </c>
      <c r="AH290" s="12">
        <f t="shared" si="99"/>
        <v>21110.000000000004</v>
      </c>
      <c r="AI290" s="12">
        <f t="shared" si="99"/>
        <v>527749.99999999988</v>
      </c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</row>
    <row r="291" spans="1:52" ht="14.4" outlineLevel="3">
      <c r="B291" s="286" t="s">
        <v>842</v>
      </c>
      <c r="C291" s="323" t="s">
        <v>927</v>
      </c>
      <c r="D291" s="323" t="s">
        <v>101</v>
      </c>
      <c r="E291" s="331">
        <f t="shared" ref="E291:AI291" si="100">E279*2.5*1000</f>
        <v>0</v>
      </c>
      <c r="F291" s="331">
        <f t="shared" si="100"/>
        <v>0</v>
      </c>
      <c r="G291" s="331">
        <f t="shared" si="100"/>
        <v>0</v>
      </c>
      <c r="H291" s="331">
        <f t="shared" si="100"/>
        <v>0</v>
      </c>
      <c r="I291" s="331">
        <f t="shared" si="100"/>
        <v>0</v>
      </c>
      <c r="J291" s="331">
        <f t="shared" si="100"/>
        <v>16500</v>
      </c>
      <c r="K291" s="331">
        <f t="shared" si="100"/>
        <v>16500</v>
      </c>
      <c r="L291" s="331">
        <f t="shared" si="100"/>
        <v>16500</v>
      </c>
      <c r="M291" s="331">
        <f t="shared" si="100"/>
        <v>16500</v>
      </c>
      <c r="N291" s="331">
        <f t="shared" si="100"/>
        <v>16500</v>
      </c>
      <c r="O291" s="331">
        <f t="shared" si="100"/>
        <v>16500</v>
      </c>
      <c r="P291" s="331">
        <f t="shared" si="100"/>
        <v>16500</v>
      </c>
      <c r="Q291" s="331">
        <f t="shared" si="100"/>
        <v>16500</v>
      </c>
      <c r="R291" s="331">
        <f t="shared" si="100"/>
        <v>16500</v>
      </c>
      <c r="S291" s="331">
        <f t="shared" si="100"/>
        <v>16500</v>
      </c>
      <c r="T291" s="331">
        <f t="shared" si="100"/>
        <v>16500</v>
      </c>
      <c r="U291" s="331">
        <f t="shared" si="100"/>
        <v>16500</v>
      </c>
      <c r="V291" s="331">
        <f t="shared" si="100"/>
        <v>16500</v>
      </c>
      <c r="W291" s="331">
        <f t="shared" si="100"/>
        <v>16500</v>
      </c>
      <c r="X291" s="331">
        <f t="shared" si="100"/>
        <v>16500</v>
      </c>
      <c r="Y291" s="331">
        <f t="shared" si="100"/>
        <v>16500</v>
      </c>
      <c r="Z291" s="331">
        <f t="shared" si="100"/>
        <v>16500</v>
      </c>
      <c r="AA291" s="331">
        <f t="shared" si="100"/>
        <v>16500</v>
      </c>
      <c r="AB291" s="331">
        <f t="shared" si="100"/>
        <v>16500</v>
      </c>
      <c r="AC291" s="331">
        <f t="shared" si="100"/>
        <v>16500</v>
      </c>
      <c r="AD291" s="331">
        <f t="shared" si="100"/>
        <v>16500</v>
      </c>
      <c r="AE291" s="331">
        <f t="shared" si="100"/>
        <v>16500</v>
      </c>
      <c r="AF291" s="331">
        <f t="shared" si="100"/>
        <v>16500</v>
      </c>
      <c r="AG291" s="331">
        <f t="shared" si="100"/>
        <v>16500</v>
      </c>
      <c r="AH291" s="331">
        <f t="shared" si="100"/>
        <v>16500</v>
      </c>
      <c r="AI291" s="331">
        <f t="shared" si="100"/>
        <v>412499.99999999977</v>
      </c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</row>
    <row r="292" spans="1:52" ht="14.4" outlineLevel="3">
      <c r="B292" s="286" t="s">
        <v>203</v>
      </c>
      <c r="C292" s="323" t="s">
        <v>928</v>
      </c>
      <c r="D292" s="323" t="s">
        <v>101</v>
      </c>
      <c r="E292" s="332">
        <f t="shared" ref="E292:AH292" si="101">(E280*2.5)*1000</f>
        <v>0</v>
      </c>
      <c r="F292" s="332">
        <f t="shared" si="101"/>
        <v>0</v>
      </c>
      <c r="G292" s="332">
        <f t="shared" si="101"/>
        <v>0</v>
      </c>
      <c r="H292" s="332">
        <f t="shared" si="101"/>
        <v>0</v>
      </c>
      <c r="I292" s="332">
        <f t="shared" si="101"/>
        <v>0</v>
      </c>
      <c r="J292" s="332">
        <f t="shared" si="101"/>
        <v>4610.0000000000027</v>
      </c>
      <c r="K292" s="332">
        <f t="shared" si="101"/>
        <v>4610.0000000000027</v>
      </c>
      <c r="L292" s="332">
        <f t="shared" si="101"/>
        <v>4610.0000000000027</v>
      </c>
      <c r="M292" s="332">
        <f t="shared" si="101"/>
        <v>4610.0000000000027</v>
      </c>
      <c r="N292" s="332">
        <f t="shared" si="101"/>
        <v>4610.0000000000027</v>
      </c>
      <c r="O292" s="332">
        <f t="shared" si="101"/>
        <v>4610.0000000000027</v>
      </c>
      <c r="P292" s="332">
        <f t="shared" si="101"/>
        <v>4610.0000000000027</v>
      </c>
      <c r="Q292" s="332">
        <f t="shared" si="101"/>
        <v>4610.0000000000027</v>
      </c>
      <c r="R292" s="332">
        <f t="shared" si="101"/>
        <v>4610.0000000000027</v>
      </c>
      <c r="S292" s="332">
        <f t="shared" si="101"/>
        <v>4610.0000000000027</v>
      </c>
      <c r="T292" s="332">
        <f t="shared" si="101"/>
        <v>4610.0000000000027</v>
      </c>
      <c r="U292" s="332">
        <f t="shared" si="101"/>
        <v>4610.0000000000027</v>
      </c>
      <c r="V292" s="332">
        <f t="shared" si="101"/>
        <v>4610.0000000000027</v>
      </c>
      <c r="W292" s="332">
        <f t="shared" si="101"/>
        <v>4610.0000000000027</v>
      </c>
      <c r="X292" s="332">
        <f t="shared" si="101"/>
        <v>4610.0000000000027</v>
      </c>
      <c r="Y292" s="332">
        <f t="shared" si="101"/>
        <v>4610.0000000000027</v>
      </c>
      <c r="Z292" s="332">
        <f t="shared" si="101"/>
        <v>4610.0000000000027</v>
      </c>
      <c r="AA292" s="332">
        <f t="shared" si="101"/>
        <v>4610.0000000000027</v>
      </c>
      <c r="AB292" s="332">
        <f t="shared" si="101"/>
        <v>4610.0000000000027</v>
      </c>
      <c r="AC292" s="332">
        <f t="shared" si="101"/>
        <v>4610.0000000000027</v>
      </c>
      <c r="AD292" s="332">
        <f t="shared" si="101"/>
        <v>4610.0000000000027</v>
      </c>
      <c r="AE292" s="332">
        <f t="shared" si="101"/>
        <v>4610.0000000000027</v>
      </c>
      <c r="AF292" s="332">
        <f t="shared" si="101"/>
        <v>4610.0000000000027</v>
      </c>
      <c r="AG292" s="332">
        <f t="shared" si="101"/>
        <v>4610.0000000000027</v>
      </c>
      <c r="AH292" s="332">
        <f t="shared" si="101"/>
        <v>4610.0000000000027</v>
      </c>
      <c r="AI292" s="331">
        <f>AI280*2.5*1000</f>
        <v>115250.00000000007</v>
      </c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</row>
    <row r="293" spans="1:52" ht="14.4">
      <c r="B293" s="401" t="s">
        <v>864</v>
      </c>
      <c r="C293" s="402"/>
      <c r="D293" s="67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</row>
    <row r="294" spans="1:52" ht="14.4" outlineLevel="1">
      <c r="B294" s="403" t="s">
        <v>865</v>
      </c>
      <c r="C294" s="404"/>
      <c r="D294" s="22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8" t="s">
        <v>821</v>
      </c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</row>
    <row r="295" spans="1:52" ht="14.4" outlineLevel="2">
      <c r="B295" s="10">
        <v>1</v>
      </c>
      <c r="C295" s="11" t="s">
        <v>866</v>
      </c>
      <c r="D295" s="11" t="s">
        <v>826</v>
      </c>
      <c r="E295" s="12">
        <f>E296+E297</f>
        <v>0</v>
      </c>
      <c r="F295" s="12">
        <f t="shared" ref="F295:AI295" si="102">F296+F297</f>
        <v>0</v>
      </c>
      <c r="G295" s="12">
        <f t="shared" si="102"/>
        <v>0</v>
      </c>
      <c r="H295" s="12">
        <f t="shared" si="102"/>
        <v>0</v>
      </c>
      <c r="I295" s="12">
        <f t="shared" si="102"/>
        <v>0</v>
      </c>
      <c r="J295" s="12">
        <f t="shared" si="102"/>
        <v>0</v>
      </c>
      <c r="K295" s="12">
        <f t="shared" si="102"/>
        <v>0</v>
      </c>
      <c r="L295" s="12">
        <f t="shared" si="102"/>
        <v>0</v>
      </c>
      <c r="M295" s="12">
        <f t="shared" si="102"/>
        <v>0</v>
      </c>
      <c r="N295" s="12">
        <f t="shared" si="102"/>
        <v>0</v>
      </c>
      <c r="O295" s="12">
        <f t="shared" si="102"/>
        <v>0</v>
      </c>
      <c r="P295" s="12">
        <f t="shared" si="102"/>
        <v>1.42</v>
      </c>
      <c r="Q295" s="12">
        <f t="shared" si="102"/>
        <v>0</v>
      </c>
      <c r="R295" s="12">
        <f t="shared" si="102"/>
        <v>0</v>
      </c>
      <c r="S295" s="12">
        <f t="shared" si="102"/>
        <v>0</v>
      </c>
      <c r="T295" s="12">
        <f t="shared" si="102"/>
        <v>0</v>
      </c>
      <c r="U295" s="12">
        <f t="shared" si="102"/>
        <v>0</v>
      </c>
      <c r="V295" s="12">
        <f t="shared" si="102"/>
        <v>0</v>
      </c>
      <c r="W295" s="12">
        <f t="shared" si="102"/>
        <v>0</v>
      </c>
      <c r="X295" s="12">
        <f t="shared" si="102"/>
        <v>0</v>
      </c>
      <c r="Y295" s="12">
        <f t="shared" si="102"/>
        <v>0</v>
      </c>
      <c r="Z295" s="12">
        <f t="shared" si="102"/>
        <v>0</v>
      </c>
      <c r="AA295" s="12">
        <f t="shared" si="102"/>
        <v>0</v>
      </c>
      <c r="AB295" s="12">
        <f t="shared" si="102"/>
        <v>0</v>
      </c>
      <c r="AC295" s="12">
        <f t="shared" si="102"/>
        <v>0</v>
      </c>
      <c r="AD295" s="12">
        <f t="shared" si="102"/>
        <v>0</v>
      </c>
      <c r="AE295" s="12">
        <f t="shared" si="102"/>
        <v>0</v>
      </c>
      <c r="AF295" s="12">
        <f t="shared" si="102"/>
        <v>0</v>
      </c>
      <c r="AG295" s="12">
        <f t="shared" si="102"/>
        <v>0</v>
      </c>
      <c r="AH295" s="12">
        <f t="shared" si="102"/>
        <v>0</v>
      </c>
      <c r="AI295" s="12">
        <f t="shared" si="102"/>
        <v>1.42</v>
      </c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</row>
    <row r="296" spans="1:52" ht="14.4" outlineLevel="3">
      <c r="B296" s="286" t="s">
        <v>824</v>
      </c>
      <c r="C296" s="323" t="s">
        <v>927</v>
      </c>
      <c r="D296" s="323" t="s">
        <v>826</v>
      </c>
      <c r="E296" s="331"/>
      <c r="F296" s="331"/>
      <c r="G296" s="331"/>
      <c r="H296" s="331"/>
      <c r="I296" s="331"/>
      <c r="J296" s="331"/>
      <c r="K296" s="331"/>
      <c r="L296" s="331"/>
      <c r="M296" s="331"/>
      <c r="N296" s="331"/>
      <c r="O296" s="331"/>
      <c r="P296" s="331">
        <f>660/1000+760/1000*0.75</f>
        <v>1.23</v>
      </c>
      <c r="Q296" s="331"/>
      <c r="R296" s="331"/>
      <c r="S296" s="331"/>
      <c r="T296" s="331"/>
      <c r="U296" s="331"/>
      <c r="V296" s="331"/>
      <c r="W296" s="331"/>
      <c r="X296" s="331"/>
      <c r="Y296" s="331"/>
      <c r="Z296" s="331"/>
      <c r="AA296" s="331"/>
      <c r="AB296" s="331"/>
      <c r="AC296" s="331"/>
      <c r="AD296" s="331"/>
      <c r="AE296" s="331"/>
      <c r="AF296" s="331"/>
      <c r="AG296" s="331"/>
      <c r="AH296" s="331"/>
      <c r="AI296" s="331">
        <f t="shared" ref="AI296:AI297" si="103">SUM(E296:AH296)</f>
        <v>1.23</v>
      </c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</row>
    <row r="297" spans="1:52" ht="14.4" outlineLevel="3">
      <c r="B297" s="286" t="s">
        <v>74</v>
      </c>
      <c r="C297" s="323" t="s">
        <v>928</v>
      </c>
      <c r="D297" s="323" t="s">
        <v>826</v>
      </c>
      <c r="E297" s="331"/>
      <c r="F297" s="331"/>
      <c r="G297" s="331"/>
      <c r="H297" s="331"/>
      <c r="I297" s="331"/>
      <c r="J297" s="331"/>
      <c r="K297" s="331"/>
      <c r="L297" s="331"/>
      <c r="M297" s="331"/>
      <c r="N297" s="331"/>
      <c r="O297" s="331"/>
      <c r="P297" s="331">
        <f>760/1000*0.25</f>
        <v>0.19</v>
      </c>
      <c r="Q297" s="331"/>
      <c r="R297" s="331"/>
      <c r="S297" s="331"/>
      <c r="T297" s="331"/>
      <c r="U297" s="331"/>
      <c r="V297" s="331"/>
      <c r="W297" s="331"/>
      <c r="X297" s="331"/>
      <c r="Y297" s="331"/>
      <c r="Z297" s="331"/>
      <c r="AA297" s="331"/>
      <c r="AB297" s="331"/>
      <c r="AC297" s="331"/>
      <c r="AD297" s="331"/>
      <c r="AE297" s="331"/>
      <c r="AF297" s="331"/>
      <c r="AG297" s="331"/>
      <c r="AH297" s="331"/>
      <c r="AI297" s="331">
        <f t="shared" si="103"/>
        <v>0.19</v>
      </c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</row>
    <row r="298" spans="1:52" ht="14.4" outlineLevel="2">
      <c r="B298" s="10">
        <v>2</v>
      </c>
      <c r="C298" s="11" t="s">
        <v>867</v>
      </c>
      <c r="D298" s="11" t="s">
        <v>826</v>
      </c>
      <c r="E298" s="12">
        <f t="shared" ref="E298:AI298" si="104">SUM(E299:E300)</f>
        <v>0</v>
      </c>
      <c r="F298" s="12">
        <f t="shared" si="104"/>
        <v>0</v>
      </c>
      <c r="G298" s="12">
        <f t="shared" si="104"/>
        <v>0</v>
      </c>
      <c r="H298" s="12">
        <f t="shared" si="104"/>
        <v>0</v>
      </c>
      <c r="I298" s="12">
        <f t="shared" si="104"/>
        <v>0</v>
      </c>
      <c r="J298" s="12">
        <f t="shared" si="104"/>
        <v>0</v>
      </c>
      <c r="K298" s="12">
        <f t="shared" si="104"/>
        <v>0</v>
      </c>
      <c r="L298" s="12">
        <f t="shared" si="104"/>
        <v>0</v>
      </c>
      <c r="M298" s="12">
        <f t="shared" si="104"/>
        <v>0</v>
      </c>
      <c r="N298" s="12">
        <f t="shared" si="104"/>
        <v>0</v>
      </c>
      <c r="O298" s="12">
        <f t="shared" si="104"/>
        <v>0</v>
      </c>
      <c r="P298" s="12">
        <f t="shared" si="104"/>
        <v>-1.42</v>
      </c>
      <c r="Q298" s="12">
        <f t="shared" si="104"/>
        <v>0</v>
      </c>
      <c r="R298" s="12">
        <f t="shared" si="104"/>
        <v>0</v>
      </c>
      <c r="S298" s="12">
        <f t="shared" si="104"/>
        <v>0</v>
      </c>
      <c r="T298" s="12">
        <f t="shared" si="104"/>
        <v>0</v>
      </c>
      <c r="U298" s="12">
        <f t="shared" si="104"/>
        <v>0</v>
      </c>
      <c r="V298" s="12">
        <f t="shared" si="104"/>
        <v>0</v>
      </c>
      <c r="W298" s="12">
        <f t="shared" si="104"/>
        <v>0</v>
      </c>
      <c r="X298" s="12">
        <f t="shared" si="104"/>
        <v>0</v>
      </c>
      <c r="Y298" s="12">
        <f t="shared" si="104"/>
        <v>0</v>
      </c>
      <c r="Z298" s="12">
        <f t="shared" si="104"/>
        <v>0</v>
      </c>
      <c r="AA298" s="12">
        <f t="shared" si="104"/>
        <v>0</v>
      </c>
      <c r="AB298" s="12">
        <f t="shared" si="104"/>
        <v>0</v>
      </c>
      <c r="AC298" s="12">
        <f t="shared" si="104"/>
        <v>0</v>
      </c>
      <c r="AD298" s="12">
        <f t="shared" si="104"/>
        <v>0</v>
      </c>
      <c r="AE298" s="12">
        <f t="shared" si="104"/>
        <v>0</v>
      </c>
      <c r="AF298" s="12">
        <f t="shared" si="104"/>
        <v>0</v>
      </c>
      <c r="AG298" s="12">
        <f t="shared" si="104"/>
        <v>0</v>
      </c>
      <c r="AH298" s="12">
        <f t="shared" si="104"/>
        <v>0</v>
      </c>
      <c r="AI298" s="12">
        <f t="shared" si="104"/>
        <v>-1.42</v>
      </c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</row>
    <row r="299" spans="1:52" ht="14.4" outlineLevel="3">
      <c r="B299" s="286" t="s">
        <v>835</v>
      </c>
      <c r="C299" s="323" t="s">
        <v>927</v>
      </c>
      <c r="D299" s="323" t="s">
        <v>826</v>
      </c>
      <c r="E299" s="331"/>
      <c r="F299" s="331"/>
      <c r="G299" s="331"/>
      <c r="H299" s="331"/>
      <c r="I299" s="331"/>
      <c r="J299" s="331"/>
      <c r="K299" s="331"/>
      <c r="L299" s="331"/>
      <c r="M299" s="331"/>
      <c r="N299" s="331"/>
      <c r="O299" s="331"/>
      <c r="P299" s="331">
        <f>-P296</f>
        <v>-1.23</v>
      </c>
      <c r="Q299" s="331"/>
      <c r="R299" s="331"/>
      <c r="S299" s="331"/>
      <c r="T299" s="331"/>
      <c r="U299" s="331"/>
      <c r="V299" s="331"/>
      <c r="W299" s="331"/>
      <c r="X299" s="331"/>
      <c r="Y299" s="331"/>
      <c r="Z299" s="331"/>
      <c r="AA299" s="331"/>
      <c r="AB299" s="331"/>
      <c r="AC299" s="331"/>
      <c r="AD299" s="331"/>
      <c r="AE299" s="331"/>
      <c r="AF299" s="331"/>
      <c r="AG299" s="331"/>
      <c r="AH299" s="331"/>
      <c r="AI299" s="331">
        <f t="shared" ref="AI299:AI300" si="105">SUM(E299:AH299)</f>
        <v>-1.23</v>
      </c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</row>
    <row r="300" spans="1:52" ht="14.4" outlineLevel="3">
      <c r="B300" s="286" t="s">
        <v>199</v>
      </c>
      <c r="C300" s="323" t="s">
        <v>928</v>
      </c>
      <c r="D300" s="323" t="s">
        <v>826</v>
      </c>
      <c r="E300" s="331"/>
      <c r="F300" s="331"/>
      <c r="G300" s="331"/>
      <c r="H300" s="331"/>
      <c r="I300" s="331"/>
      <c r="J300" s="331"/>
      <c r="K300" s="331"/>
      <c r="L300" s="331"/>
      <c r="M300" s="331"/>
      <c r="N300" s="331"/>
      <c r="O300" s="331"/>
      <c r="P300" s="331">
        <f>-P297</f>
        <v>-0.19</v>
      </c>
      <c r="Q300" s="331"/>
      <c r="R300" s="331"/>
      <c r="S300" s="331"/>
      <c r="T300" s="331"/>
      <c r="U300" s="331"/>
      <c r="V300" s="331"/>
      <c r="W300" s="331"/>
      <c r="X300" s="331"/>
      <c r="Y300" s="331"/>
      <c r="Z300" s="331"/>
      <c r="AA300" s="331"/>
      <c r="AB300" s="331"/>
      <c r="AC300" s="331"/>
      <c r="AD300" s="331"/>
      <c r="AE300" s="331"/>
      <c r="AF300" s="331"/>
      <c r="AG300" s="331"/>
      <c r="AH300" s="331"/>
      <c r="AI300" s="332">
        <f t="shared" si="105"/>
        <v>-0.19</v>
      </c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</row>
    <row r="301" spans="1:52" ht="14.4" outlineLevel="2">
      <c r="A301" s="342"/>
      <c r="B301" s="10">
        <v>3</v>
      </c>
      <c r="C301" s="11" t="s">
        <v>868</v>
      </c>
      <c r="D301" s="11" t="s">
        <v>826</v>
      </c>
      <c r="E301" s="12">
        <f>E302+E303</f>
        <v>0</v>
      </c>
      <c r="F301" s="12">
        <f t="shared" ref="F301:AI301" si="106">F302+F303</f>
        <v>0</v>
      </c>
      <c r="G301" s="12">
        <f t="shared" si="106"/>
        <v>0</v>
      </c>
      <c r="H301" s="12">
        <f t="shared" si="106"/>
        <v>0</v>
      </c>
      <c r="I301" s="12">
        <f t="shared" si="106"/>
        <v>0</v>
      </c>
      <c r="J301" s="12">
        <f t="shared" si="106"/>
        <v>0</v>
      </c>
      <c r="K301" s="12">
        <f t="shared" si="106"/>
        <v>0</v>
      </c>
      <c r="L301" s="12">
        <f t="shared" si="106"/>
        <v>0</v>
      </c>
      <c r="M301" s="12">
        <f t="shared" si="106"/>
        <v>0</v>
      </c>
      <c r="N301" s="12">
        <f t="shared" si="106"/>
        <v>0</v>
      </c>
      <c r="O301" s="12">
        <f t="shared" si="106"/>
        <v>0</v>
      </c>
      <c r="P301" s="12">
        <f t="shared" si="106"/>
        <v>0</v>
      </c>
      <c r="Q301" s="12">
        <f t="shared" si="106"/>
        <v>0</v>
      </c>
      <c r="R301" s="12">
        <f t="shared" si="106"/>
        <v>0</v>
      </c>
      <c r="S301" s="12">
        <f t="shared" si="106"/>
        <v>0</v>
      </c>
      <c r="T301" s="12">
        <f t="shared" si="106"/>
        <v>0</v>
      </c>
      <c r="U301" s="12">
        <f t="shared" si="106"/>
        <v>0</v>
      </c>
      <c r="V301" s="12">
        <f t="shared" si="106"/>
        <v>0</v>
      </c>
      <c r="W301" s="12">
        <f t="shared" si="106"/>
        <v>0</v>
      </c>
      <c r="X301" s="12">
        <f t="shared" si="106"/>
        <v>0</v>
      </c>
      <c r="Y301" s="12">
        <f t="shared" si="106"/>
        <v>0</v>
      </c>
      <c r="Z301" s="12">
        <f t="shared" si="106"/>
        <v>0</v>
      </c>
      <c r="AA301" s="12">
        <f t="shared" si="106"/>
        <v>0</v>
      </c>
      <c r="AB301" s="12">
        <f t="shared" si="106"/>
        <v>0</v>
      </c>
      <c r="AC301" s="12">
        <f t="shared" si="106"/>
        <v>0</v>
      </c>
      <c r="AD301" s="12">
        <f t="shared" si="106"/>
        <v>0</v>
      </c>
      <c r="AE301" s="12">
        <f t="shared" si="106"/>
        <v>0</v>
      </c>
      <c r="AF301" s="12">
        <f t="shared" si="106"/>
        <v>0</v>
      </c>
      <c r="AG301" s="12">
        <f t="shared" si="106"/>
        <v>0</v>
      </c>
      <c r="AH301" s="12">
        <f t="shared" si="106"/>
        <v>0</v>
      </c>
      <c r="AI301" s="12">
        <f t="shared" si="106"/>
        <v>0</v>
      </c>
      <c r="AK301" s="9"/>
    </row>
    <row r="302" spans="1:52" ht="14.4" outlineLevel="3">
      <c r="B302" s="286" t="s">
        <v>842</v>
      </c>
      <c r="C302" s="323" t="s">
        <v>927</v>
      </c>
      <c r="D302" s="323" t="s">
        <v>826</v>
      </c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>
        <f t="shared" ref="AI302:AI303" si="107">SUM(E302:AH302)</f>
        <v>0</v>
      </c>
    </row>
    <row r="303" spans="1:52" ht="14.4" outlineLevel="3">
      <c r="B303" s="286" t="s">
        <v>203</v>
      </c>
      <c r="C303" s="323" t="s">
        <v>928</v>
      </c>
      <c r="D303" s="323" t="s">
        <v>826</v>
      </c>
      <c r="E303" s="23"/>
      <c r="F303" s="23"/>
      <c r="G303" s="23"/>
      <c r="H303" s="23"/>
      <c r="I303" s="23"/>
      <c r="J303" s="23"/>
      <c r="K303" s="23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24"/>
      <c r="AI303" s="24">
        <f t="shared" si="107"/>
        <v>0</v>
      </c>
    </row>
    <row r="304" spans="1:52" ht="14.4" outlineLevel="2">
      <c r="A304" s="342"/>
      <c r="B304" s="10">
        <v>4</v>
      </c>
      <c r="C304" s="11" t="s">
        <v>869</v>
      </c>
      <c r="D304" s="11" t="s">
        <v>826</v>
      </c>
      <c r="E304" s="12">
        <f>E305+E306</f>
        <v>0</v>
      </c>
      <c r="F304" s="12">
        <f t="shared" ref="F304:AI304" si="108">F305+F306</f>
        <v>0</v>
      </c>
      <c r="G304" s="12">
        <f t="shared" si="108"/>
        <v>0</v>
      </c>
      <c r="H304" s="12">
        <f t="shared" si="108"/>
        <v>0</v>
      </c>
      <c r="I304" s="12">
        <f t="shared" si="108"/>
        <v>0</v>
      </c>
      <c r="J304" s="12">
        <f t="shared" si="108"/>
        <v>0</v>
      </c>
      <c r="K304" s="12">
        <f t="shared" si="108"/>
        <v>0</v>
      </c>
      <c r="L304" s="12">
        <f t="shared" si="108"/>
        <v>0</v>
      </c>
      <c r="M304" s="12">
        <f t="shared" si="108"/>
        <v>0</v>
      </c>
      <c r="N304" s="12">
        <f t="shared" si="108"/>
        <v>0</v>
      </c>
      <c r="O304" s="12">
        <f t="shared" si="108"/>
        <v>0</v>
      </c>
      <c r="P304" s="12">
        <f t="shared" si="108"/>
        <v>0</v>
      </c>
      <c r="Q304" s="12">
        <f t="shared" si="108"/>
        <v>0</v>
      </c>
      <c r="R304" s="12">
        <f t="shared" si="108"/>
        <v>0</v>
      </c>
      <c r="S304" s="12">
        <f t="shared" si="108"/>
        <v>0</v>
      </c>
      <c r="T304" s="12">
        <f t="shared" si="108"/>
        <v>0</v>
      </c>
      <c r="U304" s="12">
        <f t="shared" si="108"/>
        <v>0</v>
      </c>
      <c r="V304" s="12">
        <f t="shared" si="108"/>
        <v>0</v>
      </c>
      <c r="W304" s="12">
        <f t="shared" si="108"/>
        <v>0</v>
      </c>
      <c r="X304" s="12">
        <f t="shared" si="108"/>
        <v>0</v>
      </c>
      <c r="Y304" s="12">
        <f t="shared" si="108"/>
        <v>0</v>
      </c>
      <c r="Z304" s="12">
        <f t="shared" si="108"/>
        <v>0</v>
      </c>
      <c r="AA304" s="12">
        <f t="shared" si="108"/>
        <v>0</v>
      </c>
      <c r="AB304" s="12">
        <f t="shared" si="108"/>
        <v>0</v>
      </c>
      <c r="AC304" s="12">
        <f t="shared" si="108"/>
        <v>0</v>
      </c>
      <c r="AD304" s="12">
        <f t="shared" si="108"/>
        <v>0</v>
      </c>
      <c r="AE304" s="12">
        <f t="shared" si="108"/>
        <v>0</v>
      </c>
      <c r="AF304" s="12">
        <f t="shared" si="108"/>
        <v>0</v>
      </c>
      <c r="AG304" s="12">
        <f t="shared" si="108"/>
        <v>0</v>
      </c>
      <c r="AH304" s="12">
        <f t="shared" si="108"/>
        <v>0</v>
      </c>
      <c r="AI304" s="12">
        <f t="shared" si="108"/>
        <v>0</v>
      </c>
      <c r="AK304" s="9"/>
    </row>
    <row r="305" spans="2:52" ht="14.4" outlineLevel="3">
      <c r="B305" s="286" t="s">
        <v>851</v>
      </c>
      <c r="C305" s="323" t="s">
        <v>927</v>
      </c>
      <c r="D305" s="323" t="s">
        <v>826</v>
      </c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>
        <f t="shared" ref="AI305:AI306" si="109">SUM(E305:AH305)</f>
        <v>0</v>
      </c>
    </row>
    <row r="306" spans="2:52" ht="14.4" outlineLevel="3">
      <c r="B306" s="286" t="s">
        <v>205</v>
      </c>
      <c r="C306" s="323" t="s">
        <v>928</v>
      </c>
      <c r="D306" s="323" t="s">
        <v>826</v>
      </c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4">
        <f t="shared" si="109"/>
        <v>0</v>
      </c>
    </row>
    <row r="307" spans="2:52" ht="14.4" outlineLevel="2">
      <c r="B307" s="10">
        <v>5</v>
      </c>
      <c r="C307" s="11" t="s">
        <v>887</v>
      </c>
      <c r="D307" s="11" t="s">
        <v>826</v>
      </c>
      <c r="E307" s="12">
        <f>E308+E309</f>
        <v>0</v>
      </c>
      <c r="F307" s="12">
        <f t="shared" ref="F307:AI307" si="110">F308+F309</f>
        <v>0</v>
      </c>
      <c r="G307" s="12">
        <f t="shared" si="110"/>
        <v>0</v>
      </c>
      <c r="H307" s="12">
        <f t="shared" si="110"/>
        <v>0</v>
      </c>
      <c r="I307" s="12">
        <f t="shared" si="110"/>
        <v>0</v>
      </c>
      <c r="J307" s="12">
        <f t="shared" si="110"/>
        <v>0</v>
      </c>
      <c r="K307" s="12">
        <f t="shared" si="110"/>
        <v>0</v>
      </c>
      <c r="L307" s="12">
        <f t="shared" si="110"/>
        <v>0</v>
      </c>
      <c r="M307" s="12">
        <f t="shared" si="110"/>
        <v>0</v>
      </c>
      <c r="N307" s="12">
        <f t="shared" si="110"/>
        <v>0</v>
      </c>
      <c r="O307" s="12">
        <f t="shared" si="110"/>
        <v>0</v>
      </c>
      <c r="P307" s="12">
        <f t="shared" si="110"/>
        <v>0</v>
      </c>
      <c r="Q307" s="12">
        <f t="shared" si="110"/>
        <v>0</v>
      </c>
      <c r="R307" s="12">
        <f t="shared" si="110"/>
        <v>0</v>
      </c>
      <c r="S307" s="12">
        <f t="shared" si="110"/>
        <v>0</v>
      </c>
      <c r="T307" s="12">
        <f t="shared" si="110"/>
        <v>0</v>
      </c>
      <c r="U307" s="12">
        <f t="shared" si="110"/>
        <v>0</v>
      </c>
      <c r="V307" s="12">
        <f t="shared" si="110"/>
        <v>0</v>
      </c>
      <c r="W307" s="12">
        <f t="shared" si="110"/>
        <v>0</v>
      </c>
      <c r="X307" s="12">
        <f t="shared" si="110"/>
        <v>0</v>
      </c>
      <c r="Y307" s="12">
        <f t="shared" si="110"/>
        <v>0</v>
      </c>
      <c r="Z307" s="12">
        <f t="shared" si="110"/>
        <v>0</v>
      </c>
      <c r="AA307" s="12">
        <f t="shared" si="110"/>
        <v>0</v>
      </c>
      <c r="AB307" s="12">
        <f t="shared" si="110"/>
        <v>0</v>
      </c>
      <c r="AC307" s="12">
        <f t="shared" si="110"/>
        <v>0</v>
      </c>
      <c r="AD307" s="12">
        <f t="shared" si="110"/>
        <v>0</v>
      </c>
      <c r="AE307" s="12">
        <f t="shared" si="110"/>
        <v>0</v>
      </c>
      <c r="AF307" s="12">
        <f t="shared" si="110"/>
        <v>0</v>
      </c>
      <c r="AG307" s="12">
        <f t="shared" si="110"/>
        <v>0</v>
      </c>
      <c r="AH307" s="12">
        <f t="shared" si="110"/>
        <v>0</v>
      </c>
      <c r="AI307" s="12">
        <f t="shared" si="110"/>
        <v>0</v>
      </c>
    </row>
    <row r="308" spans="2:52" ht="14.4" outlineLevel="3">
      <c r="B308" s="286" t="s">
        <v>888</v>
      </c>
      <c r="C308" s="323" t="s">
        <v>927</v>
      </c>
      <c r="D308" s="323" t="s">
        <v>826</v>
      </c>
      <c r="E308" s="331"/>
      <c r="F308" s="331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331"/>
      <c r="R308" s="331"/>
      <c r="S308" s="331"/>
      <c r="T308" s="331"/>
      <c r="U308" s="331"/>
      <c r="V308" s="331"/>
      <c r="W308" s="331"/>
      <c r="X308" s="331"/>
      <c r="Y308" s="331"/>
      <c r="Z308" s="331"/>
      <c r="AA308" s="331"/>
      <c r="AB308" s="331"/>
      <c r="AC308" s="331"/>
      <c r="AD308" s="331"/>
      <c r="AE308" s="331"/>
      <c r="AF308" s="331"/>
      <c r="AG308" s="331"/>
      <c r="AH308" s="331"/>
      <c r="AI308" s="331">
        <f>SUM(E308:AH308)</f>
        <v>0</v>
      </c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</row>
    <row r="309" spans="2:52" ht="14.4" outlineLevel="3">
      <c r="B309" s="286" t="s">
        <v>889</v>
      </c>
      <c r="C309" s="323" t="s">
        <v>928</v>
      </c>
      <c r="D309" s="323" t="s">
        <v>826</v>
      </c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  <c r="AH309" s="24"/>
      <c r="AI309" s="24">
        <f>SUM(E309:AH309)</f>
        <v>0</v>
      </c>
    </row>
    <row r="310" spans="2:52" ht="14.4" outlineLevel="2">
      <c r="B310" s="10">
        <v>6</v>
      </c>
      <c r="C310" s="11" t="s">
        <v>896</v>
      </c>
      <c r="D310" s="11" t="s">
        <v>826</v>
      </c>
      <c r="E310" s="12">
        <f>E311+E312</f>
        <v>0</v>
      </c>
      <c r="F310" s="12">
        <f t="shared" ref="F310:AI310" si="111">F311+F312</f>
        <v>0</v>
      </c>
      <c r="G310" s="12">
        <f t="shared" si="111"/>
        <v>0</v>
      </c>
      <c r="H310" s="12">
        <f t="shared" si="111"/>
        <v>0</v>
      </c>
      <c r="I310" s="12">
        <f t="shared" si="111"/>
        <v>0</v>
      </c>
      <c r="J310" s="12">
        <f t="shared" si="111"/>
        <v>0</v>
      </c>
      <c r="K310" s="12">
        <f t="shared" si="111"/>
        <v>0</v>
      </c>
      <c r="L310" s="12">
        <f t="shared" si="111"/>
        <v>0</v>
      </c>
      <c r="M310" s="12">
        <f t="shared" si="111"/>
        <v>0</v>
      </c>
      <c r="N310" s="12">
        <f t="shared" si="111"/>
        <v>0</v>
      </c>
      <c r="O310" s="12">
        <f t="shared" si="111"/>
        <v>0</v>
      </c>
      <c r="P310" s="12">
        <f t="shared" si="111"/>
        <v>0</v>
      </c>
      <c r="Q310" s="12">
        <f t="shared" si="111"/>
        <v>0</v>
      </c>
      <c r="R310" s="12">
        <f t="shared" si="111"/>
        <v>0</v>
      </c>
      <c r="S310" s="12">
        <f t="shared" si="111"/>
        <v>0</v>
      </c>
      <c r="T310" s="12">
        <f t="shared" si="111"/>
        <v>0</v>
      </c>
      <c r="U310" s="12">
        <f t="shared" si="111"/>
        <v>0</v>
      </c>
      <c r="V310" s="12">
        <f t="shared" si="111"/>
        <v>0</v>
      </c>
      <c r="W310" s="12">
        <f t="shared" si="111"/>
        <v>0</v>
      </c>
      <c r="X310" s="12">
        <f t="shared" si="111"/>
        <v>0</v>
      </c>
      <c r="Y310" s="12">
        <f t="shared" si="111"/>
        <v>0</v>
      </c>
      <c r="Z310" s="12">
        <f t="shared" si="111"/>
        <v>0</v>
      </c>
      <c r="AA310" s="12">
        <f t="shared" si="111"/>
        <v>0</v>
      </c>
      <c r="AB310" s="12">
        <f t="shared" si="111"/>
        <v>0</v>
      </c>
      <c r="AC310" s="12">
        <f t="shared" si="111"/>
        <v>0</v>
      </c>
      <c r="AD310" s="12">
        <f t="shared" si="111"/>
        <v>0</v>
      </c>
      <c r="AE310" s="12">
        <f t="shared" si="111"/>
        <v>0</v>
      </c>
      <c r="AF310" s="12">
        <f t="shared" si="111"/>
        <v>0</v>
      </c>
      <c r="AG310" s="12">
        <f t="shared" si="111"/>
        <v>0</v>
      </c>
      <c r="AH310" s="12">
        <f t="shared" si="111"/>
        <v>0</v>
      </c>
      <c r="AI310" s="12">
        <f t="shared" si="111"/>
        <v>0</v>
      </c>
    </row>
    <row r="311" spans="2:52" ht="14.4" outlineLevel="3">
      <c r="B311" s="286" t="s">
        <v>897</v>
      </c>
      <c r="C311" s="323" t="s">
        <v>927</v>
      </c>
      <c r="D311" s="323" t="s">
        <v>826</v>
      </c>
      <c r="E311" s="331"/>
      <c r="F311" s="331"/>
      <c r="G311" s="331"/>
      <c r="H311" s="331"/>
      <c r="I311" s="331"/>
      <c r="J311" s="331"/>
      <c r="K311" s="331"/>
      <c r="L311" s="331"/>
      <c r="M311" s="331"/>
      <c r="N311" s="331"/>
      <c r="O311" s="331"/>
      <c r="P311" s="331"/>
      <c r="Q311" s="331"/>
      <c r="R311" s="331"/>
      <c r="S311" s="331"/>
      <c r="T311" s="331"/>
      <c r="U311" s="331"/>
      <c r="V311" s="331"/>
      <c r="W311" s="331"/>
      <c r="X311" s="331"/>
      <c r="Y311" s="331"/>
      <c r="Z311" s="331"/>
      <c r="AA311" s="331"/>
      <c r="AB311" s="331"/>
      <c r="AC311" s="331"/>
      <c r="AD311" s="331"/>
      <c r="AE311" s="331"/>
      <c r="AF311" s="331"/>
      <c r="AG311" s="331"/>
      <c r="AH311" s="331"/>
      <c r="AI311" s="331">
        <f t="shared" ref="AI311:AI312" si="112">SUM(E311:AH311)</f>
        <v>0</v>
      </c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</row>
    <row r="312" spans="2:52" ht="14.4" outlineLevel="3">
      <c r="B312" s="286" t="s">
        <v>208</v>
      </c>
      <c r="C312" s="323" t="s">
        <v>928</v>
      </c>
      <c r="D312" s="323" t="s">
        <v>826</v>
      </c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  <c r="AH312" s="24"/>
      <c r="AI312" s="24">
        <f t="shared" si="112"/>
        <v>0</v>
      </c>
    </row>
    <row r="313" spans="2:52" ht="14.4" outlineLevel="1">
      <c r="B313" s="403" t="s">
        <v>904</v>
      </c>
      <c r="C313" s="404"/>
      <c r="D313" s="66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8" t="s">
        <v>821</v>
      </c>
    </row>
    <row r="314" spans="2:52" ht="14.4" outlineLevel="2">
      <c r="B314" s="10">
        <v>1</v>
      </c>
      <c r="C314" s="11" t="s">
        <v>905</v>
      </c>
      <c r="D314" s="11" t="s">
        <v>826</v>
      </c>
      <c r="E314" s="12">
        <f t="shared" ref="E314:AI314" si="113">SUM(E315:E316)</f>
        <v>0</v>
      </c>
      <c r="F314" s="12">
        <f t="shared" si="113"/>
        <v>0</v>
      </c>
      <c r="G314" s="12">
        <f t="shared" si="113"/>
        <v>0</v>
      </c>
      <c r="H314" s="12">
        <f t="shared" si="113"/>
        <v>0</v>
      </c>
      <c r="I314" s="12">
        <f t="shared" si="113"/>
        <v>0</v>
      </c>
      <c r="J314" s="12">
        <f t="shared" si="113"/>
        <v>8.4440000000000008</v>
      </c>
      <c r="K314" s="12">
        <f t="shared" si="113"/>
        <v>8.4440000000000008</v>
      </c>
      <c r="L314" s="12">
        <f t="shared" si="113"/>
        <v>8.4440000000000008</v>
      </c>
      <c r="M314" s="12">
        <f t="shared" si="113"/>
        <v>8.4440000000000008</v>
      </c>
      <c r="N314" s="12">
        <f t="shared" si="113"/>
        <v>8.4440000000000008</v>
      </c>
      <c r="O314" s="12">
        <f t="shared" si="113"/>
        <v>8.4440000000000008</v>
      </c>
      <c r="P314" s="12">
        <f t="shared" si="113"/>
        <v>8.4440000000000008</v>
      </c>
      <c r="Q314" s="12">
        <f t="shared" si="113"/>
        <v>8.4440000000000008</v>
      </c>
      <c r="R314" s="12">
        <f t="shared" si="113"/>
        <v>8.4440000000000008</v>
      </c>
      <c r="S314" s="12">
        <f t="shared" si="113"/>
        <v>8.4440000000000008</v>
      </c>
      <c r="T314" s="12">
        <f t="shared" si="113"/>
        <v>8.4440000000000008</v>
      </c>
      <c r="U314" s="12">
        <f t="shared" si="113"/>
        <v>8.4440000000000008</v>
      </c>
      <c r="V314" s="12">
        <f t="shared" si="113"/>
        <v>8.4440000000000008</v>
      </c>
      <c r="W314" s="12">
        <f t="shared" si="113"/>
        <v>8.4440000000000008</v>
      </c>
      <c r="X314" s="12">
        <f t="shared" si="113"/>
        <v>8.4440000000000008</v>
      </c>
      <c r="Y314" s="12">
        <f t="shared" si="113"/>
        <v>8.4440000000000008</v>
      </c>
      <c r="Z314" s="12">
        <f t="shared" si="113"/>
        <v>8.4440000000000008</v>
      </c>
      <c r="AA314" s="12">
        <f t="shared" si="113"/>
        <v>8.4440000000000008</v>
      </c>
      <c r="AB314" s="12">
        <f t="shared" si="113"/>
        <v>8.4440000000000008</v>
      </c>
      <c r="AC314" s="12">
        <f t="shared" si="113"/>
        <v>8.4440000000000008</v>
      </c>
      <c r="AD314" s="12">
        <f t="shared" si="113"/>
        <v>8.4440000000000008</v>
      </c>
      <c r="AE314" s="12">
        <f t="shared" si="113"/>
        <v>8.4440000000000008</v>
      </c>
      <c r="AF314" s="12">
        <f t="shared" si="113"/>
        <v>8.4440000000000008</v>
      </c>
      <c r="AG314" s="12">
        <f t="shared" si="113"/>
        <v>8.4440000000000008</v>
      </c>
      <c r="AH314" s="12">
        <f t="shared" si="113"/>
        <v>8.4440000000000008</v>
      </c>
      <c r="AI314" s="12">
        <f t="shared" si="113"/>
        <v>211.09999999999994</v>
      </c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</row>
    <row r="315" spans="2:52" ht="14.4" outlineLevel="3">
      <c r="B315" s="286" t="s">
        <v>824</v>
      </c>
      <c r="C315" s="323" t="s">
        <v>927</v>
      </c>
      <c r="D315" s="323" t="s">
        <v>826</v>
      </c>
      <c r="E315" s="331">
        <f>E263+E267+E271+SUM($E302:E302)+SUM($E305:E305)+SUM($E308:E308)*0.085+SUM($E311:E311)</f>
        <v>0</v>
      </c>
      <c r="F315" s="331">
        <f>F263+F267+F271+SUM($E302:F302)+SUM($E305:F305)+SUM($E308:F308)*0.085+SUM($E311:F311)</f>
        <v>0</v>
      </c>
      <c r="G315" s="331">
        <f>G263+G267+G271+SUM($E302:G302)+SUM($E305:G305)+SUM($E308:G308)*0.085+SUM($E311:G311)</f>
        <v>0</v>
      </c>
      <c r="H315" s="331">
        <f>H263+H267+H271+SUM($E302:H302)+SUM($E305:H305)+SUM($E308:H308)*0.085+SUM($E311:H311)</f>
        <v>0</v>
      </c>
      <c r="I315" s="331">
        <f>I263+I267+I271+SUM($E302:I302)+SUM($E305:I305)+SUM($E308:I308)*0.085+SUM($E311:I311)</f>
        <v>0</v>
      </c>
      <c r="J315" s="331">
        <f>J263+J267+J271+SUM($E302:J302)+SUM($E305:J305)+SUM($E308:J308)*0.085+SUM($E311:J311)</f>
        <v>6.6</v>
      </c>
      <c r="K315" s="331">
        <f>K263+K267+K271+SUM($E302:K302)+SUM($E305:K305)+SUM($E308:K308)*0.085+SUM($E311:K311)</f>
        <v>6.6</v>
      </c>
      <c r="L315" s="331">
        <f>L263+L267+L271+SUM($E302:L302)+SUM($E305:L305)+SUM($E308:L308)*0.085+SUM($E311:L311)</f>
        <v>6.6</v>
      </c>
      <c r="M315" s="331">
        <f>M263+M267+M271+SUM($E302:M302)+SUM($E305:M305)+SUM($E308:M308)*0.085+SUM($E311:M311)</f>
        <v>6.6</v>
      </c>
      <c r="N315" s="331">
        <f>N263+N267+N271+SUM($E302:N302)+SUM($E305:N305)+SUM($E308:N308)*0.085+SUM($E311:N311)</f>
        <v>6.6</v>
      </c>
      <c r="O315" s="331">
        <f>O263+O267+O271+SUM($E302:O302)+SUM($E305:O305)+SUM($E308:O308)*0.085+SUM($E311:O311)</f>
        <v>6.6</v>
      </c>
      <c r="P315" s="331">
        <f>P263+P267+P271+SUM($E302:P302)+SUM($E305:P305)+SUM($E308:P308)*0.085+SUM($E311:P311)</f>
        <v>6.6</v>
      </c>
      <c r="Q315" s="331">
        <f>Q263+Q267+Q271+SUM($E302:Q302)+SUM($E305:Q305)+SUM($E308:Q308)*0.085+SUM($E311:Q311)</f>
        <v>6.6</v>
      </c>
      <c r="R315" s="331">
        <f>R263+R267+R271+SUM($E302:R302)+SUM($E305:R305)+SUM($E308:R308)*0.085+SUM($E311:R311)</f>
        <v>6.6</v>
      </c>
      <c r="S315" s="331">
        <f>S263+S267+S271+SUM($E302:S302)+SUM($E305:S305)+SUM($E308:S308)*0.085+SUM($E311:S311)</f>
        <v>6.6</v>
      </c>
      <c r="T315" s="331">
        <f>T263+T267+T271+SUM($E302:T302)+SUM($E305:T305)+SUM($E308:T308)*0.085+SUM($E311:T311)</f>
        <v>6.6</v>
      </c>
      <c r="U315" s="331">
        <f>U263+U267+U271+SUM($E302:U302)+SUM($E305:U305)+SUM($E308:U308)*0.085+SUM($E311:U311)</f>
        <v>6.6</v>
      </c>
      <c r="V315" s="331">
        <f>V263+V267+V271+SUM($E302:V302)+SUM($E305:V305)+SUM($E308:V308)*0.085+SUM($E311:V311)</f>
        <v>6.6</v>
      </c>
      <c r="W315" s="331">
        <f>W263+W267+W271+SUM($E302:W302)+SUM($E305:W305)+SUM($E308:W308)*0.085+SUM($E311:W311)</f>
        <v>6.6</v>
      </c>
      <c r="X315" s="331">
        <f>X263+X267+X271+SUM($E302:X302)+SUM($E305:X305)+SUM($E308:X308)*0.085+SUM($E311:X311)</f>
        <v>6.6</v>
      </c>
      <c r="Y315" s="331">
        <f>Y263+Y267+Y271+SUM($E302:Y302)+SUM($E305:Y305)+SUM($E308:Y308)*0.085+SUM($E311:Y311)</f>
        <v>6.6</v>
      </c>
      <c r="Z315" s="331">
        <f>Z263+Z267+Z271+SUM($E302:Z302)+SUM($E305:Z305)+SUM($E308:Z308)*0.085+SUM($E311:Z311)</f>
        <v>6.6</v>
      </c>
      <c r="AA315" s="331">
        <f>AA263+AA267+AA271+SUM($E302:AA302)+SUM($E305:AA305)+SUM($E308:AA308)*0.085+SUM($E311:AA311)</f>
        <v>6.6</v>
      </c>
      <c r="AB315" s="331">
        <f>AB263+AB267+AB271+SUM($E302:AB302)+SUM($E305:AB305)+SUM($E308:AB308)*0.085+SUM($E311:AB311)</f>
        <v>6.6</v>
      </c>
      <c r="AC315" s="331">
        <f>AC263+AC267+AC271+SUM($E302:AC302)+SUM($E305:AC305)+SUM($E308:AC308)*0.085+SUM($E311:AC311)</f>
        <v>6.6</v>
      </c>
      <c r="AD315" s="331">
        <f>AD263+AD267+AD271+SUM($E302:AD302)+SUM($E305:AD305)+SUM($E308:AD308)*0.085+SUM($E311:AD311)</f>
        <v>6.6</v>
      </c>
      <c r="AE315" s="331">
        <f>AE263+AE267+AE271+SUM($E302:AE302)+SUM($E305:AE305)+SUM($E308:AE308)*0.085+SUM($E311:AE311)</f>
        <v>6.6</v>
      </c>
      <c r="AF315" s="331">
        <f>AF263+AF267+AF271+SUM($E302:AF302)+SUM($E305:AF305)+SUM($E308:AF308)*0.085+SUM($E311:AF311)</f>
        <v>6.6</v>
      </c>
      <c r="AG315" s="331">
        <f>AG263+AG267+AG271+SUM($E302:AG302)+SUM($E305:AG305)+SUM($E308:AG308)*0.085+SUM($E311:AG311)</f>
        <v>6.6</v>
      </c>
      <c r="AH315" s="331">
        <f>AH263+AH267+AH271+SUM($E302:AH302)+SUM($E305:AH305)+SUM($E308:AH308)*0.085+SUM($E311:AH311)</f>
        <v>6.6</v>
      </c>
      <c r="AI315" s="331">
        <f t="shared" ref="AI315:AI316" si="114">SUM(E315:AH315)</f>
        <v>164.99999999999991</v>
      </c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</row>
    <row r="316" spans="2:52" ht="14.4" outlineLevel="3">
      <c r="B316" s="286" t="s">
        <v>74</v>
      </c>
      <c r="C316" s="323" t="s">
        <v>928</v>
      </c>
      <c r="D316" s="323" t="s">
        <v>826</v>
      </c>
      <c r="E316" s="331">
        <f>E264+E268+E272+SUM($E303:E303)+SUM($E306:E306)+SUM($E309:E309)*0.085+SUM($E312:E312)</f>
        <v>0</v>
      </c>
      <c r="F316" s="331">
        <f>F264+F268+F272+SUM($E303:F303)+SUM($E306:F306)+SUM($E309:F309)*0.085+SUM($E312:F312)</f>
        <v>0</v>
      </c>
      <c r="G316" s="331">
        <f>G264+G268+G272+SUM($E303:G303)+SUM($E306:G306)+SUM($E309:G309)*0.085+SUM($E312:G312)</f>
        <v>0</v>
      </c>
      <c r="H316" s="331">
        <f>H264+H268+H272+SUM($E303:H303)+SUM($E306:H306)+SUM($E309:H309)*0.085+SUM($E312:H312)</f>
        <v>0</v>
      </c>
      <c r="I316" s="331">
        <f>I264+I268+I272+SUM($E303:I303)+SUM($E306:I306)+SUM($E309:I309)*0.085+SUM($E312:I312)</f>
        <v>0</v>
      </c>
      <c r="J316" s="331">
        <f>J264+J268+J272+SUM($E303:J303)+SUM($E306:J306)+SUM($E309:J309)*0.085+SUM($E312:J312)</f>
        <v>1.8440000000000012</v>
      </c>
      <c r="K316" s="331">
        <f>K264+K268+K272+SUM($E303:K303)+SUM($E306:K306)+SUM($E309:K309)*0.085+SUM($E312:K312)</f>
        <v>1.8440000000000012</v>
      </c>
      <c r="L316" s="331">
        <f>L264+L268+L272+SUM($E303:L303)+SUM($E306:L306)+SUM($E309:L309)*0.085+SUM($E312:L312)</f>
        <v>1.8440000000000012</v>
      </c>
      <c r="M316" s="331">
        <f>M264+M268+M272+SUM($E303:M303)+SUM($E306:M306)+SUM($E309:M309)*0.085+SUM($E312:M312)</f>
        <v>1.8440000000000012</v>
      </c>
      <c r="N316" s="331">
        <f>N264+N268+N272+SUM($E303:N303)+SUM($E306:N306)+SUM($E309:N309)*0.085+SUM($E312:N312)</f>
        <v>1.8440000000000012</v>
      </c>
      <c r="O316" s="331">
        <f>O264+O268+O272+SUM($E303:O303)+SUM($E306:O306)+SUM($E309:O309)*0.085+SUM($E312:O312)</f>
        <v>1.8440000000000012</v>
      </c>
      <c r="P316" s="331">
        <f>P264+P268+P272+SUM($E303:P303)+SUM($E306:P306)+SUM($E309:P309)*0.085+SUM($E312:P312)</f>
        <v>1.8440000000000012</v>
      </c>
      <c r="Q316" s="331">
        <f>Q264+Q268+Q272+SUM($E303:Q303)+SUM($E306:Q306)+SUM($E309:Q309)*0.085+SUM($E312:Q312)</f>
        <v>1.8440000000000012</v>
      </c>
      <c r="R316" s="331">
        <f>R264+R268+R272+SUM($E303:R303)+SUM($E306:R306)+SUM($E309:R309)*0.085+SUM($E312:R312)</f>
        <v>1.8440000000000012</v>
      </c>
      <c r="S316" s="331">
        <f>S264+S268+S272+SUM($E303:S303)+SUM($E306:S306)+SUM($E309:S309)*0.085+SUM($E312:S312)</f>
        <v>1.8440000000000012</v>
      </c>
      <c r="T316" s="331">
        <f>T264+T268+T272+SUM($E303:T303)+SUM($E306:T306)+SUM($E309:T309)*0.085+SUM($E312:T312)</f>
        <v>1.8440000000000012</v>
      </c>
      <c r="U316" s="331">
        <f>U264+U268+U272+SUM($E303:U303)+SUM($E306:U306)+SUM($E309:U309)*0.085+SUM($E312:U312)</f>
        <v>1.8440000000000012</v>
      </c>
      <c r="V316" s="331">
        <f>V264+V268+V272+SUM($E303:V303)+SUM($E306:V306)+SUM($E309:V309)*0.085+SUM($E312:V312)</f>
        <v>1.8440000000000012</v>
      </c>
      <c r="W316" s="331">
        <f>W264+W268+W272+SUM($E303:W303)+SUM($E306:W306)+SUM($E309:W309)*0.085+SUM($E312:W312)</f>
        <v>1.8440000000000012</v>
      </c>
      <c r="X316" s="331">
        <f>X264+X268+X272+SUM($E303:X303)+SUM($E306:X306)+SUM($E309:X309)*0.085+SUM($E312:X312)</f>
        <v>1.8440000000000012</v>
      </c>
      <c r="Y316" s="331">
        <f>Y264+Y268+Y272+SUM($E303:Y303)+SUM($E306:Y306)+SUM($E309:Y309)*0.085+SUM($E312:Y312)</f>
        <v>1.8440000000000012</v>
      </c>
      <c r="Z316" s="331">
        <f>Z264+Z268+Z272+SUM($E303:Z303)+SUM($E306:Z306)+SUM($E309:Z309)*0.085+SUM($E312:Z312)</f>
        <v>1.8440000000000012</v>
      </c>
      <c r="AA316" s="331">
        <f>AA264+AA268+AA272+SUM($E303:AA303)+SUM($E306:AA306)+SUM($E309:AA309)*0.085+SUM($E312:AA312)</f>
        <v>1.8440000000000012</v>
      </c>
      <c r="AB316" s="331">
        <f>AB264+AB268+AB272+SUM($E303:AB303)+SUM($E306:AB306)+SUM($E309:AB309)*0.085+SUM($E312:AB312)</f>
        <v>1.8440000000000012</v>
      </c>
      <c r="AC316" s="331">
        <f>AC264+AC268+AC272+SUM($E303:AC303)+SUM($E306:AC306)+SUM($E309:AC309)*0.085+SUM($E312:AC312)</f>
        <v>1.8440000000000012</v>
      </c>
      <c r="AD316" s="331">
        <f>AD264+AD268+AD272+SUM($E303:AD303)+SUM($E306:AD306)+SUM($E309:AD309)*0.085+SUM($E312:AD312)</f>
        <v>1.8440000000000012</v>
      </c>
      <c r="AE316" s="331">
        <f>AE264+AE268+AE272+SUM($E303:AE303)+SUM($E306:AE306)+SUM($E309:AE309)*0.085+SUM($E312:AE312)</f>
        <v>1.8440000000000012</v>
      </c>
      <c r="AF316" s="331">
        <f>AF264+AF268+AF272+SUM($E303:AF303)+SUM($E306:AF306)+SUM($E309:AF309)*0.085+SUM($E312:AF312)</f>
        <v>1.8440000000000012</v>
      </c>
      <c r="AG316" s="331">
        <f>AG264+AG268+AG272+SUM($E303:AG303)+SUM($E306:AG306)+SUM($E309:AG309)*0.085+SUM($E312:AG312)</f>
        <v>1.8440000000000012</v>
      </c>
      <c r="AH316" s="331">
        <f>AH264+AH268+AH272+SUM($E303:AH303)+SUM($E306:AH306)+SUM($E309:AH309)*0.085+SUM($E312:AH312)</f>
        <v>1.8440000000000012</v>
      </c>
      <c r="AI316" s="331">
        <f t="shared" si="114"/>
        <v>46.10000000000003</v>
      </c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</row>
    <row r="317" spans="2:52" ht="14.4" outlineLevel="1">
      <c r="B317" s="403" t="s">
        <v>906</v>
      </c>
      <c r="C317" s="404"/>
      <c r="D317" s="66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8" t="s">
        <v>821</v>
      </c>
    </row>
    <row r="318" spans="2:52" ht="14.4" outlineLevel="2">
      <c r="B318" s="10">
        <v>2</v>
      </c>
      <c r="C318" s="11" t="s">
        <v>907</v>
      </c>
      <c r="D318" s="11" t="s">
        <v>826</v>
      </c>
      <c r="E318" s="12">
        <f t="shared" ref="E318:AI318" si="115">SUM(E319:E320)</f>
        <v>0</v>
      </c>
      <c r="F318" s="12">
        <f t="shared" si="115"/>
        <v>0</v>
      </c>
      <c r="G318" s="12">
        <f t="shared" si="115"/>
        <v>0</v>
      </c>
      <c r="H318" s="12">
        <f t="shared" si="115"/>
        <v>0</v>
      </c>
      <c r="I318" s="12">
        <f t="shared" si="115"/>
        <v>0</v>
      </c>
      <c r="J318" s="12">
        <f t="shared" si="115"/>
        <v>0</v>
      </c>
      <c r="K318" s="12">
        <f t="shared" si="115"/>
        <v>0</v>
      </c>
      <c r="L318" s="12">
        <f t="shared" si="115"/>
        <v>0</v>
      </c>
      <c r="M318" s="12">
        <f t="shared" si="115"/>
        <v>0</v>
      </c>
      <c r="N318" s="12">
        <f t="shared" si="115"/>
        <v>0</v>
      </c>
      <c r="O318" s="12">
        <f t="shared" si="115"/>
        <v>0</v>
      </c>
      <c r="P318" s="12">
        <f t="shared" si="115"/>
        <v>1.42</v>
      </c>
      <c r="Q318" s="12">
        <f t="shared" si="115"/>
        <v>1.42</v>
      </c>
      <c r="R318" s="12">
        <f t="shared" si="115"/>
        <v>1.42</v>
      </c>
      <c r="S318" s="12">
        <f t="shared" si="115"/>
        <v>1.42</v>
      </c>
      <c r="T318" s="12">
        <f t="shared" si="115"/>
        <v>1.42</v>
      </c>
      <c r="U318" s="12">
        <f t="shared" si="115"/>
        <v>1.42</v>
      </c>
      <c r="V318" s="12">
        <f t="shared" si="115"/>
        <v>1.42</v>
      </c>
      <c r="W318" s="12">
        <f t="shared" si="115"/>
        <v>1.42</v>
      </c>
      <c r="X318" s="12">
        <f t="shared" si="115"/>
        <v>1.42</v>
      </c>
      <c r="Y318" s="12">
        <f t="shared" si="115"/>
        <v>1.42</v>
      </c>
      <c r="Z318" s="12">
        <f t="shared" si="115"/>
        <v>1.42</v>
      </c>
      <c r="AA318" s="12">
        <f t="shared" si="115"/>
        <v>1.42</v>
      </c>
      <c r="AB318" s="12">
        <f t="shared" si="115"/>
        <v>1.42</v>
      </c>
      <c r="AC318" s="12">
        <f t="shared" si="115"/>
        <v>1.42</v>
      </c>
      <c r="AD318" s="12">
        <f t="shared" si="115"/>
        <v>1.42</v>
      </c>
      <c r="AE318" s="12">
        <f t="shared" si="115"/>
        <v>1.42</v>
      </c>
      <c r="AF318" s="12">
        <f t="shared" si="115"/>
        <v>1.42</v>
      </c>
      <c r="AG318" s="12">
        <f t="shared" si="115"/>
        <v>1.42</v>
      </c>
      <c r="AH318" s="12">
        <f t="shared" si="115"/>
        <v>1.42</v>
      </c>
      <c r="AI318" s="12">
        <f t="shared" si="115"/>
        <v>26.980000000000004</v>
      </c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</row>
    <row r="319" spans="2:52" ht="14.4" outlineLevel="3">
      <c r="B319" s="286" t="s">
        <v>835</v>
      </c>
      <c r="C319" s="323" t="s">
        <v>927</v>
      </c>
      <c r="D319" s="323" t="s">
        <v>826</v>
      </c>
      <c r="E319" s="331">
        <f>SUM($E296:E296)+E275</f>
        <v>0</v>
      </c>
      <c r="F319" s="331">
        <f>SUM($E296:F296)+F275</f>
        <v>0</v>
      </c>
      <c r="G319" s="331">
        <f>SUM($E296:G296)+G275</f>
        <v>0</v>
      </c>
      <c r="H319" s="331">
        <f>SUM($E296:H296)+H275</f>
        <v>0</v>
      </c>
      <c r="I319" s="331">
        <f>SUM($E296:I296)+I275</f>
        <v>0</v>
      </c>
      <c r="J319" s="331">
        <f>SUM($E296:J296)+J275</f>
        <v>0</v>
      </c>
      <c r="K319" s="331">
        <f>SUM($E296:K296)+K275</f>
        <v>0</v>
      </c>
      <c r="L319" s="331">
        <f>SUM($E296:L296)+L275</f>
        <v>0</v>
      </c>
      <c r="M319" s="331">
        <f>SUM($E296:M296)+M275</f>
        <v>0</v>
      </c>
      <c r="N319" s="331">
        <f>SUM($E296:N296)+N275</f>
        <v>0</v>
      </c>
      <c r="O319" s="331">
        <f>SUM($E296:O296)+O275</f>
        <v>0</v>
      </c>
      <c r="P319" s="331">
        <f>SUM($E296:P296)+P275</f>
        <v>1.23</v>
      </c>
      <c r="Q319" s="331">
        <f>SUM($E296:Q296)+Q275</f>
        <v>1.23</v>
      </c>
      <c r="R319" s="331">
        <f>SUM($E296:R296)+R275</f>
        <v>1.23</v>
      </c>
      <c r="S319" s="331">
        <f>SUM($E296:S296)+S275</f>
        <v>1.23</v>
      </c>
      <c r="T319" s="331">
        <f>SUM($E296:T296)+T275</f>
        <v>1.23</v>
      </c>
      <c r="U319" s="331">
        <f>SUM($E296:U296)+U275</f>
        <v>1.23</v>
      </c>
      <c r="V319" s="331">
        <f>SUM($E296:V296)+V275</f>
        <v>1.23</v>
      </c>
      <c r="W319" s="331">
        <f>SUM($E296:W296)+W275</f>
        <v>1.23</v>
      </c>
      <c r="X319" s="331">
        <f>SUM($E296:X296)+X275</f>
        <v>1.23</v>
      </c>
      <c r="Y319" s="331">
        <f>SUM($E296:Y296)+Y275</f>
        <v>1.23</v>
      </c>
      <c r="Z319" s="331">
        <f>SUM($E296:Z296)+Z275</f>
        <v>1.23</v>
      </c>
      <c r="AA319" s="331">
        <f>SUM($E296:AA296)+AA275</f>
        <v>1.23</v>
      </c>
      <c r="AB319" s="331">
        <f>SUM($E296:AB296)+AB275</f>
        <v>1.23</v>
      </c>
      <c r="AC319" s="331">
        <f>SUM($E296:AC296)+AC275</f>
        <v>1.23</v>
      </c>
      <c r="AD319" s="331">
        <f>SUM($E296:AD296)+AD275</f>
        <v>1.23</v>
      </c>
      <c r="AE319" s="331">
        <f>SUM($E296:AE296)+AE275</f>
        <v>1.23</v>
      </c>
      <c r="AF319" s="331">
        <f>SUM($E296:AF296)+AF275</f>
        <v>1.23</v>
      </c>
      <c r="AG319" s="331">
        <f>SUM($E296:AG296)+AG275</f>
        <v>1.23</v>
      </c>
      <c r="AH319" s="331">
        <f>SUM($E296:AH296)+AH275</f>
        <v>1.23</v>
      </c>
      <c r="AI319" s="331">
        <f t="shared" ref="AI319:AI320" si="116">SUM(E319:AH319)</f>
        <v>23.370000000000005</v>
      </c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</row>
    <row r="320" spans="2:52" ht="14.4" outlineLevel="3">
      <c r="B320" s="286" t="s">
        <v>199</v>
      </c>
      <c r="C320" s="323" t="s">
        <v>928</v>
      </c>
      <c r="D320" s="323" t="s">
        <v>826</v>
      </c>
      <c r="E320" s="331">
        <f>SUM($E297:E297)+E276</f>
        <v>0</v>
      </c>
      <c r="F320" s="331">
        <f>SUM($E297:F297)+F276</f>
        <v>0</v>
      </c>
      <c r="G320" s="331">
        <f>SUM($E297:G297)+G276</f>
        <v>0</v>
      </c>
      <c r="H320" s="331">
        <f>SUM($E297:H297)+H276</f>
        <v>0</v>
      </c>
      <c r="I320" s="331">
        <f>SUM($E297:I297)+I276</f>
        <v>0</v>
      </c>
      <c r="J320" s="331">
        <f>SUM($E297:J297)+J276</f>
        <v>0</v>
      </c>
      <c r="K320" s="331">
        <f>SUM($E297:K297)+K276</f>
        <v>0</v>
      </c>
      <c r="L320" s="331">
        <f>SUM($E297:L297)+L276</f>
        <v>0</v>
      </c>
      <c r="M320" s="331">
        <f>SUM($E297:M297)+M276</f>
        <v>0</v>
      </c>
      <c r="N320" s="331">
        <f>SUM($E297:N297)+N276</f>
        <v>0</v>
      </c>
      <c r="O320" s="331">
        <f>SUM($E297:O297)+O276</f>
        <v>0</v>
      </c>
      <c r="P320" s="331">
        <f>SUM($E297:P297)+P276</f>
        <v>0.19</v>
      </c>
      <c r="Q320" s="331">
        <f>SUM($E297:Q297)+Q276</f>
        <v>0.19</v>
      </c>
      <c r="R320" s="331">
        <f>SUM($E297:R297)+R276</f>
        <v>0.19</v>
      </c>
      <c r="S320" s="331">
        <f>SUM($E297:S297)+S276</f>
        <v>0.19</v>
      </c>
      <c r="T320" s="331">
        <f>SUM($E297:T297)+T276</f>
        <v>0.19</v>
      </c>
      <c r="U320" s="331">
        <f>SUM($E297:U297)+U276</f>
        <v>0.19</v>
      </c>
      <c r="V320" s="331">
        <f>SUM($E297:V297)+V276</f>
        <v>0.19</v>
      </c>
      <c r="W320" s="331">
        <f>SUM($E297:W297)+W276</f>
        <v>0.19</v>
      </c>
      <c r="X320" s="331">
        <f>SUM($E297:X297)+X276</f>
        <v>0.19</v>
      </c>
      <c r="Y320" s="331">
        <f>SUM($E297:Y297)+Y276</f>
        <v>0.19</v>
      </c>
      <c r="Z320" s="331">
        <f>SUM($E297:Z297)+Z276</f>
        <v>0.19</v>
      </c>
      <c r="AA320" s="331">
        <f>SUM($E297:AA297)+AA276</f>
        <v>0.19</v>
      </c>
      <c r="AB320" s="331">
        <f>SUM($E297:AB297)+AB276</f>
        <v>0.19</v>
      </c>
      <c r="AC320" s="331">
        <f>SUM($E297:AC297)+AC276</f>
        <v>0.19</v>
      </c>
      <c r="AD320" s="331">
        <f>SUM($E297:AD297)+AD276</f>
        <v>0.19</v>
      </c>
      <c r="AE320" s="331">
        <f>SUM($E297:AE297)+AE276</f>
        <v>0.19</v>
      </c>
      <c r="AF320" s="331">
        <f>SUM($E297:AF297)+AF276</f>
        <v>0.19</v>
      </c>
      <c r="AG320" s="331">
        <f>SUM($E297:AG297)+AG276</f>
        <v>0.19</v>
      </c>
      <c r="AH320" s="331">
        <f>SUM($E297:AH297)+AH276</f>
        <v>0.19</v>
      </c>
      <c r="AI320" s="331">
        <f t="shared" si="116"/>
        <v>3.6099999999999994</v>
      </c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</row>
    <row r="321" spans="2:52" ht="14.4" outlineLevel="1">
      <c r="B321" s="403" t="s">
        <v>849</v>
      </c>
      <c r="C321" s="404"/>
      <c r="D321" s="66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8" t="s">
        <v>821</v>
      </c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</row>
    <row r="322" spans="2:52" ht="14.4" outlineLevel="2">
      <c r="B322" s="10">
        <v>3</v>
      </c>
      <c r="C322" s="11" t="s">
        <v>908</v>
      </c>
      <c r="D322" s="11" t="s">
        <v>826</v>
      </c>
      <c r="E322" s="12">
        <f t="shared" ref="E322:AI322" si="117">SUM(E323:E324)</f>
        <v>0</v>
      </c>
      <c r="F322" s="12">
        <f t="shared" si="117"/>
        <v>0</v>
      </c>
      <c r="G322" s="12">
        <f t="shared" si="117"/>
        <v>0</v>
      </c>
      <c r="H322" s="12">
        <f t="shared" si="117"/>
        <v>0</v>
      </c>
      <c r="I322" s="12">
        <f t="shared" si="117"/>
        <v>0</v>
      </c>
      <c r="J322" s="12">
        <f t="shared" si="117"/>
        <v>8.4440000000000008</v>
      </c>
      <c r="K322" s="12">
        <f t="shared" si="117"/>
        <v>8.4440000000000008</v>
      </c>
      <c r="L322" s="12">
        <f t="shared" si="117"/>
        <v>8.4440000000000008</v>
      </c>
      <c r="M322" s="12">
        <f t="shared" si="117"/>
        <v>8.4440000000000008</v>
      </c>
      <c r="N322" s="12">
        <f t="shared" si="117"/>
        <v>8.4440000000000008</v>
      </c>
      <c r="O322" s="12">
        <f t="shared" si="117"/>
        <v>8.4440000000000008</v>
      </c>
      <c r="P322" s="12">
        <f t="shared" si="117"/>
        <v>7.0240000000000009</v>
      </c>
      <c r="Q322" s="12">
        <f t="shared" si="117"/>
        <v>7.0240000000000009</v>
      </c>
      <c r="R322" s="12">
        <f t="shared" si="117"/>
        <v>7.0240000000000009</v>
      </c>
      <c r="S322" s="12">
        <f t="shared" si="117"/>
        <v>7.0240000000000009</v>
      </c>
      <c r="T322" s="12">
        <f t="shared" si="117"/>
        <v>7.0240000000000009</v>
      </c>
      <c r="U322" s="12">
        <f t="shared" si="117"/>
        <v>7.0240000000000009</v>
      </c>
      <c r="V322" s="12">
        <f t="shared" si="117"/>
        <v>7.0240000000000009</v>
      </c>
      <c r="W322" s="12">
        <f t="shared" si="117"/>
        <v>7.0240000000000009</v>
      </c>
      <c r="X322" s="12">
        <f t="shared" si="117"/>
        <v>7.0240000000000009</v>
      </c>
      <c r="Y322" s="12">
        <f t="shared" si="117"/>
        <v>7.0240000000000009</v>
      </c>
      <c r="Z322" s="12">
        <f t="shared" si="117"/>
        <v>7.0240000000000009</v>
      </c>
      <c r="AA322" s="12">
        <f t="shared" si="117"/>
        <v>7.0240000000000009</v>
      </c>
      <c r="AB322" s="12">
        <f t="shared" si="117"/>
        <v>7.0240000000000009</v>
      </c>
      <c r="AC322" s="12">
        <f t="shared" si="117"/>
        <v>7.0240000000000009</v>
      </c>
      <c r="AD322" s="12">
        <f t="shared" si="117"/>
        <v>7.0240000000000009</v>
      </c>
      <c r="AE322" s="12">
        <f t="shared" si="117"/>
        <v>7.0240000000000009</v>
      </c>
      <c r="AF322" s="12">
        <f t="shared" si="117"/>
        <v>7.0240000000000009</v>
      </c>
      <c r="AG322" s="12">
        <f t="shared" si="117"/>
        <v>7.0240000000000009</v>
      </c>
      <c r="AH322" s="12">
        <f t="shared" si="117"/>
        <v>7.0240000000000009</v>
      </c>
      <c r="AI322" s="12">
        <f t="shared" si="117"/>
        <v>184.12000000000009</v>
      </c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</row>
    <row r="323" spans="2:52" ht="14.4" outlineLevel="3">
      <c r="B323" s="286" t="s">
        <v>842</v>
      </c>
      <c r="C323" s="323" t="s">
        <v>927</v>
      </c>
      <c r="D323" s="323" t="s">
        <v>826</v>
      </c>
      <c r="E323" s="331">
        <f>E279+SUM($E299:E299)</f>
        <v>0</v>
      </c>
      <c r="F323" s="331">
        <f>F279+SUM($E299:F299)</f>
        <v>0</v>
      </c>
      <c r="G323" s="331">
        <f>G279+SUM($E299:G299)</f>
        <v>0</v>
      </c>
      <c r="H323" s="331">
        <f>H279+SUM($E299:H299)</f>
        <v>0</v>
      </c>
      <c r="I323" s="331">
        <f>I279+SUM($E299:I299)</f>
        <v>0</v>
      </c>
      <c r="J323" s="331">
        <f>J279+SUM($E299:J299)</f>
        <v>6.6</v>
      </c>
      <c r="K323" s="331">
        <f>K279+SUM($E299:K299)</f>
        <v>6.6</v>
      </c>
      <c r="L323" s="331">
        <f>L279+SUM($E299:L299)</f>
        <v>6.6</v>
      </c>
      <c r="M323" s="331">
        <f>M279+SUM($E299:M299)</f>
        <v>6.6</v>
      </c>
      <c r="N323" s="331">
        <f>N279+SUM($E299:N299)</f>
        <v>6.6</v>
      </c>
      <c r="O323" s="331">
        <f>O279+SUM($E299:O299)</f>
        <v>6.6</v>
      </c>
      <c r="P323" s="331">
        <f>P279+SUM($E299:P299)</f>
        <v>5.3699999999999992</v>
      </c>
      <c r="Q323" s="331">
        <f>Q279+SUM($E299:Q299)</f>
        <v>5.3699999999999992</v>
      </c>
      <c r="R323" s="331">
        <f>R279+SUM($E299:R299)</f>
        <v>5.3699999999999992</v>
      </c>
      <c r="S323" s="331">
        <f>S279+SUM($E299:S299)</f>
        <v>5.3699999999999992</v>
      </c>
      <c r="T323" s="331">
        <f>T279+SUM($E299:T299)</f>
        <v>5.3699999999999992</v>
      </c>
      <c r="U323" s="331">
        <f>U279+SUM($E299:U299)</f>
        <v>5.3699999999999992</v>
      </c>
      <c r="V323" s="331">
        <f>V279+SUM($E299:V299)</f>
        <v>5.3699999999999992</v>
      </c>
      <c r="W323" s="331">
        <f>W279+SUM($E299:W299)</f>
        <v>5.3699999999999992</v>
      </c>
      <c r="X323" s="331">
        <f>X279+SUM($E299:X299)</f>
        <v>5.3699999999999992</v>
      </c>
      <c r="Y323" s="331">
        <f>Y279+SUM($E299:Y299)</f>
        <v>5.3699999999999992</v>
      </c>
      <c r="Z323" s="331">
        <f>Z279+SUM($E299:Z299)</f>
        <v>5.3699999999999992</v>
      </c>
      <c r="AA323" s="331">
        <f>AA279+SUM($E299:AA299)</f>
        <v>5.3699999999999992</v>
      </c>
      <c r="AB323" s="331">
        <f>AB279+SUM($E299:AB299)</f>
        <v>5.3699999999999992</v>
      </c>
      <c r="AC323" s="331">
        <f>AC279+SUM($E299:AC299)</f>
        <v>5.3699999999999992</v>
      </c>
      <c r="AD323" s="331">
        <f>AD279+SUM($E299:AD299)</f>
        <v>5.3699999999999992</v>
      </c>
      <c r="AE323" s="331">
        <f>AE279+SUM($E299:AE299)</f>
        <v>5.3699999999999992</v>
      </c>
      <c r="AF323" s="331">
        <f>AF279+SUM($E299:AF299)</f>
        <v>5.3699999999999992</v>
      </c>
      <c r="AG323" s="331">
        <f>AG279+SUM($E299:AG299)</f>
        <v>5.3699999999999992</v>
      </c>
      <c r="AH323" s="331">
        <f>AH279+SUM($E299:AH299)</f>
        <v>5.3699999999999992</v>
      </c>
      <c r="AI323" s="331">
        <f t="shared" ref="AI323:AI324" si="118">SUM(E323:AH323)</f>
        <v>141.63000000000005</v>
      </c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</row>
    <row r="324" spans="2:52" ht="14.4" outlineLevel="3">
      <c r="B324" s="286" t="s">
        <v>203</v>
      </c>
      <c r="C324" s="323" t="s">
        <v>928</v>
      </c>
      <c r="D324" s="323" t="s">
        <v>826</v>
      </c>
      <c r="E324" s="331">
        <f>E280+SUM($E300:E300)</f>
        <v>0</v>
      </c>
      <c r="F324" s="331">
        <f>F280+SUM($E300:F300)</f>
        <v>0</v>
      </c>
      <c r="G324" s="331">
        <f>G280+SUM($E300:G300)</f>
        <v>0</v>
      </c>
      <c r="H324" s="331">
        <f>H280+SUM($E300:H300)</f>
        <v>0</v>
      </c>
      <c r="I324" s="331">
        <f>I280+SUM($E300:I300)</f>
        <v>0</v>
      </c>
      <c r="J324" s="331">
        <f>J280+SUM($E300:J300)</f>
        <v>1.8440000000000012</v>
      </c>
      <c r="K324" s="331">
        <f>K280+SUM($E300:K300)</f>
        <v>1.8440000000000012</v>
      </c>
      <c r="L324" s="331">
        <f>L280+SUM($E300:L300)</f>
        <v>1.8440000000000012</v>
      </c>
      <c r="M324" s="331">
        <f>M280+SUM($E300:M300)</f>
        <v>1.8440000000000012</v>
      </c>
      <c r="N324" s="331">
        <f>N280+SUM($E300:N300)</f>
        <v>1.8440000000000012</v>
      </c>
      <c r="O324" s="331">
        <f>O280+SUM($E300:O300)</f>
        <v>1.8440000000000012</v>
      </c>
      <c r="P324" s="331">
        <f>P280+SUM($E300:P300)</f>
        <v>1.6540000000000012</v>
      </c>
      <c r="Q324" s="331">
        <f>Q280+SUM($E300:Q300)</f>
        <v>1.6540000000000012</v>
      </c>
      <c r="R324" s="331">
        <f>R280+SUM($E300:R300)</f>
        <v>1.6540000000000012</v>
      </c>
      <c r="S324" s="331">
        <f>S280+SUM($E300:S300)</f>
        <v>1.6540000000000012</v>
      </c>
      <c r="T324" s="331">
        <f>T280+SUM($E300:T300)</f>
        <v>1.6540000000000012</v>
      </c>
      <c r="U324" s="331">
        <f>U280+SUM($E300:U300)</f>
        <v>1.6540000000000012</v>
      </c>
      <c r="V324" s="331">
        <f>V280+SUM($E300:V300)</f>
        <v>1.6540000000000012</v>
      </c>
      <c r="W324" s="331">
        <f>W280+SUM($E300:W300)</f>
        <v>1.6540000000000012</v>
      </c>
      <c r="X324" s="331">
        <f>X280+SUM($E300:X300)</f>
        <v>1.6540000000000012</v>
      </c>
      <c r="Y324" s="331">
        <f>Y280+SUM($E300:Y300)</f>
        <v>1.6540000000000012</v>
      </c>
      <c r="Z324" s="331">
        <f>Z280+SUM($E300:Z300)</f>
        <v>1.6540000000000012</v>
      </c>
      <c r="AA324" s="331">
        <f>AA280+SUM($E300:AA300)</f>
        <v>1.6540000000000012</v>
      </c>
      <c r="AB324" s="331">
        <f>AB280+SUM($E300:AB300)</f>
        <v>1.6540000000000012</v>
      </c>
      <c r="AC324" s="331">
        <f>AC280+SUM($E300:AC300)</f>
        <v>1.6540000000000012</v>
      </c>
      <c r="AD324" s="331">
        <f>AD280+SUM($E300:AD300)</f>
        <v>1.6540000000000012</v>
      </c>
      <c r="AE324" s="331">
        <f>AE280+SUM($E300:AE300)</f>
        <v>1.6540000000000012</v>
      </c>
      <c r="AF324" s="331">
        <f>AF280+SUM($E300:AF300)</f>
        <v>1.6540000000000012</v>
      </c>
      <c r="AG324" s="331">
        <f>AG280+SUM($E300:AG300)</f>
        <v>1.6540000000000012</v>
      </c>
      <c r="AH324" s="331">
        <f>AH280+SUM($E300:AH300)</f>
        <v>1.6540000000000012</v>
      </c>
      <c r="AI324" s="331">
        <f t="shared" si="118"/>
        <v>42.49000000000003</v>
      </c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</row>
    <row r="325" spans="2:52" ht="14.4" outlineLevel="1">
      <c r="B325" s="403" t="s">
        <v>909</v>
      </c>
      <c r="C325" s="404"/>
      <c r="D325" s="66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8" t="s">
        <v>821</v>
      </c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</row>
    <row r="326" spans="2:52" ht="14.4" outlineLevel="2">
      <c r="B326" s="10">
        <v>4</v>
      </c>
      <c r="C326" s="11" t="s">
        <v>910</v>
      </c>
      <c r="D326" s="11" t="s">
        <v>826</v>
      </c>
      <c r="E326" s="12">
        <f t="shared" ref="E326:AI326" si="119">SUM(E327:E328)</f>
        <v>0</v>
      </c>
      <c r="F326" s="12">
        <f t="shared" si="119"/>
        <v>0</v>
      </c>
      <c r="G326" s="12">
        <f t="shared" si="119"/>
        <v>0</v>
      </c>
      <c r="H326" s="12">
        <f t="shared" si="119"/>
        <v>0</v>
      </c>
      <c r="I326" s="12">
        <f t="shared" si="119"/>
        <v>0</v>
      </c>
      <c r="J326" s="12">
        <f t="shared" si="119"/>
        <v>0</v>
      </c>
      <c r="K326" s="12">
        <f t="shared" si="119"/>
        <v>0</v>
      </c>
      <c r="L326" s="12">
        <f t="shared" si="119"/>
        <v>0</v>
      </c>
      <c r="M326" s="12">
        <f t="shared" si="119"/>
        <v>0</v>
      </c>
      <c r="N326" s="12">
        <f t="shared" si="119"/>
        <v>0</v>
      </c>
      <c r="O326" s="12">
        <f t="shared" si="119"/>
        <v>0</v>
      </c>
      <c r="P326" s="12">
        <f t="shared" si="119"/>
        <v>1.42</v>
      </c>
      <c r="Q326" s="12">
        <f t="shared" si="119"/>
        <v>1.42</v>
      </c>
      <c r="R326" s="12">
        <f t="shared" si="119"/>
        <v>1.42</v>
      </c>
      <c r="S326" s="12">
        <f t="shared" si="119"/>
        <v>1.42</v>
      </c>
      <c r="T326" s="12">
        <f t="shared" si="119"/>
        <v>1.42</v>
      </c>
      <c r="U326" s="12">
        <f t="shared" si="119"/>
        <v>1.42</v>
      </c>
      <c r="V326" s="12">
        <f t="shared" si="119"/>
        <v>1.42</v>
      </c>
      <c r="W326" s="12">
        <f t="shared" si="119"/>
        <v>1.42</v>
      </c>
      <c r="X326" s="12">
        <f t="shared" si="119"/>
        <v>1.42</v>
      </c>
      <c r="Y326" s="12">
        <f t="shared" si="119"/>
        <v>1.42</v>
      </c>
      <c r="Z326" s="12">
        <f t="shared" si="119"/>
        <v>1.42</v>
      </c>
      <c r="AA326" s="12">
        <f t="shared" si="119"/>
        <v>1.42</v>
      </c>
      <c r="AB326" s="12">
        <f t="shared" si="119"/>
        <v>1.42</v>
      </c>
      <c r="AC326" s="12">
        <f t="shared" si="119"/>
        <v>1.42</v>
      </c>
      <c r="AD326" s="12">
        <f t="shared" si="119"/>
        <v>1.42</v>
      </c>
      <c r="AE326" s="12">
        <f t="shared" si="119"/>
        <v>1.42</v>
      </c>
      <c r="AF326" s="12">
        <f t="shared" si="119"/>
        <v>1.42</v>
      </c>
      <c r="AG326" s="12">
        <f t="shared" si="119"/>
        <v>1.42</v>
      </c>
      <c r="AH326" s="12">
        <f t="shared" si="119"/>
        <v>1.42</v>
      </c>
      <c r="AI326" s="12">
        <f t="shared" si="119"/>
        <v>26.980000000000004</v>
      </c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</row>
    <row r="327" spans="2:52" ht="14.4" outlineLevel="3">
      <c r="B327" s="286" t="s">
        <v>851</v>
      </c>
      <c r="C327" s="323" t="s">
        <v>927</v>
      </c>
      <c r="D327" s="323" t="s">
        <v>826</v>
      </c>
      <c r="E327" s="331">
        <v>0</v>
      </c>
      <c r="F327" s="331">
        <f>F296</f>
        <v>0</v>
      </c>
      <c r="G327" s="331">
        <f t="shared" ref="G327:P328" si="120">G296</f>
        <v>0</v>
      </c>
      <c r="H327" s="331">
        <f t="shared" si="120"/>
        <v>0</v>
      </c>
      <c r="I327" s="331">
        <f t="shared" si="120"/>
        <v>0</v>
      </c>
      <c r="J327" s="331">
        <f t="shared" si="120"/>
        <v>0</v>
      </c>
      <c r="K327" s="331">
        <f t="shared" si="120"/>
        <v>0</v>
      </c>
      <c r="L327" s="331">
        <f t="shared" si="120"/>
        <v>0</v>
      </c>
      <c r="M327" s="331">
        <f t="shared" si="120"/>
        <v>0</v>
      </c>
      <c r="N327" s="331">
        <f t="shared" si="120"/>
        <v>0</v>
      </c>
      <c r="O327" s="331">
        <f t="shared" si="120"/>
        <v>0</v>
      </c>
      <c r="P327" s="331">
        <f t="shared" si="120"/>
        <v>1.23</v>
      </c>
      <c r="Q327" s="331">
        <f t="shared" ref="Q327:U328" si="121">P327</f>
        <v>1.23</v>
      </c>
      <c r="R327" s="331">
        <f t="shared" si="121"/>
        <v>1.23</v>
      </c>
      <c r="S327" s="331">
        <f t="shared" si="121"/>
        <v>1.23</v>
      </c>
      <c r="T327" s="331">
        <f t="shared" si="121"/>
        <v>1.23</v>
      </c>
      <c r="U327" s="331">
        <f>T327</f>
        <v>1.23</v>
      </c>
      <c r="V327" s="331">
        <f t="shared" ref="V327:AH328" si="122">U327</f>
        <v>1.23</v>
      </c>
      <c r="W327" s="331">
        <f t="shared" si="122"/>
        <v>1.23</v>
      </c>
      <c r="X327" s="331">
        <f t="shared" si="122"/>
        <v>1.23</v>
      </c>
      <c r="Y327" s="331">
        <f t="shared" si="122"/>
        <v>1.23</v>
      </c>
      <c r="Z327" s="331">
        <f t="shared" si="122"/>
        <v>1.23</v>
      </c>
      <c r="AA327" s="331">
        <f t="shared" si="122"/>
        <v>1.23</v>
      </c>
      <c r="AB327" s="331">
        <f t="shared" si="122"/>
        <v>1.23</v>
      </c>
      <c r="AC327" s="331">
        <f t="shared" si="122"/>
        <v>1.23</v>
      </c>
      <c r="AD327" s="331">
        <f t="shared" si="122"/>
        <v>1.23</v>
      </c>
      <c r="AE327" s="331">
        <f t="shared" si="122"/>
        <v>1.23</v>
      </c>
      <c r="AF327" s="331">
        <f t="shared" si="122"/>
        <v>1.23</v>
      </c>
      <c r="AG327" s="331">
        <f t="shared" si="122"/>
        <v>1.23</v>
      </c>
      <c r="AH327" s="331">
        <f t="shared" si="122"/>
        <v>1.23</v>
      </c>
      <c r="AI327" s="331">
        <f t="shared" ref="AI327:AI328" si="123">SUM(E327:AH327)</f>
        <v>23.370000000000005</v>
      </c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</row>
    <row r="328" spans="2:52" ht="14.4" outlineLevel="3">
      <c r="B328" s="286" t="s">
        <v>205</v>
      </c>
      <c r="C328" s="323" t="s">
        <v>928</v>
      </c>
      <c r="D328" s="323" t="s">
        <v>826</v>
      </c>
      <c r="E328" s="331">
        <v>0</v>
      </c>
      <c r="F328" s="331">
        <f>F297</f>
        <v>0</v>
      </c>
      <c r="G328" s="331">
        <f t="shared" si="120"/>
        <v>0</v>
      </c>
      <c r="H328" s="331">
        <f t="shared" si="120"/>
        <v>0</v>
      </c>
      <c r="I328" s="331">
        <f t="shared" si="120"/>
        <v>0</v>
      </c>
      <c r="J328" s="331">
        <f t="shared" si="120"/>
        <v>0</v>
      </c>
      <c r="K328" s="331">
        <f t="shared" si="120"/>
        <v>0</v>
      </c>
      <c r="L328" s="331">
        <f t="shared" si="120"/>
        <v>0</v>
      </c>
      <c r="M328" s="331">
        <f t="shared" si="120"/>
        <v>0</v>
      </c>
      <c r="N328" s="331">
        <f t="shared" si="120"/>
        <v>0</v>
      </c>
      <c r="O328" s="331">
        <f t="shared" si="120"/>
        <v>0</v>
      </c>
      <c r="P328" s="331">
        <f t="shared" si="120"/>
        <v>0.19</v>
      </c>
      <c r="Q328" s="331">
        <f t="shared" si="121"/>
        <v>0.19</v>
      </c>
      <c r="R328" s="331">
        <f t="shared" si="121"/>
        <v>0.19</v>
      </c>
      <c r="S328" s="331">
        <f t="shared" si="121"/>
        <v>0.19</v>
      </c>
      <c r="T328" s="331">
        <f t="shared" si="121"/>
        <v>0.19</v>
      </c>
      <c r="U328" s="331">
        <f t="shared" si="121"/>
        <v>0.19</v>
      </c>
      <c r="V328" s="331">
        <f t="shared" si="122"/>
        <v>0.19</v>
      </c>
      <c r="W328" s="331">
        <f t="shared" si="122"/>
        <v>0.19</v>
      </c>
      <c r="X328" s="331">
        <f t="shared" si="122"/>
        <v>0.19</v>
      </c>
      <c r="Y328" s="331">
        <f t="shared" si="122"/>
        <v>0.19</v>
      </c>
      <c r="Z328" s="331">
        <f t="shared" si="122"/>
        <v>0.19</v>
      </c>
      <c r="AA328" s="331">
        <f t="shared" si="122"/>
        <v>0.19</v>
      </c>
      <c r="AB328" s="331">
        <f t="shared" si="122"/>
        <v>0.19</v>
      </c>
      <c r="AC328" s="331">
        <f t="shared" si="122"/>
        <v>0.19</v>
      </c>
      <c r="AD328" s="331">
        <f t="shared" si="122"/>
        <v>0.19</v>
      </c>
      <c r="AE328" s="331">
        <f t="shared" si="122"/>
        <v>0.19</v>
      </c>
      <c r="AF328" s="331">
        <f t="shared" si="122"/>
        <v>0.19</v>
      </c>
      <c r="AG328" s="331">
        <f t="shared" si="122"/>
        <v>0.19</v>
      </c>
      <c r="AH328" s="331">
        <f t="shared" si="122"/>
        <v>0.19</v>
      </c>
      <c r="AI328" s="331">
        <f t="shared" si="123"/>
        <v>3.6099999999999994</v>
      </c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  <c r="AW328" s="15"/>
      <c r="AX328" s="15"/>
      <c r="AY328" s="15"/>
      <c r="AZ328" s="15"/>
    </row>
    <row r="329" spans="2:52" ht="14.4" outlineLevel="1">
      <c r="B329" s="403" t="s">
        <v>911</v>
      </c>
      <c r="C329" s="404"/>
      <c r="D329" s="66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8" t="s">
        <v>821</v>
      </c>
      <c r="AK329" s="15"/>
    </row>
    <row r="330" spans="2:52" ht="14.4" outlineLevel="2">
      <c r="B330" s="10">
        <v>1</v>
      </c>
      <c r="C330" s="11" t="s">
        <v>912</v>
      </c>
      <c r="D330" s="11" t="s">
        <v>101</v>
      </c>
      <c r="E330" s="12">
        <f t="shared" ref="E330:AI330" si="124">SUM(E331:E332)</f>
        <v>0</v>
      </c>
      <c r="F330" s="12">
        <f t="shared" si="124"/>
        <v>0</v>
      </c>
      <c r="G330" s="12">
        <f t="shared" si="124"/>
        <v>0</v>
      </c>
      <c r="H330" s="12">
        <f t="shared" si="124"/>
        <v>0</v>
      </c>
      <c r="I330" s="12">
        <f t="shared" si="124"/>
        <v>0</v>
      </c>
      <c r="J330" s="12">
        <f t="shared" si="124"/>
        <v>29554</v>
      </c>
      <c r="K330" s="12">
        <f t="shared" si="124"/>
        <v>29554</v>
      </c>
      <c r="L330" s="12">
        <f t="shared" si="124"/>
        <v>29554</v>
      </c>
      <c r="M330" s="12">
        <f t="shared" si="124"/>
        <v>29554</v>
      </c>
      <c r="N330" s="12">
        <f t="shared" si="124"/>
        <v>29554</v>
      </c>
      <c r="O330" s="12">
        <f t="shared" si="124"/>
        <v>29554</v>
      </c>
      <c r="P330" s="12">
        <f t="shared" si="124"/>
        <v>29554</v>
      </c>
      <c r="Q330" s="12">
        <f t="shared" si="124"/>
        <v>29554</v>
      </c>
      <c r="R330" s="12">
        <f t="shared" si="124"/>
        <v>29554</v>
      </c>
      <c r="S330" s="12">
        <f t="shared" si="124"/>
        <v>29554</v>
      </c>
      <c r="T330" s="12">
        <f t="shared" si="124"/>
        <v>29554</v>
      </c>
      <c r="U330" s="12">
        <f t="shared" si="124"/>
        <v>29554</v>
      </c>
      <c r="V330" s="12">
        <f t="shared" si="124"/>
        <v>29554</v>
      </c>
      <c r="W330" s="12">
        <f t="shared" si="124"/>
        <v>29554</v>
      </c>
      <c r="X330" s="12">
        <f t="shared" si="124"/>
        <v>29554</v>
      </c>
      <c r="Y330" s="12">
        <f t="shared" si="124"/>
        <v>29554</v>
      </c>
      <c r="Z330" s="12">
        <f t="shared" si="124"/>
        <v>29554</v>
      </c>
      <c r="AA330" s="12">
        <f t="shared" si="124"/>
        <v>29554</v>
      </c>
      <c r="AB330" s="12">
        <f t="shared" si="124"/>
        <v>29554</v>
      </c>
      <c r="AC330" s="12">
        <f t="shared" si="124"/>
        <v>29554</v>
      </c>
      <c r="AD330" s="12">
        <f t="shared" si="124"/>
        <v>29554</v>
      </c>
      <c r="AE330" s="12">
        <f t="shared" si="124"/>
        <v>29554</v>
      </c>
      <c r="AF330" s="12">
        <f t="shared" si="124"/>
        <v>29554</v>
      </c>
      <c r="AG330" s="12">
        <f t="shared" si="124"/>
        <v>29554</v>
      </c>
      <c r="AH330" s="12">
        <f t="shared" si="124"/>
        <v>29554</v>
      </c>
      <c r="AI330" s="12">
        <f t="shared" si="124"/>
        <v>738850</v>
      </c>
      <c r="AJ330" s="15"/>
      <c r="AK330" s="2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  <c r="AW330" s="15"/>
      <c r="AX330" s="15"/>
      <c r="AY330" s="15"/>
      <c r="AZ330" s="15"/>
    </row>
    <row r="331" spans="2:52" ht="14.4" outlineLevel="3">
      <c r="B331" s="286" t="s">
        <v>824</v>
      </c>
      <c r="C331" s="323" t="s">
        <v>927</v>
      </c>
      <c r="D331" s="323" t="s">
        <v>101</v>
      </c>
      <c r="E331" s="331">
        <f t="shared" ref="E331:AH332" si="125">E315*3.5*1000</f>
        <v>0</v>
      </c>
      <c r="F331" s="331">
        <f t="shared" si="125"/>
        <v>0</v>
      </c>
      <c r="G331" s="331">
        <f t="shared" si="125"/>
        <v>0</v>
      </c>
      <c r="H331" s="331">
        <f t="shared" si="125"/>
        <v>0</v>
      </c>
      <c r="I331" s="331">
        <f t="shared" si="125"/>
        <v>0</v>
      </c>
      <c r="J331" s="331">
        <f t="shared" si="125"/>
        <v>23099.999999999996</v>
      </c>
      <c r="K331" s="331">
        <f t="shared" si="125"/>
        <v>23099.999999999996</v>
      </c>
      <c r="L331" s="331">
        <f t="shared" si="125"/>
        <v>23099.999999999996</v>
      </c>
      <c r="M331" s="331">
        <f t="shared" si="125"/>
        <v>23099.999999999996</v>
      </c>
      <c r="N331" s="331">
        <f t="shared" si="125"/>
        <v>23099.999999999996</v>
      </c>
      <c r="O331" s="331">
        <f t="shared" si="125"/>
        <v>23099.999999999996</v>
      </c>
      <c r="P331" s="331">
        <f t="shared" si="125"/>
        <v>23099.999999999996</v>
      </c>
      <c r="Q331" s="331">
        <f t="shared" si="125"/>
        <v>23099.999999999996</v>
      </c>
      <c r="R331" s="331">
        <f t="shared" si="125"/>
        <v>23099.999999999996</v>
      </c>
      <c r="S331" s="331">
        <f t="shared" si="125"/>
        <v>23099.999999999996</v>
      </c>
      <c r="T331" s="331">
        <f t="shared" si="125"/>
        <v>23099.999999999996</v>
      </c>
      <c r="U331" s="331">
        <f t="shared" si="125"/>
        <v>23099.999999999996</v>
      </c>
      <c r="V331" s="331">
        <f t="shared" si="125"/>
        <v>23099.999999999996</v>
      </c>
      <c r="W331" s="331">
        <f t="shared" si="125"/>
        <v>23099.999999999996</v>
      </c>
      <c r="X331" s="331">
        <f t="shared" si="125"/>
        <v>23099.999999999996</v>
      </c>
      <c r="Y331" s="331">
        <f t="shared" si="125"/>
        <v>23099.999999999996</v>
      </c>
      <c r="Z331" s="331">
        <f t="shared" si="125"/>
        <v>23099.999999999996</v>
      </c>
      <c r="AA331" s="331">
        <f t="shared" si="125"/>
        <v>23099.999999999996</v>
      </c>
      <c r="AB331" s="331">
        <f t="shared" si="125"/>
        <v>23099.999999999996</v>
      </c>
      <c r="AC331" s="331">
        <f t="shared" si="125"/>
        <v>23099.999999999996</v>
      </c>
      <c r="AD331" s="331">
        <f t="shared" si="125"/>
        <v>23099.999999999996</v>
      </c>
      <c r="AE331" s="331">
        <f t="shared" si="125"/>
        <v>23099.999999999996</v>
      </c>
      <c r="AF331" s="331">
        <f t="shared" si="125"/>
        <v>23099.999999999996</v>
      </c>
      <c r="AG331" s="331">
        <f t="shared" si="125"/>
        <v>23099.999999999996</v>
      </c>
      <c r="AH331" s="331">
        <f t="shared" si="125"/>
        <v>23099.999999999996</v>
      </c>
      <c r="AI331" s="331">
        <f t="shared" ref="AI331:AI332" si="126">SUM(E331:AH331)</f>
        <v>577499.99999999988</v>
      </c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  <c r="AW331" s="15"/>
      <c r="AX331" s="15"/>
      <c r="AY331" s="15"/>
      <c r="AZ331" s="15"/>
    </row>
    <row r="332" spans="2:52" ht="14.4" outlineLevel="3">
      <c r="B332" s="286" t="s">
        <v>74</v>
      </c>
      <c r="C332" s="323" t="s">
        <v>928</v>
      </c>
      <c r="D332" s="323" t="s">
        <v>101</v>
      </c>
      <c r="E332" s="331">
        <f t="shared" si="125"/>
        <v>0</v>
      </c>
      <c r="F332" s="331">
        <f t="shared" si="125"/>
        <v>0</v>
      </c>
      <c r="G332" s="331">
        <f t="shared" si="125"/>
        <v>0</v>
      </c>
      <c r="H332" s="331">
        <f t="shared" si="125"/>
        <v>0</v>
      </c>
      <c r="I332" s="331">
        <f t="shared" si="125"/>
        <v>0</v>
      </c>
      <c r="J332" s="331">
        <f t="shared" si="125"/>
        <v>6454.0000000000045</v>
      </c>
      <c r="K332" s="331">
        <f t="shared" si="125"/>
        <v>6454.0000000000045</v>
      </c>
      <c r="L332" s="331">
        <f t="shared" si="125"/>
        <v>6454.0000000000045</v>
      </c>
      <c r="M332" s="331">
        <f t="shared" si="125"/>
        <v>6454.0000000000045</v>
      </c>
      <c r="N332" s="331">
        <f t="shared" si="125"/>
        <v>6454.0000000000045</v>
      </c>
      <c r="O332" s="331">
        <f t="shared" si="125"/>
        <v>6454.0000000000045</v>
      </c>
      <c r="P332" s="331">
        <f t="shared" si="125"/>
        <v>6454.0000000000045</v>
      </c>
      <c r="Q332" s="331">
        <f t="shared" si="125"/>
        <v>6454.0000000000045</v>
      </c>
      <c r="R332" s="331">
        <f t="shared" si="125"/>
        <v>6454.0000000000045</v>
      </c>
      <c r="S332" s="331">
        <f t="shared" si="125"/>
        <v>6454.0000000000045</v>
      </c>
      <c r="T332" s="331">
        <f t="shared" si="125"/>
        <v>6454.0000000000045</v>
      </c>
      <c r="U332" s="331">
        <f t="shared" si="125"/>
        <v>6454.0000000000045</v>
      </c>
      <c r="V332" s="331">
        <f t="shared" si="125"/>
        <v>6454.0000000000045</v>
      </c>
      <c r="W332" s="331">
        <f t="shared" si="125"/>
        <v>6454.0000000000045</v>
      </c>
      <c r="X332" s="331">
        <f t="shared" si="125"/>
        <v>6454.0000000000045</v>
      </c>
      <c r="Y332" s="331">
        <f t="shared" si="125"/>
        <v>6454.0000000000045</v>
      </c>
      <c r="Z332" s="331">
        <f t="shared" si="125"/>
        <v>6454.0000000000045</v>
      </c>
      <c r="AA332" s="331">
        <f t="shared" si="125"/>
        <v>6454.0000000000045</v>
      </c>
      <c r="AB332" s="331">
        <f t="shared" si="125"/>
        <v>6454.0000000000045</v>
      </c>
      <c r="AC332" s="331">
        <f t="shared" si="125"/>
        <v>6454.0000000000045</v>
      </c>
      <c r="AD332" s="331">
        <f t="shared" si="125"/>
        <v>6454.0000000000045</v>
      </c>
      <c r="AE332" s="331">
        <f t="shared" si="125"/>
        <v>6454.0000000000045</v>
      </c>
      <c r="AF332" s="331">
        <f t="shared" si="125"/>
        <v>6454.0000000000045</v>
      </c>
      <c r="AG332" s="331">
        <f t="shared" si="125"/>
        <v>6454.0000000000045</v>
      </c>
      <c r="AH332" s="331">
        <f t="shared" si="125"/>
        <v>6454.0000000000045</v>
      </c>
      <c r="AI332" s="331">
        <f t="shared" si="126"/>
        <v>161350.00000000006</v>
      </c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  <c r="AW332" s="15"/>
      <c r="AX332" s="15"/>
      <c r="AY332" s="15"/>
      <c r="AZ332" s="15"/>
    </row>
    <row r="333" spans="2:52" ht="14.4" outlineLevel="1">
      <c r="B333" s="403" t="s">
        <v>913</v>
      </c>
      <c r="C333" s="404"/>
      <c r="D333" s="66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8" t="s">
        <v>821</v>
      </c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5"/>
      <c r="AZ333" s="15"/>
    </row>
    <row r="334" spans="2:52" ht="14.4" outlineLevel="2">
      <c r="B334" s="10">
        <v>2</v>
      </c>
      <c r="C334" s="11" t="s">
        <v>914</v>
      </c>
      <c r="D334" s="11" t="s">
        <v>101</v>
      </c>
      <c r="E334" s="12">
        <f t="shared" ref="E334:AI334" si="127">SUM(E335:E336)</f>
        <v>0</v>
      </c>
      <c r="F334" s="12">
        <f t="shared" si="127"/>
        <v>0</v>
      </c>
      <c r="G334" s="12">
        <f t="shared" si="127"/>
        <v>0</v>
      </c>
      <c r="H334" s="12">
        <f t="shared" si="127"/>
        <v>0</v>
      </c>
      <c r="I334" s="12">
        <f t="shared" si="127"/>
        <v>0</v>
      </c>
      <c r="J334" s="12">
        <f t="shared" si="127"/>
        <v>0</v>
      </c>
      <c r="K334" s="12">
        <f t="shared" si="127"/>
        <v>0</v>
      </c>
      <c r="L334" s="12">
        <f t="shared" si="127"/>
        <v>0</v>
      </c>
      <c r="M334" s="12">
        <f t="shared" si="127"/>
        <v>0</v>
      </c>
      <c r="N334" s="12">
        <f t="shared" si="127"/>
        <v>0</v>
      </c>
      <c r="O334" s="12">
        <f t="shared" si="127"/>
        <v>0</v>
      </c>
      <c r="P334" s="12">
        <f t="shared" si="127"/>
        <v>4544</v>
      </c>
      <c r="Q334" s="12">
        <f t="shared" si="127"/>
        <v>4544</v>
      </c>
      <c r="R334" s="12">
        <f t="shared" si="127"/>
        <v>4544</v>
      </c>
      <c r="S334" s="12">
        <f t="shared" si="127"/>
        <v>4544</v>
      </c>
      <c r="T334" s="12">
        <f t="shared" si="127"/>
        <v>4544</v>
      </c>
      <c r="U334" s="12">
        <f t="shared" si="127"/>
        <v>4544</v>
      </c>
      <c r="V334" s="12">
        <f t="shared" si="127"/>
        <v>4544</v>
      </c>
      <c r="W334" s="12">
        <f t="shared" si="127"/>
        <v>4544</v>
      </c>
      <c r="X334" s="12">
        <f t="shared" si="127"/>
        <v>4544</v>
      </c>
      <c r="Y334" s="12">
        <f t="shared" si="127"/>
        <v>4544</v>
      </c>
      <c r="Z334" s="12">
        <f t="shared" si="127"/>
        <v>4544</v>
      </c>
      <c r="AA334" s="12">
        <f t="shared" si="127"/>
        <v>4544</v>
      </c>
      <c r="AB334" s="12">
        <f t="shared" si="127"/>
        <v>4544</v>
      </c>
      <c r="AC334" s="12">
        <f t="shared" si="127"/>
        <v>4544</v>
      </c>
      <c r="AD334" s="12">
        <f t="shared" si="127"/>
        <v>4544</v>
      </c>
      <c r="AE334" s="12">
        <f t="shared" si="127"/>
        <v>4544</v>
      </c>
      <c r="AF334" s="12">
        <f t="shared" si="127"/>
        <v>4544</v>
      </c>
      <c r="AG334" s="12">
        <f t="shared" si="127"/>
        <v>4544</v>
      </c>
      <c r="AH334" s="12">
        <f t="shared" si="127"/>
        <v>4544</v>
      </c>
      <c r="AI334" s="12">
        <f t="shared" si="127"/>
        <v>86336</v>
      </c>
      <c r="AJ334" s="15"/>
      <c r="AK334" s="2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  <c r="AW334" s="15"/>
      <c r="AX334" s="15"/>
      <c r="AY334" s="15"/>
      <c r="AZ334" s="15"/>
    </row>
    <row r="335" spans="2:52" ht="14.4" outlineLevel="3">
      <c r="B335" s="286" t="s">
        <v>835</v>
      </c>
      <c r="C335" s="323" t="s">
        <v>927</v>
      </c>
      <c r="D335" s="323" t="s">
        <v>101</v>
      </c>
      <c r="E335" s="331">
        <f t="shared" ref="E335:AH336" si="128">E319*3.2*1000</f>
        <v>0</v>
      </c>
      <c r="F335" s="331">
        <f t="shared" si="128"/>
        <v>0</v>
      </c>
      <c r="G335" s="331">
        <f t="shared" si="128"/>
        <v>0</v>
      </c>
      <c r="H335" s="331">
        <f t="shared" si="128"/>
        <v>0</v>
      </c>
      <c r="I335" s="331">
        <f t="shared" si="128"/>
        <v>0</v>
      </c>
      <c r="J335" s="331">
        <f t="shared" si="128"/>
        <v>0</v>
      </c>
      <c r="K335" s="331">
        <f t="shared" si="128"/>
        <v>0</v>
      </c>
      <c r="L335" s="331">
        <f t="shared" si="128"/>
        <v>0</v>
      </c>
      <c r="M335" s="331">
        <f t="shared" si="128"/>
        <v>0</v>
      </c>
      <c r="N335" s="331">
        <f t="shared" si="128"/>
        <v>0</v>
      </c>
      <c r="O335" s="331">
        <f t="shared" si="128"/>
        <v>0</v>
      </c>
      <c r="P335" s="331">
        <f t="shared" si="128"/>
        <v>3936</v>
      </c>
      <c r="Q335" s="331">
        <f t="shared" si="128"/>
        <v>3936</v>
      </c>
      <c r="R335" s="331">
        <f t="shared" si="128"/>
        <v>3936</v>
      </c>
      <c r="S335" s="331">
        <f t="shared" si="128"/>
        <v>3936</v>
      </c>
      <c r="T335" s="331">
        <f t="shared" si="128"/>
        <v>3936</v>
      </c>
      <c r="U335" s="331">
        <f t="shared" si="128"/>
        <v>3936</v>
      </c>
      <c r="V335" s="331">
        <f t="shared" si="128"/>
        <v>3936</v>
      </c>
      <c r="W335" s="331">
        <f t="shared" si="128"/>
        <v>3936</v>
      </c>
      <c r="X335" s="331">
        <f t="shared" si="128"/>
        <v>3936</v>
      </c>
      <c r="Y335" s="331">
        <f t="shared" si="128"/>
        <v>3936</v>
      </c>
      <c r="Z335" s="331">
        <f t="shared" si="128"/>
        <v>3936</v>
      </c>
      <c r="AA335" s="331">
        <f t="shared" si="128"/>
        <v>3936</v>
      </c>
      <c r="AB335" s="331">
        <f t="shared" si="128"/>
        <v>3936</v>
      </c>
      <c r="AC335" s="331">
        <f t="shared" si="128"/>
        <v>3936</v>
      </c>
      <c r="AD335" s="331">
        <f t="shared" si="128"/>
        <v>3936</v>
      </c>
      <c r="AE335" s="331">
        <f t="shared" si="128"/>
        <v>3936</v>
      </c>
      <c r="AF335" s="331">
        <f t="shared" si="128"/>
        <v>3936</v>
      </c>
      <c r="AG335" s="331">
        <f t="shared" si="128"/>
        <v>3936</v>
      </c>
      <c r="AH335" s="331">
        <f t="shared" si="128"/>
        <v>3936</v>
      </c>
      <c r="AI335" s="331">
        <f t="shared" ref="AI335:AI336" si="129">SUM(E335:AH335)</f>
        <v>74784</v>
      </c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  <c r="AW335" s="15"/>
      <c r="AX335" s="15"/>
      <c r="AY335" s="15"/>
      <c r="AZ335" s="15"/>
    </row>
    <row r="336" spans="2:52" ht="14.4" outlineLevel="3">
      <c r="B336" s="286" t="s">
        <v>199</v>
      </c>
      <c r="C336" s="323" t="s">
        <v>928</v>
      </c>
      <c r="D336" s="323" t="s">
        <v>101</v>
      </c>
      <c r="E336" s="331">
        <f t="shared" si="128"/>
        <v>0</v>
      </c>
      <c r="F336" s="331">
        <f t="shared" si="128"/>
        <v>0</v>
      </c>
      <c r="G336" s="331">
        <f t="shared" si="128"/>
        <v>0</v>
      </c>
      <c r="H336" s="331">
        <f t="shared" si="128"/>
        <v>0</v>
      </c>
      <c r="I336" s="331">
        <f t="shared" si="128"/>
        <v>0</v>
      </c>
      <c r="J336" s="331">
        <f t="shared" si="128"/>
        <v>0</v>
      </c>
      <c r="K336" s="331">
        <f t="shared" si="128"/>
        <v>0</v>
      </c>
      <c r="L336" s="331">
        <f t="shared" si="128"/>
        <v>0</v>
      </c>
      <c r="M336" s="331">
        <f t="shared" si="128"/>
        <v>0</v>
      </c>
      <c r="N336" s="331">
        <f t="shared" si="128"/>
        <v>0</v>
      </c>
      <c r="O336" s="331">
        <f t="shared" si="128"/>
        <v>0</v>
      </c>
      <c r="P336" s="331">
        <f t="shared" si="128"/>
        <v>608.00000000000011</v>
      </c>
      <c r="Q336" s="331">
        <f t="shared" si="128"/>
        <v>608.00000000000011</v>
      </c>
      <c r="R336" s="331">
        <f t="shared" si="128"/>
        <v>608.00000000000011</v>
      </c>
      <c r="S336" s="331">
        <f t="shared" si="128"/>
        <v>608.00000000000011</v>
      </c>
      <c r="T336" s="331">
        <f t="shared" si="128"/>
        <v>608.00000000000011</v>
      </c>
      <c r="U336" s="331">
        <f t="shared" si="128"/>
        <v>608.00000000000011</v>
      </c>
      <c r="V336" s="331">
        <f t="shared" si="128"/>
        <v>608.00000000000011</v>
      </c>
      <c r="W336" s="331">
        <f t="shared" si="128"/>
        <v>608.00000000000011</v>
      </c>
      <c r="X336" s="331">
        <f t="shared" si="128"/>
        <v>608.00000000000011</v>
      </c>
      <c r="Y336" s="331">
        <f t="shared" si="128"/>
        <v>608.00000000000011</v>
      </c>
      <c r="Z336" s="331">
        <f t="shared" si="128"/>
        <v>608.00000000000011</v>
      </c>
      <c r="AA336" s="331">
        <f t="shared" si="128"/>
        <v>608.00000000000011</v>
      </c>
      <c r="AB336" s="331">
        <f t="shared" si="128"/>
        <v>608.00000000000011</v>
      </c>
      <c r="AC336" s="331">
        <f t="shared" si="128"/>
        <v>608.00000000000011</v>
      </c>
      <c r="AD336" s="331">
        <f t="shared" si="128"/>
        <v>608.00000000000011</v>
      </c>
      <c r="AE336" s="331">
        <f t="shared" si="128"/>
        <v>608.00000000000011</v>
      </c>
      <c r="AF336" s="331">
        <f t="shared" si="128"/>
        <v>608.00000000000011</v>
      </c>
      <c r="AG336" s="331">
        <f t="shared" si="128"/>
        <v>608.00000000000011</v>
      </c>
      <c r="AH336" s="331">
        <f t="shared" si="128"/>
        <v>608.00000000000011</v>
      </c>
      <c r="AI336" s="331">
        <f t="shared" si="129"/>
        <v>11552.000000000002</v>
      </c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  <c r="AW336" s="15"/>
      <c r="AX336" s="15"/>
      <c r="AY336" s="15"/>
      <c r="AZ336" s="15"/>
    </row>
    <row r="337" spans="2:52" ht="14.4" outlineLevel="1">
      <c r="B337" s="403" t="s">
        <v>915</v>
      </c>
      <c r="C337" s="404"/>
      <c r="D337" s="66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8" t="s">
        <v>821</v>
      </c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  <c r="AW337" s="15"/>
      <c r="AX337" s="15"/>
      <c r="AY337" s="15"/>
      <c r="AZ337" s="15"/>
    </row>
    <row r="338" spans="2:52" ht="14.4" outlineLevel="2">
      <c r="B338" s="10">
        <v>3</v>
      </c>
      <c r="C338" s="11" t="s">
        <v>916</v>
      </c>
      <c r="D338" s="11" t="s">
        <v>101</v>
      </c>
      <c r="E338" s="12">
        <f t="shared" ref="E338:AI338" si="130">SUM(E339:E340)</f>
        <v>0</v>
      </c>
      <c r="F338" s="12">
        <f t="shared" si="130"/>
        <v>0</v>
      </c>
      <c r="G338" s="12">
        <f t="shared" si="130"/>
        <v>0</v>
      </c>
      <c r="H338" s="12">
        <f t="shared" si="130"/>
        <v>0</v>
      </c>
      <c r="I338" s="12">
        <f t="shared" si="130"/>
        <v>0</v>
      </c>
      <c r="J338" s="12">
        <f t="shared" si="130"/>
        <v>21110.000000000004</v>
      </c>
      <c r="K338" s="12">
        <f t="shared" si="130"/>
        <v>21110.000000000004</v>
      </c>
      <c r="L338" s="12">
        <f t="shared" si="130"/>
        <v>21110.000000000004</v>
      </c>
      <c r="M338" s="12">
        <f t="shared" si="130"/>
        <v>21110.000000000004</v>
      </c>
      <c r="N338" s="12">
        <f t="shared" si="130"/>
        <v>21110.000000000004</v>
      </c>
      <c r="O338" s="12">
        <f t="shared" si="130"/>
        <v>21110.000000000004</v>
      </c>
      <c r="P338" s="12">
        <f t="shared" si="130"/>
        <v>19264</v>
      </c>
      <c r="Q338" s="12">
        <f t="shared" si="130"/>
        <v>19264</v>
      </c>
      <c r="R338" s="12">
        <f t="shared" si="130"/>
        <v>19264</v>
      </c>
      <c r="S338" s="12">
        <f t="shared" si="130"/>
        <v>19264</v>
      </c>
      <c r="T338" s="12">
        <f t="shared" si="130"/>
        <v>19264</v>
      </c>
      <c r="U338" s="12">
        <f t="shared" si="130"/>
        <v>19264</v>
      </c>
      <c r="V338" s="12">
        <f t="shared" si="130"/>
        <v>19264</v>
      </c>
      <c r="W338" s="12">
        <f t="shared" si="130"/>
        <v>19264</v>
      </c>
      <c r="X338" s="12">
        <f t="shared" si="130"/>
        <v>19264</v>
      </c>
      <c r="Y338" s="12">
        <f t="shared" si="130"/>
        <v>19264</v>
      </c>
      <c r="Z338" s="12">
        <f t="shared" si="130"/>
        <v>19264</v>
      </c>
      <c r="AA338" s="12">
        <f t="shared" si="130"/>
        <v>19264</v>
      </c>
      <c r="AB338" s="12">
        <f t="shared" si="130"/>
        <v>19264</v>
      </c>
      <c r="AC338" s="12">
        <f t="shared" si="130"/>
        <v>19264</v>
      </c>
      <c r="AD338" s="12">
        <f t="shared" si="130"/>
        <v>19264</v>
      </c>
      <c r="AE338" s="12">
        <f t="shared" si="130"/>
        <v>19264</v>
      </c>
      <c r="AF338" s="12">
        <f t="shared" si="130"/>
        <v>19264</v>
      </c>
      <c r="AG338" s="12">
        <f t="shared" si="130"/>
        <v>19264</v>
      </c>
      <c r="AH338" s="12">
        <f t="shared" si="130"/>
        <v>19264</v>
      </c>
      <c r="AI338" s="12">
        <f t="shared" si="130"/>
        <v>492676</v>
      </c>
      <c r="AJ338" s="15"/>
      <c r="AK338" s="2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5"/>
      <c r="AZ338" s="15"/>
    </row>
    <row r="339" spans="2:52" ht="14.4" outlineLevel="3">
      <c r="B339" s="286" t="s">
        <v>842</v>
      </c>
      <c r="C339" s="323" t="s">
        <v>927</v>
      </c>
      <c r="D339" s="323" t="s">
        <v>101</v>
      </c>
      <c r="E339" s="331">
        <f t="shared" ref="E339:AH340" si="131">(E323*2.5*1000)+(E327*1.2*1000)</f>
        <v>0</v>
      </c>
      <c r="F339" s="331">
        <f t="shared" si="131"/>
        <v>0</v>
      </c>
      <c r="G339" s="331">
        <f t="shared" si="131"/>
        <v>0</v>
      </c>
      <c r="H339" s="331">
        <f t="shared" si="131"/>
        <v>0</v>
      </c>
      <c r="I339" s="331">
        <f t="shared" si="131"/>
        <v>0</v>
      </c>
      <c r="J339" s="331">
        <f t="shared" si="131"/>
        <v>16500</v>
      </c>
      <c r="K339" s="331">
        <f t="shared" si="131"/>
        <v>16500</v>
      </c>
      <c r="L339" s="331">
        <f t="shared" si="131"/>
        <v>16500</v>
      </c>
      <c r="M339" s="331">
        <f t="shared" si="131"/>
        <v>16500</v>
      </c>
      <c r="N339" s="331">
        <f t="shared" si="131"/>
        <v>16500</v>
      </c>
      <c r="O339" s="331">
        <f t="shared" si="131"/>
        <v>16500</v>
      </c>
      <c r="P339" s="331">
        <f t="shared" si="131"/>
        <v>14900.999999999996</v>
      </c>
      <c r="Q339" s="331">
        <f t="shared" si="131"/>
        <v>14900.999999999996</v>
      </c>
      <c r="R339" s="331">
        <f t="shared" si="131"/>
        <v>14900.999999999996</v>
      </c>
      <c r="S339" s="331">
        <f t="shared" si="131"/>
        <v>14900.999999999996</v>
      </c>
      <c r="T339" s="331">
        <f t="shared" si="131"/>
        <v>14900.999999999996</v>
      </c>
      <c r="U339" s="331">
        <f t="shared" si="131"/>
        <v>14900.999999999996</v>
      </c>
      <c r="V339" s="331">
        <f t="shared" si="131"/>
        <v>14900.999999999996</v>
      </c>
      <c r="W339" s="331">
        <f t="shared" si="131"/>
        <v>14900.999999999996</v>
      </c>
      <c r="X339" s="331">
        <f t="shared" si="131"/>
        <v>14900.999999999996</v>
      </c>
      <c r="Y339" s="331">
        <f t="shared" si="131"/>
        <v>14900.999999999996</v>
      </c>
      <c r="Z339" s="331">
        <f t="shared" si="131"/>
        <v>14900.999999999996</v>
      </c>
      <c r="AA339" s="331">
        <f t="shared" si="131"/>
        <v>14900.999999999996</v>
      </c>
      <c r="AB339" s="331">
        <f t="shared" si="131"/>
        <v>14900.999999999996</v>
      </c>
      <c r="AC339" s="331">
        <f t="shared" si="131"/>
        <v>14900.999999999996</v>
      </c>
      <c r="AD339" s="331">
        <f t="shared" si="131"/>
        <v>14900.999999999996</v>
      </c>
      <c r="AE339" s="331">
        <f t="shared" si="131"/>
        <v>14900.999999999996</v>
      </c>
      <c r="AF339" s="331">
        <f t="shared" si="131"/>
        <v>14900.999999999996</v>
      </c>
      <c r="AG339" s="331">
        <f t="shared" si="131"/>
        <v>14900.999999999996</v>
      </c>
      <c r="AH339" s="331">
        <f t="shared" si="131"/>
        <v>14900.999999999996</v>
      </c>
      <c r="AI339" s="331">
        <f t="shared" ref="AI339:AI340" si="132">SUM(E339:AH339)</f>
        <v>382119</v>
      </c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5"/>
      <c r="AZ339" s="15"/>
    </row>
    <row r="340" spans="2:52" ht="14.4" outlineLevel="3">
      <c r="B340" s="286" t="s">
        <v>203</v>
      </c>
      <c r="C340" s="323" t="s">
        <v>928</v>
      </c>
      <c r="D340" s="323" t="s">
        <v>101</v>
      </c>
      <c r="E340" s="331">
        <f t="shared" si="131"/>
        <v>0</v>
      </c>
      <c r="F340" s="331">
        <f t="shared" si="131"/>
        <v>0</v>
      </c>
      <c r="G340" s="331">
        <f t="shared" si="131"/>
        <v>0</v>
      </c>
      <c r="H340" s="331">
        <f t="shared" si="131"/>
        <v>0</v>
      </c>
      <c r="I340" s="331">
        <f t="shared" si="131"/>
        <v>0</v>
      </c>
      <c r="J340" s="331">
        <f t="shared" si="131"/>
        <v>4610.0000000000027</v>
      </c>
      <c r="K340" s="331">
        <f t="shared" si="131"/>
        <v>4610.0000000000027</v>
      </c>
      <c r="L340" s="331">
        <f t="shared" si="131"/>
        <v>4610.0000000000027</v>
      </c>
      <c r="M340" s="331">
        <f t="shared" si="131"/>
        <v>4610.0000000000027</v>
      </c>
      <c r="N340" s="331">
        <f t="shared" si="131"/>
        <v>4610.0000000000027</v>
      </c>
      <c r="O340" s="331">
        <f t="shared" si="131"/>
        <v>4610.0000000000027</v>
      </c>
      <c r="P340" s="331">
        <f t="shared" si="131"/>
        <v>4363.0000000000036</v>
      </c>
      <c r="Q340" s="331">
        <f t="shared" si="131"/>
        <v>4363.0000000000036</v>
      </c>
      <c r="R340" s="331">
        <f t="shared" si="131"/>
        <v>4363.0000000000036</v>
      </c>
      <c r="S340" s="331">
        <f t="shared" si="131"/>
        <v>4363.0000000000036</v>
      </c>
      <c r="T340" s="331">
        <f t="shared" si="131"/>
        <v>4363.0000000000036</v>
      </c>
      <c r="U340" s="331">
        <f t="shared" si="131"/>
        <v>4363.0000000000036</v>
      </c>
      <c r="V340" s="331">
        <f t="shared" si="131"/>
        <v>4363.0000000000036</v>
      </c>
      <c r="W340" s="331">
        <f t="shared" si="131"/>
        <v>4363.0000000000036</v>
      </c>
      <c r="X340" s="331">
        <f t="shared" si="131"/>
        <v>4363.0000000000036</v>
      </c>
      <c r="Y340" s="331">
        <f t="shared" si="131"/>
        <v>4363.0000000000036</v>
      </c>
      <c r="Z340" s="331">
        <f t="shared" si="131"/>
        <v>4363.0000000000036</v>
      </c>
      <c r="AA340" s="331">
        <f t="shared" si="131"/>
        <v>4363.0000000000036</v>
      </c>
      <c r="AB340" s="331">
        <f t="shared" si="131"/>
        <v>4363.0000000000036</v>
      </c>
      <c r="AC340" s="331">
        <f t="shared" si="131"/>
        <v>4363.0000000000036</v>
      </c>
      <c r="AD340" s="331">
        <f t="shared" si="131"/>
        <v>4363.0000000000036</v>
      </c>
      <c r="AE340" s="331">
        <f t="shared" si="131"/>
        <v>4363.0000000000036</v>
      </c>
      <c r="AF340" s="331">
        <f t="shared" si="131"/>
        <v>4363.0000000000036</v>
      </c>
      <c r="AG340" s="331">
        <f t="shared" si="131"/>
        <v>4363.0000000000036</v>
      </c>
      <c r="AH340" s="331">
        <f t="shared" si="131"/>
        <v>4363.0000000000036</v>
      </c>
      <c r="AI340" s="331">
        <f t="shared" si="132"/>
        <v>110557.00000000003</v>
      </c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5"/>
      <c r="AW340" s="15"/>
      <c r="AX340" s="15"/>
      <c r="AY340" s="15"/>
      <c r="AZ340" s="15"/>
    </row>
    <row r="341" spans="2:52" ht="14.4">
      <c r="B341" s="26"/>
      <c r="C341" s="27" t="s">
        <v>917</v>
      </c>
      <c r="D341" s="28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F341" s="29"/>
      <c r="AG341" s="29"/>
      <c r="AH341" s="29"/>
      <c r="AI341" s="29"/>
    </row>
    <row r="342" spans="2:52" ht="14.4">
      <c r="B342" s="286"/>
      <c r="C342" s="330" t="s">
        <v>918</v>
      </c>
      <c r="D342" s="330"/>
      <c r="E342" s="332">
        <f t="shared" ref="E342:AH342" si="133">E330</f>
        <v>0</v>
      </c>
      <c r="F342" s="332">
        <f t="shared" si="133"/>
        <v>0</v>
      </c>
      <c r="G342" s="332">
        <f t="shared" si="133"/>
        <v>0</v>
      </c>
      <c r="H342" s="332">
        <f t="shared" si="133"/>
        <v>0</v>
      </c>
      <c r="I342" s="332">
        <f t="shared" si="133"/>
        <v>0</v>
      </c>
      <c r="J342" s="332">
        <f t="shared" si="133"/>
        <v>29554</v>
      </c>
      <c r="K342" s="332">
        <f t="shared" si="133"/>
        <v>29554</v>
      </c>
      <c r="L342" s="332">
        <f t="shared" si="133"/>
        <v>29554</v>
      </c>
      <c r="M342" s="332">
        <f t="shared" si="133"/>
        <v>29554</v>
      </c>
      <c r="N342" s="332">
        <f t="shared" si="133"/>
        <v>29554</v>
      </c>
      <c r="O342" s="332">
        <f t="shared" si="133"/>
        <v>29554</v>
      </c>
      <c r="P342" s="332">
        <f t="shared" si="133"/>
        <v>29554</v>
      </c>
      <c r="Q342" s="332">
        <f t="shared" si="133"/>
        <v>29554</v>
      </c>
      <c r="R342" s="332">
        <f t="shared" si="133"/>
        <v>29554</v>
      </c>
      <c r="S342" s="332">
        <f t="shared" si="133"/>
        <v>29554</v>
      </c>
      <c r="T342" s="332">
        <f t="shared" si="133"/>
        <v>29554</v>
      </c>
      <c r="U342" s="332">
        <f t="shared" si="133"/>
        <v>29554</v>
      </c>
      <c r="V342" s="332">
        <f t="shared" si="133"/>
        <v>29554</v>
      </c>
      <c r="W342" s="332">
        <f t="shared" si="133"/>
        <v>29554</v>
      </c>
      <c r="X342" s="332">
        <f t="shared" si="133"/>
        <v>29554</v>
      </c>
      <c r="Y342" s="332">
        <f t="shared" si="133"/>
        <v>29554</v>
      </c>
      <c r="Z342" s="332">
        <f t="shared" si="133"/>
        <v>29554</v>
      </c>
      <c r="AA342" s="332">
        <f t="shared" si="133"/>
        <v>29554</v>
      </c>
      <c r="AB342" s="332">
        <f t="shared" si="133"/>
        <v>29554</v>
      </c>
      <c r="AC342" s="332">
        <f t="shared" si="133"/>
        <v>29554</v>
      </c>
      <c r="AD342" s="332">
        <f t="shared" si="133"/>
        <v>29554</v>
      </c>
      <c r="AE342" s="332">
        <f t="shared" si="133"/>
        <v>29554</v>
      </c>
      <c r="AF342" s="332">
        <f t="shared" si="133"/>
        <v>29554</v>
      </c>
      <c r="AG342" s="332">
        <f t="shared" si="133"/>
        <v>29554</v>
      </c>
      <c r="AH342" s="332">
        <f t="shared" si="133"/>
        <v>29554</v>
      </c>
      <c r="AI342" s="332"/>
      <c r="AK342" s="25"/>
      <c r="AL342" s="15"/>
    </row>
    <row r="343" spans="2:52" ht="14.4">
      <c r="B343" s="286"/>
      <c r="C343" s="330" t="s">
        <v>919</v>
      </c>
      <c r="D343" s="330"/>
      <c r="E343" s="332">
        <f t="shared" ref="E343:AH343" si="134">E334</f>
        <v>0</v>
      </c>
      <c r="F343" s="332">
        <f t="shared" si="134"/>
        <v>0</v>
      </c>
      <c r="G343" s="332">
        <f t="shared" si="134"/>
        <v>0</v>
      </c>
      <c r="H343" s="332">
        <f t="shared" si="134"/>
        <v>0</v>
      </c>
      <c r="I343" s="332">
        <f t="shared" si="134"/>
        <v>0</v>
      </c>
      <c r="J343" s="332">
        <f t="shared" si="134"/>
        <v>0</v>
      </c>
      <c r="K343" s="332">
        <f t="shared" si="134"/>
        <v>0</v>
      </c>
      <c r="L343" s="332">
        <f t="shared" si="134"/>
        <v>0</v>
      </c>
      <c r="M343" s="332">
        <f t="shared" si="134"/>
        <v>0</v>
      </c>
      <c r="N343" s="332">
        <f t="shared" si="134"/>
        <v>0</v>
      </c>
      <c r="O343" s="332">
        <f t="shared" si="134"/>
        <v>0</v>
      </c>
      <c r="P343" s="332">
        <f t="shared" si="134"/>
        <v>4544</v>
      </c>
      <c r="Q343" s="332">
        <f t="shared" si="134"/>
        <v>4544</v>
      </c>
      <c r="R343" s="332">
        <f t="shared" si="134"/>
        <v>4544</v>
      </c>
      <c r="S343" s="332">
        <f t="shared" si="134"/>
        <v>4544</v>
      </c>
      <c r="T343" s="332">
        <f t="shared" si="134"/>
        <v>4544</v>
      </c>
      <c r="U343" s="332">
        <f t="shared" si="134"/>
        <v>4544</v>
      </c>
      <c r="V343" s="332">
        <f t="shared" si="134"/>
        <v>4544</v>
      </c>
      <c r="W343" s="332">
        <f t="shared" si="134"/>
        <v>4544</v>
      </c>
      <c r="X343" s="332">
        <f t="shared" si="134"/>
        <v>4544</v>
      </c>
      <c r="Y343" s="332">
        <f t="shared" si="134"/>
        <v>4544</v>
      </c>
      <c r="Z343" s="332">
        <f t="shared" si="134"/>
        <v>4544</v>
      </c>
      <c r="AA343" s="332">
        <f t="shared" si="134"/>
        <v>4544</v>
      </c>
      <c r="AB343" s="332">
        <f t="shared" si="134"/>
        <v>4544</v>
      </c>
      <c r="AC343" s="332">
        <f t="shared" si="134"/>
        <v>4544</v>
      </c>
      <c r="AD343" s="332">
        <f t="shared" si="134"/>
        <v>4544</v>
      </c>
      <c r="AE343" s="332">
        <f t="shared" si="134"/>
        <v>4544</v>
      </c>
      <c r="AF343" s="332">
        <f t="shared" si="134"/>
        <v>4544</v>
      </c>
      <c r="AG343" s="332">
        <f t="shared" si="134"/>
        <v>4544</v>
      </c>
      <c r="AH343" s="332">
        <f t="shared" si="134"/>
        <v>4544</v>
      </c>
      <c r="AI343" s="332"/>
      <c r="AK343" s="25"/>
      <c r="AL343" s="15"/>
    </row>
    <row r="344" spans="2:52" ht="14.4">
      <c r="B344" s="286"/>
      <c r="C344" s="330" t="s">
        <v>920</v>
      </c>
      <c r="D344" s="330"/>
      <c r="E344" s="332">
        <f t="shared" ref="E344:AH344" si="135">E338</f>
        <v>0</v>
      </c>
      <c r="F344" s="332">
        <f t="shared" si="135"/>
        <v>0</v>
      </c>
      <c r="G344" s="332">
        <f t="shared" si="135"/>
        <v>0</v>
      </c>
      <c r="H344" s="332">
        <f t="shared" si="135"/>
        <v>0</v>
      </c>
      <c r="I344" s="332">
        <f t="shared" si="135"/>
        <v>0</v>
      </c>
      <c r="J344" s="332">
        <f t="shared" si="135"/>
        <v>21110.000000000004</v>
      </c>
      <c r="K344" s="332">
        <f t="shared" si="135"/>
        <v>21110.000000000004</v>
      </c>
      <c r="L344" s="332">
        <f t="shared" si="135"/>
        <v>21110.000000000004</v>
      </c>
      <c r="M344" s="332">
        <f t="shared" si="135"/>
        <v>21110.000000000004</v>
      </c>
      <c r="N344" s="332">
        <f t="shared" si="135"/>
        <v>21110.000000000004</v>
      </c>
      <c r="O344" s="332">
        <f t="shared" si="135"/>
        <v>21110.000000000004</v>
      </c>
      <c r="P344" s="332">
        <f t="shared" si="135"/>
        <v>19264</v>
      </c>
      <c r="Q344" s="332">
        <f t="shared" si="135"/>
        <v>19264</v>
      </c>
      <c r="R344" s="332">
        <f t="shared" si="135"/>
        <v>19264</v>
      </c>
      <c r="S344" s="332">
        <f t="shared" si="135"/>
        <v>19264</v>
      </c>
      <c r="T344" s="332">
        <f t="shared" si="135"/>
        <v>19264</v>
      </c>
      <c r="U344" s="332">
        <f t="shared" si="135"/>
        <v>19264</v>
      </c>
      <c r="V344" s="332">
        <f t="shared" si="135"/>
        <v>19264</v>
      </c>
      <c r="W344" s="332">
        <f t="shared" si="135"/>
        <v>19264</v>
      </c>
      <c r="X344" s="332">
        <f t="shared" si="135"/>
        <v>19264</v>
      </c>
      <c r="Y344" s="332">
        <f t="shared" si="135"/>
        <v>19264</v>
      </c>
      <c r="Z344" s="332">
        <f t="shared" si="135"/>
        <v>19264</v>
      </c>
      <c r="AA344" s="332">
        <f t="shared" si="135"/>
        <v>19264</v>
      </c>
      <c r="AB344" s="332">
        <f t="shared" si="135"/>
        <v>19264</v>
      </c>
      <c r="AC344" s="332">
        <f t="shared" si="135"/>
        <v>19264</v>
      </c>
      <c r="AD344" s="332">
        <f t="shared" si="135"/>
        <v>19264</v>
      </c>
      <c r="AE344" s="332">
        <f t="shared" si="135"/>
        <v>19264</v>
      </c>
      <c r="AF344" s="332">
        <f t="shared" si="135"/>
        <v>19264</v>
      </c>
      <c r="AG344" s="332">
        <f t="shared" si="135"/>
        <v>19264</v>
      </c>
      <c r="AH344" s="332">
        <f t="shared" si="135"/>
        <v>19264</v>
      </c>
      <c r="AI344" s="332"/>
      <c r="AK344" s="25"/>
      <c r="AL344" s="15"/>
    </row>
    <row r="345" spans="2:52" ht="14.4">
      <c r="B345" s="286"/>
      <c r="C345" s="330" t="s">
        <v>921</v>
      </c>
      <c r="D345" s="330"/>
      <c r="E345" s="332">
        <f>E342+E343+E344</f>
        <v>0</v>
      </c>
      <c r="F345" s="332">
        <f t="shared" ref="F345:AH345" si="136">F342+F343+F344</f>
        <v>0</v>
      </c>
      <c r="G345" s="332">
        <f t="shared" si="136"/>
        <v>0</v>
      </c>
      <c r="H345" s="332">
        <f t="shared" si="136"/>
        <v>0</v>
      </c>
      <c r="I345" s="332">
        <f t="shared" si="136"/>
        <v>0</v>
      </c>
      <c r="J345" s="332">
        <f t="shared" si="136"/>
        <v>50664</v>
      </c>
      <c r="K345" s="332">
        <f t="shared" si="136"/>
        <v>50664</v>
      </c>
      <c r="L345" s="332">
        <f t="shared" si="136"/>
        <v>50664</v>
      </c>
      <c r="M345" s="332">
        <f t="shared" si="136"/>
        <v>50664</v>
      </c>
      <c r="N345" s="332">
        <f t="shared" si="136"/>
        <v>50664</v>
      </c>
      <c r="O345" s="332">
        <f t="shared" si="136"/>
        <v>50664</v>
      </c>
      <c r="P345" s="332">
        <f t="shared" si="136"/>
        <v>53362</v>
      </c>
      <c r="Q345" s="332">
        <f t="shared" si="136"/>
        <v>53362</v>
      </c>
      <c r="R345" s="332">
        <f t="shared" si="136"/>
        <v>53362</v>
      </c>
      <c r="S345" s="332">
        <f t="shared" si="136"/>
        <v>53362</v>
      </c>
      <c r="T345" s="332">
        <f t="shared" si="136"/>
        <v>53362</v>
      </c>
      <c r="U345" s="332">
        <f t="shared" si="136"/>
        <v>53362</v>
      </c>
      <c r="V345" s="332">
        <f t="shared" si="136"/>
        <v>53362</v>
      </c>
      <c r="W345" s="332">
        <f t="shared" si="136"/>
        <v>53362</v>
      </c>
      <c r="X345" s="332">
        <f t="shared" si="136"/>
        <v>53362</v>
      </c>
      <c r="Y345" s="332">
        <f t="shared" si="136"/>
        <v>53362</v>
      </c>
      <c r="Z345" s="332">
        <f t="shared" si="136"/>
        <v>53362</v>
      </c>
      <c r="AA345" s="332">
        <f t="shared" si="136"/>
        <v>53362</v>
      </c>
      <c r="AB345" s="332">
        <f t="shared" si="136"/>
        <v>53362</v>
      </c>
      <c r="AC345" s="332">
        <f t="shared" si="136"/>
        <v>53362</v>
      </c>
      <c r="AD345" s="332">
        <f t="shared" si="136"/>
        <v>53362</v>
      </c>
      <c r="AE345" s="332">
        <f t="shared" si="136"/>
        <v>53362</v>
      </c>
      <c r="AF345" s="332">
        <f t="shared" si="136"/>
        <v>53362</v>
      </c>
      <c r="AG345" s="332">
        <f t="shared" si="136"/>
        <v>53362</v>
      </c>
      <c r="AH345" s="332">
        <f t="shared" si="136"/>
        <v>53362</v>
      </c>
      <c r="AI345" s="332"/>
      <c r="AK345" s="25"/>
      <c r="AL345" s="15"/>
    </row>
    <row r="346" spans="2:52" ht="14.4">
      <c r="B346" s="286"/>
      <c r="C346" s="330" t="s">
        <v>922</v>
      </c>
      <c r="D346" s="330"/>
      <c r="E346" s="332">
        <f>+E345/10000</f>
        <v>0</v>
      </c>
      <c r="F346" s="332">
        <f t="shared" ref="F346:AH346" si="137">+F345/10000</f>
        <v>0</v>
      </c>
      <c r="G346" s="332">
        <f t="shared" si="137"/>
        <v>0</v>
      </c>
      <c r="H346" s="332">
        <f t="shared" si="137"/>
        <v>0</v>
      </c>
      <c r="I346" s="332">
        <f t="shared" si="137"/>
        <v>0</v>
      </c>
      <c r="J346" s="332">
        <f t="shared" si="137"/>
        <v>5.0663999999999998</v>
      </c>
      <c r="K346" s="332">
        <f t="shared" si="137"/>
        <v>5.0663999999999998</v>
      </c>
      <c r="L346" s="332">
        <f t="shared" si="137"/>
        <v>5.0663999999999998</v>
      </c>
      <c r="M346" s="332">
        <f t="shared" si="137"/>
        <v>5.0663999999999998</v>
      </c>
      <c r="N346" s="332">
        <f t="shared" si="137"/>
        <v>5.0663999999999998</v>
      </c>
      <c r="O346" s="332">
        <f t="shared" si="137"/>
        <v>5.0663999999999998</v>
      </c>
      <c r="P346" s="332">
        <f t="shared" si="137"/>
        <v>5.3361999999999998</v>
      </c>
      <c r="Q346" s="332">
        <f t="shared" si="137"/>
        <v>5.3361999999999998</v>
      </c>
      <c r="R346" s="332">
        <f t="shared" si="137"/>
        <v>5.3361999999999998</v>
      </c>
      <c r="S346" s="332">
        <f t="shared" si="137"/>
        <v>5.3361999999999998</v>
      </c>
      <c r="T346" s="332">
        <f t="shared" si="137"/>
        <v>5.3361999999999998</v>
      </c>
      <c r="U346" s="332">
        <f t="shared" si="137"/>
        <v>5.3361999999999998</v>
      </c>
      <c r="V346" s="332">
        <f t="shared" si="137"/>
        <v>5.3361999999999998</v>
      </c>
      <c r="W346" s="332">
        <f t="shared" si="137"/>
        <v>5.3361999999999998</v>
      </c>
      <c r="X346" s="332">
        <f t="shared" si="137"/>
        <v>5.3361999999999998</v>
      </c>
      <c r="Y346" s="332">
        <f t="shared" si="137"/>
        <v>5.3361999999999998</v>
      </c>
      <c r="Z346" s="332">
        <f t="shared" si="137"/>
        <v>5.3361999999999998</v>
      </c>
      <c r="AA346" s="332">
        <f t="shared" si="137"/>
        <v>5.3361999999999998</v>
      </c>
      <c r="AB346" s="332">
        <f t="shared" si="137"/>
        <v>5.3361999999999998</v>
      </c>
      <c r="AC346" s="332">
        <f t="shared" si="137"/>
        <v>5.3361999999999998</v>
      </c>
      <c r="AD346" s="332">
        <f t="shared" si="137"/>
        <v>5.3361999999999998</v>
      </c>
      <c r="AE346" s="332">
        <f t="shared" si="137"/>
        <v>5.3361999999999998</v>
      </c>
      <c r="AF346" s="332">
        <f t="shared" si="137"/>
        <v>5.3361999999999998</v>
      </c>
      <c r="AG346" s="332">
        <f t="shared" si="137"/>
        <v>5.3361999999999998</v>
      </c>
      <c r="AH346" s="332">
        <f t="shared" si="137"/>
        <v>5.3361999999999998</v>
      </c>
      <c r="AI346" s="332"/>
    </row>
    <row r="347" spans="2:52">
      <c r="B347" s="16"/>
      <c r="C347" s="17"/>
      <c r="D347" s="17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</row>
    <row r="348" spans="2:52" ht="14.4">
      <c r="B348" s="30"/>
      <c r="C348" s="31" t="s">
        <v>923</v>
      </c>
      <c r="D348" s="31" t="s">
        <v>823</v>
      </c>
      <c r="E348" s="32">
        <f>(E282+E286+E290)/12000</f>
        <v>0</v>
      </c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F348" s="32"/>
      <c r="AG348" s="32"/>
      <c r="AH348" s="32"/>
      <c r="AI348" s="33" t="s">
        <v>924</v>
      </c>
    </row>
    <row r="349" spans="2:52" ht="14.4">
      <c r="B349" s="30"/>
      <c r="C349" s="31" t="s">
        <v>925</v>
      </c>
      <c r="D349" s="31" t="s">
        <v>823</v>
      </c>
      <c r="E349" s="32">
        <f>E345/12000</f>
        <v>0</v>
      </c>
      <c r="F349" s="32">
        <f t="shared" ref="F349:AH349" si="138">F345/12000</f>
        <v>0</v>
      </c>
      <c r="G349" s="32">
        <f t="shared" si="138"/>
        <v>0</v>
      </c>
      <c r="H349" s="32">
        <f t="shared" si="138"/>
        <v>0</v>
      </c>
      <c r="I349" s="32">
        <f t="shared" si="138"/>
        <v>0</v>
      </c>
      <c r="J349" s="32">
        <f t="shared" si="138"/>
        <v>4.2220000000000004</v>
      </c>
      <c r="K349" s="32">
        <f t="shared" si="138"/>
        <v>4.2220000000000004</v>
      </c>
      <c r="L349" s="32">
        <f t="shared" si="138"/>
        <v>4.2220000000000004</v>
      </c>
      <c r="M349" s="32">
        <f t="shared" si="138"/>
        <v>4.2220000000000004</v>
      </c>
      <c r="N349" s="32">
        <f t="shared" si="138"/>
        <v>4.2220000000000004</v>
      </c>
      <c r="O349" s="32">
        <f t="shared" si="138"/>
        <v>4.2220000000000004</v>
      </c>
      <c r="P349" s="32">
        <f t="shared" si="138"/>
        <v>4.4468333333333332</v>
      </c>
      <c r="Q349" s="32">
        <f t="shared" si="138"/>
        <v>4.4468333333333332</v>
      </c>
      <c r="R349" s="32">
        <f t="shared" si="138"/>
        <v>4.4468333333333332</v>
      </c>
      <c r="S349" s="32">
        <f t="shared" si="138"/>
        <v>4.4468333333333332</v>
      </c>
      <c r="T349" s="32">
        <f t="shared" si="138"/>
        <v>4.4468333333333332</v>
      </c>
      <c r="U349" s="32">
        <f t="shared" si="138"/>
        <v>4.4468333333333332</v>
      </c>
      <c r="V349" s="32">
        <f t="shared" si="138"/>
        <v>4.4468333333333332</v>
      </c>
      <c r="W349" s="32">
        <f t="shared" si="138"/>
        <v>4.4468333333333332</v>
      </c>
      <c r="X349" s="32">
        <f t="shared" si="138"/>
        <v>4.4468333333333332</v>
      </c>
      <c r="Y349" s="32">
        <f t="shared" si="138"/>
        <v>4.4468333333333332</v>
      </c>
      <c r="Z349" s="32">
        <f t="shared" si="138"/>
        <v>4.4468333333333332</v>
      </c>
      <c r="AA349" s="32">
        <f t="shared" si="138"/>
        <v>4.4468333333333332</v>
      </c>
      <c r="AB349" s="32">
        <f t="shared" si="138"/>
        <v>4.4468333333333332</v>
      </c>
      <c r="AC349" s="32">
        <f t="shared" si="138"/>
        <v>4.4468333333333332</v>
      </c>
      <c r="AD349" s="32">
        <f t="shared" si="138"/>
        <v>4.4468333333333332</v>
      </c>
      <c r="AE349" s="32">
        <f t="shared" si="138"/>
        <v>4.4468333333333332</v>
      </c>
      <c r="AF349" s="32">
        <f t="shared" si="138"/>
        <v>4.4468333333333332</v>
      </c>
      <c r="AG349" s="32">
        <f t="shared" si="138"/>
        <v>4.4468333333333332</v>
      </c>
      <c r="AH349" s="32">
        <f t="shared" si="138"/>
        <v>4.4468333333333332</v>
      </c>
      <c r="AI349" s="33">
        <f>AVERAGE(E349:AH349)</f>
        <v>3.6607277777777765</v>
      </c>
    </row>
    <row r="351" spans="2:52" ht="18">
      <c r="C351" s="247" t="s">
        <v>930</v>
      </c>
    </row>
    <row r="352" spans="2:52" ht="14.4">
      <c r="B352" s="30"/>
      <c r="C352" s="31" t="s">
        <v>923</v>
      </c>
      <c r="D352" s="31" t="s">
        <v>823</v>
      </c>
      <c r="E352" s="32">
        <f>SUM(E348,E245)</f>
        <v>138.00666666666663</v>
      </c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F352" s="32"/>
      <c r="AG352" s="32"/>
      <c r="AH352" s="32"/>
      <c r="AI352" s="33" t="s">
        <v>924</v>
      </c>
    </row>
    <row r="353" spans="2:35" ht="14.4">
      <c r="B353" s="30"/>
      <c r="C353" s="31" t="s">
        <v>925</v>
      </c>
      <c r="D353" s="31" t="s">
        <v>823</v>
      </c>
      <c r="E353" s="32">
        <f>SUM(E349,E246)</f>
        <v>138.00666666666663</v>
      </c>
      <c r="F353" s="32">
        <f t="shared" ref="F353:AH353" si="139">SUM(F349,F246)</f>
        <v>147.94511904761902</v>
      </c>
      <c r="G353" s="32">
        <f t="shared" si="139"/>
        <v>157.8835714285714</v>
      </c>
      <c r="H353" s="32">
        <f t="shared" si="139"/>
        <v>167.82202380952376</v>
      </c>
      <c r="I353" s="32">
        <f t="shared" si="139"/>
        <v>177.76047619047617</v>
      </c>
      <c r="J353" s="32">
        <f t="shared" si="139"/>
        <v>192.3000952380952</v>
      </c>
      <c r="K353" s="32">
        <f t="shared" si="139"/>
        <v>198.11146428571428</v>
      </c>
      <c r="L353" s="32">
        <f t="shared" si="139"/>
        <v>208.23950000000002</v>
      </c>
      <c r="M353" s="32">
        <f t="shared" si="139"/>
        <v>212.13816666666668</v>
      </c>
      <c r="N353" s="32">
        <f t="shared" si="139"/>
        <v>212.51733333333334</v>
      </c>
      <c r="O353" s="32">
        <f t="shared" si="139"/>
        <v>212.70691666666667</v>
      </c>
      <c r="P353" s="32">
        <f t="shared" si="139"/>
        <v>215.14166666666665</v>
      </c>
      <c r="Q353" s="32">
        <f t="shared" si="139"/>
        <v>215.52083333333334</v>
      </c>
      <c r="R353" s="32">
        <f t="shared" si="139"/>
        <v>218.33208333333334</v>
      </c>
      <c r="S353" s="32">
        <f t="shared" si="139"/>
        <v>218.33208333333334</v>
      </c>
      <c r="T353" s="32">
        <f t="shared" si="139"/>
        <v>218.52166666666668</v>
      </c>
      <c r="U353" s="32">
        <f t="shared" si="139"/>
        <v>218.52166666666668</v>
      </c>
      <c r="V353" s="32">
        <f t="shared" si="139"/>
        <v>218.52166666666668</v>
      </c>
      <c r="W353" s="32">
        <f t="shared" si="139"/>
        <v>218.52166666666668</v>
      </c>
      <c r="X353" s="32">
        <f t="shared" si="139"/>
        <v>233.08566666666667</v>
      </c>
      <c r="Y353" s="32">
        <f t="shared" si="139"/>
        <v>233.08566666666667</v>
      </c>
      <c r="Z353" s="32">
        <f t="shared" si="139"/>
        <v>233.08566666666667</v>
      </c>
      <c r="AA353" s="32">
        <f t="shared" si="139"/>
        <v>233.08566666666667</v>
      </c>
      <c r="AB353" s="32">
        <f t="shared" si="139"/>
        <v>246.57166666666666</v>
      </c>
      <c r="AC353" s="32">
        <f t="shared" si="139"/>
        <v>246.57166666666666</v>
      </c>
      <c r="AD353" s="32">
        <f t="shared" si="139"/>
        <v>246.57166666666666</v>
      </c>
      <c r="AE353" s="32">
        <f t="shared" si="139"/>
        <v>246.57166666666666</v>
      </c>
      <c r="AF353" s="32">
        <f t="shared" si="139"/>
        <v>246.57166666666666</v>
      </c>
      <c r="AG353" s="32">
        <f t="shared" si="139"/>
        <v>246.57166666666666</v>
      </c>
      <c r="AH353" s="32">
        <f t="shared" si="139"/>
        <v>246.57166666666666</v>
      </c>
      <c r="AI353" s="33">
        <f>AVERAGE(E353:AH353)</f>
        <v>214.17296666666667</v>
      </c>
    </row>
  </sheetData>
  <mergeCells count="105">
    <mergeCell ref="B333:C333"/>
    <mergeCell ref="B337:C337"/>
    <mergeCell ref="B313:C313"/>
    <mergeCell ref="B317:C317"/>
    <mergeCell ref="B321:C321"/>
    <mergeCell ref="B325:C325"/>
    <mergeCell ref="B329:C329"/>
    <mergeCell ref="B281:C281"/>
    <mergeCell ref="B285:C285"/>
    <mergeCell ref="B289:C289"/>
    <mergeCell ref="B293:C293"/>
    <mergeCell ref="B294:C294"/>
    <mergeCell ref="B261:C261"/>
    <mergeCell ref="B265:C265"/>
    <mergeCell ref="B269:C269"/>
    <mergeCell ref="B273:C273"/>
    <mergeCell ref="B277:C277"/>
    <mergeCell ref="AE257:AE258"/>
    <mergeCell ref="AF257:AF258"/>
    <mergeCell ref="AG257:AG258"/>
    <mergeCell ref="AH257:AH258"/>
    <mergeCell ref="B260:C260"/>
    <mergeCell ref="Z257:Z258"/>
    <mergeCell ref="AA257:AA258"/>
    <mergeCell ref="AB257:AB258"/>
    <mergeCell ref="AC257:AC258"/>
    <mergeCell ref="AD257:AD258"/>
    <mergeCell ref="U257:U258"/>
    <mergeCell ref="V257:V258"/>
    <mergeCell ref="W257:W258"/>
    <mergeCell ref="X257:X258"/>
    <mergeCell ref="Y257:Y258"/>
    <mergeCell ref="P257:P258"/>
    <mergeCell ref="Q257:Q258"/>
    <mergeCell ref="R257:R258"/>
    <mergeCell ref="S257:S258"/>
    <mergeCell ref="T257:T258"/>
    <mergeCell ref="B248:D248"/>
    <mergeCell ref="B256:B259"/>
    <mergeCell ref="C256:C259"/>
    <mergeCell ref="D256:D259"/>
    <mergeCell ref="E256:AH256"/>
    <mergeCell ref="E257:E258"/>
    <mergeCell ref="F257:F258"/>
    <mergeCell ref="G257:G258"/>
    <mergeCell ref="H257:H258"/>
    <mergeCell ref="I257:I258"/>
    <mergeCell ref="J257:J258"/>
    <mergeCell ref="K257:K258"/>
    <mergeCell ref="L257:L258"/>
    <mergeCell ref="M257:M258"/>
    <mergeCell ref="N257:N258"/>
    <mergeCell ref="O257:O258"/>
    <mergeCell ref="B227:C227"/>
    <mergeCell ref="B30:C30"/>
    <mergeCell ref="B40:C40"/>
    <mergeCell ref="B50:C50"/>
    <mergeCell ref="B60:C60"/>
    <mergeCell ref="B70:C70"/>
    <mergeCell ref="B80:C80"/>
    <mergeCell ref="B90:C90"/>
    <mergeCell ref="B91:C91"/>
    <mergeCell ref="B167:C167"/>
    <mergeCell ref="B177:C177"/>
    <mergeCell ref="B187:C187"/>
    <mergeCell ref="B197:C197"/>
    <mergeCell ref="B207:C207"/>
    <mergeCell ref="B217:C217"/>
    <mergeCell ref="B19:C19"/>
    <mergeCell ref="B20:C20"/>
    <mergeCell ref="AB16:AB17"/>
    <mergeCell ref="AC16:AC17"/>
    <mergeCell ref="AD16:AD17"/>
    <mergeCell ref="AE16:AE17"/>
    <mergeCell ref="AF16:AF17"/>
    <mergeCell ref="AG16:AG17"/>
    <mergeCell ref="V16:V17"/>
    <mergeCell ref="W16:W17"/>
    <mergeCell ref="X16:X17"/>
    <mergeCell ref="Y16:Y17"/>
    <mergeCell ref="Z16:Z17"/>
    <mergeCell ref="AA16:AA17"/>
    <mergeCell ref="P16:P17"/>
    <mergeCell ref="Q16:Q17"/>
    <mergeCell ref="R16:R17"/>
    <mergeCell ref="S16:S17"/>
    <mergeCell ref="T16:T17"/>
    <mergeCell ref="U16:U17"/>
    <mergeCell ref="O16:O17"/>
    <mergeCell ref="B7:D7"/>
    <mergeCell ref="B15:B18"/>
    <mergeCell ref="C15:C18"/>
    <mergeCell ref="D15:D18"/>
    <mergeCell ref="E15:AH15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AH16:AH17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05F8-9B07-454F-BC45-70BBB96F45E7}">
  <sheetPr>
    <tabColor rgb="FF00B050"/>
  </sheetPr>
  <dimension ref="A1:M78"/>
  <sheetViews>
    <sheetView showGridLines="0" zoomScale="80" zoomScaleNormal="80" workbookViewId="0"/>
  </sheetViews>
  <sheetFormatPr defaultRowHeight="13.8"/>
  <cols>
    <col min="1" max="1" width="3" customWidth="1"/>
    <col min="2" max="2" width="14.75" bestFit="1" customWidth="1"/>
    <col min="3" max="3" width="79.375" customWidth="1"/>
    <col min="4" max="4" width="20.75" bestFit="1" customWidth="1"/>
    <col min="5" max="5" width="14.375" bestFit="1" customWidth="1"/>
    <col min="6" max="6" width="15.125" customWidth="1"/>
    <col min="7" max="7" width="16.375" bestFit="1" customWidth="1"/>
    <col min="8" max="8" width="4.875" customWidth="1"/>
    <col min="9" max="9" width="16.375" customWidth="1"/>
    <col min="10" max="11" width="14.375" bestFit="1" customWidth="1"/>
  </cols>
  <sheetData>
    <row r="1" spans="1:13" s="196" customFormat="1" ht="18">
      <c r="A1" s="1"/>
      <c r="B1" s="103"/>
      <c r="C1" s="104"/>
      <c r="D1" s="1"/>
      <c r="E1" s="1"/>
      <c r="F1" s="1"/>
      <c r="G1" s="1"/>
      <c r="H1" s="1"/>
      <c r="I1" s="284"/>
      <c r="J1" s="284"/>
      <c r="K1" s="284"/>
      <c r="L1" s="284"/>
      <c r="M1" s="284"/>
    </row>
    <row r="2" spans="1:13" s="196" customFormat="1" ht="14.4">
      <c r="A2" s="1"/>
      <c r="B2" s="1"/>
      <c r="C2" s="34"/>
      <c r="D2" s="1"/>
      <c r="E2" s="1"/>
      <c r="F2" s="1"/>
      <c r="G2" s="1"/>
      <c r="H2" s="1"/>
      <c r="I2" s="284"/>
      <c r="J2" s="284"/>
      <c r="K2" s="284"/>
      <c r="L2" s="284"/>
      <c r="M2" s="284"/>
    </row>
    <row r="3" spans="1:13" s="196" customFormat="1" ht="14.4">
      <c r="A3" s="1"/>
      <c r="B3" s="1"/>
      <c r="C3" s="34"/>
      <c r="D3" s="1"/>
      <c r="E3" s="1"/>
      <c r="F3"/>
      <c r="G3" s="1"/>
      <c r="H3" s="1"/>
      <c r="I3" s="284"/>
      <c r="J3" s="284"/>
      <c r="K3" s="284"/>
      <c r="L3" s="284"/>
      <c r="M3" s="284"/>
    </row>
    <row r="4" spans="1:13" s="196" customFormat="1" ht="14.4">
      <c r="A4" s="1"/>
      <c r="B4" s="1"/>
      <c r="C4" s="34"/>
      <c r="D4" s="1"/>
      <c r="E4" s="1"/>
      <c r="F4"/>
      <c r="G4" s="1"/>
      <c r="H4" s="1"/>
      <c r="I4" s="284"/>
      <c r="J4" s="284"/>
      <c r="K4" s="284"/>
      <c r="L4" s="284"/>
      <c r="M4" s="284"/>
    </row>
    <row r="5" spans="1:13" s="196" customFormat="1" ht="14.4">
      <c r="A5" s="1"/>
      <c r="B5" s="105"/>
      <c r="C5" s="106"/>
      <c r="D5" s="105"/>
      <c r="E5" s="1"/>
      <c r="F5" s="1"/>
      <c r="G5" s="1"/>
      <c r="H5" s="1"/>
      <c r="I5" s="284"/>
      <c r="J5" s="284"/>
      <c r="K5" s="284"/>
      <c r="L5" s="284"/>
      <c r="M5" s="284"/>
    </row>
    <row r="6" spans="1:13" s="196" customFormat="1" ht="14.4">
      <c r="A6" s="1"/>
      <c r="B6" s="1"/>
      <c r="C6" s="34"/>
      <c r="D6" s="1"/>
      <c r="E6" s="1"/>
      <c r="F6" s="1"/>
      <c r="G6" s="1"/>
      <c r="H6" s="1"/>
      <c r="I6" s="284"/>
      <c r="J6" s="284"/>
      <c r="K6" s="284"/>
      <c r="L6" s="284"/>
      <c r="M6" s="284"/>
    </row>
    <row r="7" spans="1:13" s="196" customFormat="1" ht="49.95" customHeight="1">
      <c r="A7" s="1"/>
      <c r="B7" s="359" t="s">
        <v>0</v>
      </c>
      <c r="C7" s="360"/>
      <c r="D7" s="361"/>
      <c r="E7" s="1"/>
      <c r="F7" s="1"/>
      <c r="G7" s="1"/>
      <c r="H7" s="1"/>
      <c r="I7" s="284"/>
      <c r="J7" s="284"/>
      <c r="K7" s="284"/>
      <c r="L7" s="284"/>
      <c r="M7" s="284"/>
    </row>
    <row r="8" spans="1:13" s="196" customFormat="1" ht="15.6">
      <c r="A8" s="1"/>
      <c r="B8" s="107" t="s">
        <v>1</v>
      </c>
      <c r="C8" s="108"/>
      <c r="D8" s="109"/>
      <c r="E8" s="1"/>
      <c r="F8" s="1"/>
      <c r="G8" s="1"/>
      <c r="H8" s="1"/>
      <c r="I8" s="284"/>
      <c r="J8" s="284"/>
      <c r="K8" s="284"/>
      <c r="L8" s="284"/>
      <c r="M8" s="284"/>
    </row>
    <row r="9" spans="1:13" s="196" customFormat="1" ht="15.6">
      <c r="A9" s="1"/>
      <c r="B9" s="110" t="s">
        <v>2</v>
      </c>
      <c r="C9" s="111"/>
      <c r="D9" s="112"/>
      <c r="E9" s="1"/>
      <c r="F9" s="1"/>
      <c r="G9" s="1"/>
      <c r="H9" s="1"/>
      <c r="I9" s="284"/>
      <c r="J9" s="284"/>
      <c r="K9" s="284"/>
      <c r="L9" s="284"/>
      <c r="M9" s="284"/>
    </row>
    <row r="10" spans="1:13" s="196" customFormat="1" ht="15.6">
      <c r="A10" s="1"/>
      <c r="B10" s="113"/>
      <c r="C10" s="114"/>
      <c r="D10" s="113"/>
      <c r="E10" s="1"/>
      <c r="F10" s="1"/>
      <c r="G10" s="1"/>
      <c r="H10" s="1"/>
      <c r="I10" s="284"/>
      <c r="J10" s="284"/>
      <c r="K10" s="284"/>
      <c r="L10" s="284"/>
      <c r="M10" s="284"/>
    </row>
    <row r="11" spans="1:13" s="196" customFormat="1" ht="18">
      <c r="A11" s="1"/>
      <c r="B11" s="115" t="s">
        <v>225</v>
      </c>
      <c r="C11" s="116"/>
      <c r="D11" s="117"/>
      <c r="E11" s="1"/>
      <c r="F11" s="1"/>
      <c r="G11" s="1"/>
      <c r="H11" s="1"/>
      <c r="I11" s="284"/>
      <c r="J11" s="284"/>
      <c r="K11" s="284"/>
      <c r="L11" s="284"/>
      <c r="M11" s="284"/>
    </row>
    <row r="12" spans="1:13" s="196" customFormat="1" ht="18">
      <c r="A12" s="1"/>
      <c r="B12" s="118" t="s">
        <v>1016</v>
      </c>
      <c r="C12" s="119"/>
      <c r="D12" s="120"/>
      <c r="E12" s="1"/>
      <c r="F12" s="1"/>
      <c r="G12" s="1"/>
      <c r="H12" s="1"/>
      <c r="I12" s="284"/>
      <c r="J12" s="284"/>
      <c r="K12" s="284"/>
      <c r="L12" s="284"/>
      <c r="M12" s="284"/>
    </row>
    <row r="13" spans="1:13" s="196" customFormat="1" ht="18">
      <c r="A13" s="1"/>
      <c r="B13" s="121" t="s">
        <v>4</v>
      </c>
      <c r="C13" s="122"/>
      <c r="D13" s="123"/>
      <c r="E13" s="1"/>
      <c r="F13" s="1"/>
      <c r="G13" s="1"/>
      <c r="H13" s="1"/>
      <c r="I13" s="284"/>
      <c r="J13" s="284"/>
      <c r="K13" s="284"/>
      <c r="L13" s="284"/>
      <c r="M13" s="284"/>
    </row>
    <row r="14" spans="1:13" s="246" customFormat="1" ht="14.4">
      <c r="A14"/>
      <c r="B14" s="1"/>
      <c r="C14"/>
      <c r="D14"/>
      <c r="E14" s="1"/>
      <c r="F14"/>
      <c r="G14"/>
      <c r="H14"/>
      <c r="I14" s="322"/>
      <c r="J14" s="322"/>
      <c r="K14" s="322"/>
      <c r="L14" s="322"/>
      <c r="M14" s="322"/>
    </row>
    <row r="15" spans="1:13" ht="14.4">
      <c r="B15" s="36"/>
      <c r="C15" s="35"/>
      <c r="D15" s="36"/>
      <c r="E15" s="333" t="s">
        <v>931</v>
      </c>
      <c r="F15" s="333" t="s">
        <v>932</v>
      </c>
      <c r="G15" s="333" t="s">
        <v>933</v>
      </c>
      <c r="I15" s="322"/>
      <c r="J15" s="322"/>
      <c r="K15" s="322"/>
      <c r="L15" s="322"/>
      <c r="M15" s="322"/>
    </row>
    <row r="16" spans="1:13" ht="13.95" customHeight="1">
      <c r="B16" s="372" t="s">
        <v>88</v>
      </c>
      <c r="C16" s="382"/>
      <c r="D16" s="382" t="s">
        <v>89</v>
      </c>
      <c r="E16" s="382" t="s">
        <v>216</v>
      </c>
      <c r="F16" s="382" t="s">
        <v>934</v>
      </c>
      <c r="G16" s="373" t="s">
        <v>935</v>
      </c>
      <c r="I16" s="248" t="s">
        <v>936</v>
      </c>
      <c r="J16" s="334"/>
      <c r="K16" s="334"/>
      <c r="L16" s="334"/>
      <c r="M16" s="334"/>
    </row>
    <row r="17" spans="2:13" ht="14.4">
      <c r="B17" s="383" t="s">
        <v>91</v>
      </c>
      <c r="C17" s="383" t="s">
        <v>92</v>
      </c>
      <c r="D17" s="383"/>
      <c r="E17" s="383"/>
      <c r="F17" s="383"/>
      <c r="G17" s="383"/>
      <c r="I17" s="322" t="s">
        <v>937</v>
      </c>
      <c r="J17" s="322"/>
      <c r="K17" s="322"/>
      <c r="L17" s="322"/>
      <c r="M17" s="322"/>
    </row>
    <row r="18" spans="2:13" ht="14.4">
      <c r="B18" s="384"/>
      <c r="C18" s="384"/>
      <c r="D18" s="384"/>
      <c r="E18" s="384"/>
      <c r="F18" s="384"/>
      <c r="G18" s="384"/>
      <c r="I18" s="322"/>
      <c r="J18" s="322"/>
      <c r="K18" s="322"/>
      <c r="L18" s="322"/>
      <c r="M18" s="322"/>
    </row>
    <row r="19" spans="2:13" ht="14.4">
      <c r="B19" s="206"/>
      <c r="C19" s="206" t="s">
        <v>93</v>
      </c>
      <c r="D19" s="205"/>
      <c r="E19" s="205"/>
      <c r="F19" s="205"/>
      <c r="G19" s="205"/>
      <c r="I19" s="322"/>
      <c r="J19" s="322"/>
      <c r="K19" s="322"/>
      <c r="L19" s="322"/>
      <c r="M19" s="322"/>
    </row>
    <row r="20" spans="2:13" ht="14.4">
      <c r="B20" s="37"/>
      <c r="C20" s="38" t="s">
        <v>94</v>
      </c>
      <c r="D20" s="39"/>
      <c r="E20" s="40"/>
      <c r="F20" s="40"/>
      <c r="G20" s="40"/>
      <c r="I20" s="322"/>
      <c r="J20" s="322"/>
      <c r="K20" s="322"/>
      <c r="L20" s="322"/>
      <c r="M20" s="322"/>
    </row>
    <row r="21" spans="2:13" ht="14.4">
      <c r="B21" s="285" t="s">
        <v>95</v>
      </c>
      <c r="C21" s="335" t="s">
        <v>96</v>
      </c>
      <c r="D21" s="285" t="s">
        <v>938</v>
      </c>
      <c r="E21" s="249">
        <v>1</v>
      </c>
      <c r="F21" s="249">
        <v>1.1000000000000001</v>
      </c>
      <c r="G21" s="249">
        <v>1.2</v>
      </c>
      <c r="I21" s="322"/>
      <c r="J21" s="322"/>
      <c r="K21" s="322"/>
      <c r="L21" s="322"/>
      <c r="M21" s="322"/>
    </row>
    <row r="22" spans="2:13" ht="14.4">
      <c r="B22" s="285" t="s">
        <v>98</v>
      </c>
      <c r="C22" s="335" t="s">
        <v>99</v>
      </c>
      <c r="D22" s="285" t="s">
        <v>938</v>
      </c>
      <c r="E22" s="249">
        <v>2.1</v>
      </c>
      <c r="F22" s="249">
        <v>2.2050000000000001</v>
      </c>
      <c r="G22" s="249">
        <v>2.31</v>
      </c>
      <c r="I22" s="336"/>
      <c r="J22" s="322"/>
      <c r="K22" s="322"/>
      <c r="L22" s="322"/>
      <c r="M22" s="322"/>
    </row>
    <row r="23" spans="2:13" ht="14.4">
      <c r="B23" s="285">
        <v>4011353</v>
      </c>
      <c r="C23" s="335" t="s">
        <v>100</v>
      </c>
      <c r="D23" s="285" t="s">
        <v>939</v>
      </c>
      <c r="E23" s="249">
        <v>70</v>
      </c>
      <c r="F23" s="249">
        <v>73.5</v>
      </c>
      <c r="G23" s="249">
        <v>77</v>
      </c>
      <c r="I23" s="322"/>
      <c r="J23" s="322"/>
      <c r="K23" s="322"/>
      <c r="L23" s="322"/>
      <c r="M23" s="322"/>
    </row>
    <row r="24" spans="2:13" ht="28.8">
      <c r="B24" s="285" t="s">
        <v>102</v>
      </c>
      <c r="C24" s="316" t="s">
        <v>103</v>
      </c>
      <c r="D24" s="285" t="s">
        <v>940</v>
      </c>
      <c r="E24" s="249">
        <v>5.04</v>
      </c>
      <c r="F24" s="249">
        <v>5.2919999999999998</v>
      </c>
      <c r="G24" s="249">
        <v>5.5439999999999996</v>
      </c>
      <c r="I24" s="336"/>
      <c r="J24" s="336"/>
      <c r="K24" s="322"/>
      <c r="L24" s="322"/>
      <c r="M24" s="322"/>
    </row>
    <row r="25" spans="2:13" ht="43.2">
      <c r="B25" s="285" t="s">
        <v>105</v>
      </c>
      <c r="C25" s="316" t="s">
        <v>106</v>
      </c>
      <c r="D25" s="285" t="s">
        <v>941</v>
      </c>
      <c r="E25" s="249">
        <v>20</v>
      </c>
      <c r="F25" s="249">
        <v>21</v>
      </c>
      <c r="G25" s="249">
        <v>22</v>
      </c>
      <c r="I25" s="322"/>
      <c r="J25" s="322"/>
      <c r="K25" s="322"/>
      <c r="L25" s="322"/>
      <c r="M25" s="322"/>
    </row>
    <row r="26" spans="2:13" ht="14.4">
      <c r="B26" s="285">
        <v>3806402</v>
      </c>
      <c r="C26" s="335" t="s">
        <v>108</v>
      </c>
      <c r="D26" s="285" t="s">
        <v>942</v>
      </c>
      <c r="E26" s="249">
        <v>1.5E-3</v>
      </c>
      <c r="F26" s="249">
        <v>1.5E-3</v>
      </c>
      <c r="G26" s="249">
        <v>2E-3</v>
      </c>
      <c r="I26" s="322"/>
      <c r="J26" s="322"/>
      <c r="K26" s="322"/>
      <c r="L26" s="322"/>
      <c r="M26" s="322"/>
    </row>
    <row r="27" spans="2:13" ht="14.4">
      <c r="B27" s="43"/>
      <c r="C27" s="38" t="s">
        <v>109</v>
      </c>
      <c r="D27" s="39"/>
      <c r="E27" s="42"/>
      <c r="F27" s="42"/>
      <c r="G27" s="42"/>
      <c r="I27" s="322"/>
      <c r="J27" s="322"/>
      <c r="K27" s="322"/>
      <c r="L27" s="322"/>
      <c r="M27" s="322"/>
    </row>
    <row r="28" spans="2:13" ht="14.4">
      <c r="B28" s="285" t="s">
        <v>110</v>
      </c>
      <c r="C28" s="335" t="s">
        <v>111</v>
      </c>
      <c r="D28" s="285" t="s">
        <v>943</v>
      </c>
      <c r="E28" s="249">
        <v>8.9999999999999993E-3</v>
      </c>
      <c r="F28" s="249">
        <f>E28</f>
        <v>8.9999999999999993E-3</v>
      </c>
      <c r="G28" s="249">
        <f>F28</f>
        <v>8.9999999999999993E-3</v>
      </c>
      <c r="I28" s="322"/>
      <c r="J28" s="322"/>
      <c r="K28" s="322"/>
      <c r="L28" s="322"/>
      <c r="M28" s="322"/>
    </row>
    <row r="29" spans="2:13" ht="14.4">
      <c r="B29" s="285" t="s">
        <v>112</v>
      </c>
      <c r="C29" s="335" t="s">
        <v>111</v>
      </c>
      <c r="D29" s="285" t="s">
        <v>943</v>
      </c>
      <c r="E29" s="249">
        <v>4.4999999999999999E-4</v>
      </c>
      <c r="F29" s="249">
        <v>4.4999999999999999E-4</v>
      </c>
      <c r="G29" s="249">
        <v>4.4999999999999999E-4</v>
      </c>
      <c r="I29" s="322"/>
      <c r="J29" s="322"/>
      <c r="K29" s="322"/>
      <c r="L29" s="322"/>
      <c r="M29" s="322"/>
    </row>
    <row r="30" spans="2:13" ht="14.4">
      <c r="B30" s="285" t="s">
        <v>113</v>
      </c>
      <c r="C30" s="335" t="s">
        <v>114</v>
      </c>
      <c r="D30" s="285" t="s">
        <v>944</v>
      </c>
      <c r="E30" s="249">
        <f>1.02*0.06323*(1/2.4)</f>
        <v>2.6872750000000001E-2</v>
      </c>
      <c r="F30" s="249">
        <f>E30</f>
        <v>2.6872750000000001E-2</v>
      </c>
      <c r="G30" s="249">
        <f>F30</f>
        <v>2.6872750000000001E-2</v>
      </c>
      <c r="I30" s="322"/>
      <c r="J30" s="322"/>
      <c r="K30" s="322"/>
      <c r="L30" s="322"/>
      <c r="M30" s="322"/>
    </row>
    <row r="31" spans="2:13" ht="14.4">
      <c r="B31" s="285" t="s">
        <v>115</v>
      </c>
      <c r="C31" s="335" t="s">
        <v>116</v>
      </c>
      <c r="D31" s="285" t="s">
        <v>944</v>
      </c>
      <c r="E31" s="249">
        <f>1.02*0.05882</f>
        <v>5.9996399999999998E-2</v>
      </c>
      <c r="F31" s="249">
        <f>E31</f>
        <v>5.9996399999999998E-2</v>
      </c>
      <c r="G31" s="249">
        <f>F31</f>
        <v>5.9996399999999998E-2</v>
      </c>
      <c r="I31" s="322"/>
      <c r="J31" s="322"/>
      <c r="K31" s="322"/>
      <c r="L31" s="322"/>
      <c r="M31" s="322"/>
    </row>
    <row r="32" spans="2:13" ht="14.4">
      <c r="B32" s="205"/>
      <c r="C32" s="206" t="s">
        <v>117</v>
      </c>
      <c r="D32" s="205"/>
      <c r="E32" s="205"/>
      <c r="F32" s="205"/>
      <c r="G32" s="205"/>
      <c r="I32" s="322"/>
      <c r="J32" s="322"/>
      <c r="K32" s="322"/>
      <c r="L32" s="322"/>
      <c r="M32" s="322"/>
    </row>
    <row r="33" spans="2:13" ht="14.4">
      <c r="B33" s="43"/>
      <c r="C33" s="38" t="s">
        <v>118</v>
      </c>
      <c r="D33" s="43"/>
      <c r="E33" s="44"/>
      <c r="F33" s="44"/>
      <c r="G33" s="44"/>
      <c r="I33" s="322"/>
      <c r="J33" s="322"/>
      <c r="K33" s="322"/>
      <c r="L33" s="322"/>
      <c r="M33" s="322"/>
    </row>
    <row r="34" spans="2:13" ht="28.8">
      <c r="B34" s="285" t="s">
        <v>119</v>
      </c>
      <c r="C34" s="316" t="s">
        <v>120</v>
      </c>
      <c r="D34" s="285" t="s">
        <v>939</v>
      </c>
      <c r="E34" s="249">
        <v>19</v>
      </c>
      <c r="F34" s="249">
        <v>19.5</v>
      </c>
      <c r="G34" s="249">
        <v>20.5</v>
      </c>
      <c r="I34" s="322"/>
      <c r="J34" s="322"/>
      <c r="K34" s="322"/>
      <c r="L34" s="322"/>
      <c r="M34" s="322"/>
    </row>
    <row r="35" spans="2:13" ht="28.8">
      <c r="B35" s="285" t="s">
        <v>121</v>
      </c>
      <c r="C35" s="316" t="s">
        <v>122</v>
      </c>
      <c r="D35" s="285" t="s">
        <v>945</v>
      </c>
      <c r="E35" s="249">
        <v>12.5</v>
      </c>
      <c r="F35" s="249">
        <v>12.5</v>
      </c>
      <c r="G35" s="249">
        <v>12.5</v>
      </c>
      <c r="I35" s="322"/>
      <c r="J35" s="322"/>
      <c r="K35" s="322"/>
      <c r="L35" s="322"/>
      <c r="M35" s="322"/>
    </row>
    <row r="36" spans="2:13" ht="28.8">
      <c r="B36" s="285" t="s">
        <v>124</v>
      </c>
      <c r="C36" s="316" t="s">
        <v>125</v>
      </c>
      <c r="D36" s="285" t="s">
        <v>945</v>
      </c>
      <c r="E36" s="249">
        <v>1</v>
      </c>
      <c r="F36" s="249">
        <v>1.1000000000000001</v>
      </c>
      <c r="G36" s="249">
        <v>1.2</v>
      </c>
      <c r="I36" s="322"/>
      <c r="J36" s="322"/>
      <c r="K36" s="322"/>
      <c r="L36" s="322"/>
      <c r="M36" s="322"/>
    </row>
    <row r="37" spans="2:13" ht="14.4">
      <c r="B37" s="285" t="s">
        <v>126</v>
      </c>
      <c r="C37" s="335" t="s">
        <v>127</v>
      </c>
      <c r="D37" s="285" t="s">
        <v>945</v>
      </c>
      <c r="E37" s="249">
        <v>2.2000000000000002</v>
      </c>
      <c r="F37" s="249">
        <v>2.5</v>
      </c>
      <c r="G37" s="249">
        <v>2.8</v>
      </c>
      <c r="I37" s="322"/>
      <c r="J37" s="322"/>
      <c r="K37" s="322"/>
      <c r="L37" s="322"/>
      <c r="M37" s="322"/>
    </row>
    <row r="38" spans="2:13" ht="14.4">
      <c r="B38" s="43"/>
      <c r="C38" s="38" t="s">
        <v>128</v>
      </c>
      <c r="D38" s="43"/>
      <c r="E38" s="44"/>
      <c r="F38" s="44"/>
      <c r="G38" s="44"/>
      <c r="I38" s="322"/>
      <c r="J38" s="322"/>
      <c r="K38" s="322"/>
      <c r="L38" s="322"/>
      <c r="M38" s="322"/>
    </row>
    <row r="39" spans="2:13" ht="14.4">
      <c r="B39" s="285" t="s">
        <v>129</v>
      </c>
      <c r="C39" s="335" t="s">
        <v>130</v>
      </c>
      <c r="D39" s="285" t="s">
        <v>939</v>
      </c>
      <c r="E39" s="249">
        <v>2</v>
      </c>
      <c r="F39" s="249">
        <v>2</v>
      </c>
      <c r="G39" s="249">
        <v>2</v>
      </c>
      <c r="I39" s="322"/>
      <c r="J39" s="322"/>
      <c r="K39" s="322"/>
      <c r="L39" s="322"/>
      <c r="M39" s="322"/>
    </row>
    <row r="40" spans="2:13" ht="14.4">
      <c r="B40" s="285" t="s">
        <v>126</v>
      </c>
      <c r="C40" s="335" t="s">
        <v>131</v>
      </c>
      <c r="D40" s="285" t="s">
        <v>939</v>
      </c>
      <c r="E40" s="249">
        <v>30</v>
      </c>
      <c r="F40" s="249">
        <v>30</v>
      </c>
      <c r="G40" s="249">
        <v>30</v>
      </c>
      <c r="I40" s="322"/>
      <c r="J40" s="322"/>
      <c r="K40" s="322"/>
      <c r="L40" s="322"/>
      <c r="M40" s="322"/>
    </row>
    <row r="41" spans="2:13" ht="14.4">
      <c r="B41" s="43"/>
      <c r="C41" s="38" t="s">
        <v>132</v>
      </c>
      <c r="D41" s="43"/>
      <c r="E41" s="44"/>
      <c r="F41" s="44"/>
      <c r="G41" s="44"/>
      <c r="I41" s="322"/>
      <c r="J41" s="322"/>
      <c r="K41" s="322"/>
      <c r="L41" s="322"/>
      <c r="M41" s="322"/>
    </row>
    <row r="42" spans="2:13" ht="14.4">
      <c r="B42" s="285" t="s">
        <v>133</v>
      </c>
      <c r="C42" s="335" t="s">
        <v>134</v>
      </c>
      <c r="D42" s="285" t="s">
        <v>946</v>
      </c>
      <c r="E42" s="249">
        <v>30</v>
      </c>
      <c r="F42" s="249">
        <v>40</v>
      </c>
      <c r="G42" s="249">
        <v>50</v>
      </c>
      <c r="H42" s="45"/>
      <c r="I42" s="322"/>
      <c r="J42" s="322"/>
      <c r="K42" s="322"/>
      <c r="L42" s="322"/>
      <c r="M42" s="322"/>
    </row>
    <row r="43" spans="2:13" ht="14.4">
      <c r="B43" s="285" t="s">
        <v>136</v>
      </c>
      <c r="C43" s="335" t="s">
        <v>137</v>
      </c>
      <c r="D43" s="285" t="s">
        <v>947</v>
      </c>
      <c r="E43" s="249">
        <v>0.2</v>
      </c>
      <c r="F43" s="249">
        <v>0.3</v>
      </c>
      <c r="G43" s="249">
        <v>0.4</v>
      </c>
      <c r="I43" s="322"/>
      <c r="J43" s="322"/>
      <c r="K43" s="322"/>
      <c r="L43" s="322"/>
      <c r="M43" s="322"/>
    </row>
    <row r="44" spans="2:13" ht="14.4">
      <c r="B44" s="285" t="s">
        <v>138</v>
      </c>
      <c r="C44" s="335" t="s">
        <v>139</v>
      </c>
      <c r="D44" s="285" t="s">
        <v>946</v>
      </c>
      <c r="E44" s="249">
        <v>15</v>
      </c>
      <c r="F44" s="249">
        <v>25</v>
      </c>
      <c r="G44" s="249">
        <v>30</v>
      </c>
      <c r="I44" s="322"/>
      <c r="J44" s="322"/>
      <c r="K44" s="322"/>
      <c r="L44" s="322"/>
      <c r="M44" s="322"/>
    </row>
    <row r="45" spans="2:13" ht="14.4">
      <c r="B45" s="205"/>
      <c r="C45" s="206" t="s">
        <v>140</v>
      </c>
      <c r="D45" s="205"/>
      <c r="E45" s="250"/>
      <c r="F45" s="250"/>
      <c r="G45" s="250"/>
      <c r="I45" s="322"/>
      <c r="J45" s="322"/>
      <c r="K45" s="322"/>
      <c r="L45" s="322"/>
      <c r="M45" s="322"/>
    </row>
    <row r="46" spans="2:13" ht="14.4">
      <c r="B46" s="43"/>
      <c r="C46" s="38" t="s">
        <v>220</v>
      </c>
      <c r="D46" s="43"/>
      <c r="E46" s="44"/>
      <c r="F46" s="44"/>
      <c r="G46" s="44"/>
      <c r="I46" s="322"/>
      <c r="J46" s="322"/>
      <c r="K46" s="322"/>
      <c r="L46" s="322"/>
      <c r="M46" s="322"/>
    </row>
    <row r="47" spans="2:13" ht="14.4">
      <c r="B47" s="285" t="s">
        <v>142</v>
      </c>
      <c r="C47" s="335" t="s">
        <v>143</v>
      </c>
      <c r="D47" s="285" t="s">
        <v>948</v>
      </c>
      <c r="E47" s="249">
        <v>0.02</v>
      </c>
      <c r="F47" s="249">
        <v>2.1999999999999999E-2</v>
      </c>
      <c r="G47" s="249">
        <v>2.4E-2</v>
      </c>
      <c r="I47" s="322"/>
      <c r="J47" s="322"/>
      <c r="K47" s="322"/>
      <c r="L47" s="322"/>
      <c r="M47" s="322"/>
    </row>
    <row r="48" spans="2:13" ht="14.4">
      <c r="B48" s="285" t="s">
        <v>144</v>
      </c>
      <c r="C48" s="335" t="s">
        <v>145</v>
      </c>
      <c r="D48" s="285" t="s">
        <v>942</v>
      </c>
      <c r="E48" s="249">
        <v>1</v>
      </c>
      <c r="F48" s="249">
        <v>1.3</v>
      </c>
      <c r="G48" s="249">
        <v>1.3</v>
      </c>
      <c r="I48" s="322"/>
      <c r="J48" s="322"/>
      <c r="K48" s="322"/>
      <c r="L48" s="322"/>
      <c r="M48" s="322"/>
    </row>
    <row r="49" spans="2:13" ht="14.4">
      <c r="B49" s="285">
        <v>4915672</v>
      </c>
      <c r="C49" s="335" t="s">
        <v>151</v>
      </c>
      <c r="D49" s="285" t="s">
        <v>948</v>
      </c>
      <c r="E49" s="249">
        <v>1</v>
      </c>
      <c r="F49" s="249">
        <v>1</v>
      </c>
      <c r="G49" s="249">
        <v>1</v>
      </c>
      <c r="I49" s="322"/>
      <c r="J49" s="322"/>
      <c r="K49" s="322"/>
      <c r="L49" s="322"/>
      <c r="M49" s="322"/>
    </row>
    <row r="50" spans="2:13" ht="14.4">
      <c r="B50" s="205"/>
      <c r="C50" s="206" t="s">
        <v>152</v>
      </c>
      <c r="D50" s="205"/>
      <c r="E50" s="250"/>
      <c r="F50" s="250"/>
      <c r="G50" s="250"/>
      <c r="I50" s="322"/>
      <c r="J50" s="322"/>
      <c r="K50" s="322"/>
      <c r="L50" s="322"/>
      <c r="M50" s="322"/>
    </row>
    <row r="51" spans="2:13" ht="14.4">
      <c r="B51" s="43"/>
      <c r="C51" s="38" t="s">
        <v>153</v>
      </c>
      <c r="D51" s="43"/>
      <c r="E51" s="44"/>
      <c r="F51" s="44"/>
      <c r="G51" s="44"/>
      <c r="I51" s="322"/>
      <c r="J51" s="322"/>
      <c r="K51" s="322"/>
      <c r="L51" s="322"/>
      <c r="M51" s="322"/>
    </row>
    <row r="52" spans="2:13" ht="14.4">
      <c r="B52" s="285">
        <v>4915708</v>
      </c>
      <c r="C52" s="335" t="s">
        <v>154</v>
      </c>
      <c r="D52" s="285" t="s">
        <v>948</v>
      </c>
      <c r="E52" s="249">
        <v>2</v>
      </c>
      <c r="F52" s="249">
        <v>2.2000000000000002</v>
      </c>
      <c r="G52" s="249">
        <v>2.4</v>
      </c>
      <c r="I52" s="322"/>
      <c r="J52" s="322"/>
      <c r="K52" s="322"/>
      <c r="L52" s="322"/>
      <c r="M52" s="322"/>
    </row>
    <row r="53" spans="2:13" ht="14.4">
      <c r="B53" s="285" t="s">
        <v>144</v>
      </c>
      <c r="C53" s="335" t="s">
        <v>145</v>
      </c>
      <c r="D53" s="285" t="s">
        <v>942</v>
      </c>
      <c r="E53" s="249">
        <v>0.5</v>
      </c>
      <c r="F53" s="249">
        <v>0.5</v>
      </c>
      <c r="G53" s="249">
        <v>0.5</v>
      </c>
      <c r="I53" s="322"/>
      <c r="J53" s="322"/>
      <c r="K53" s="322"/>
      <c r="L53" s="322"/>
      <c r="M53" s="322"/>
    </row>
    <row r="54" spans="2:13" ht="14.4">
      <c r="B54" s="285">
        <v>4915710</v>
      </c>
      <c r="C54" s="335" t="s">
        <v>155</v>
      </c>
      <c r="D54" s="285" t="s">
        <v>948</v>
      </c>
      <c r="E54" s="249">
        <v>2</v>
      </c>
      <c r="F54" s="249">
        <v>2.2000000000000002</v>
      </c>
      <c r="G54" s="249">
        <v>2.4</v>
      </c>
      <c r="I54" s="322"/>
      <c r="J54" s="322"/>
      <c r="K54" s="322"/>
      <c r="L54" s="322"/>
      <c r="M54" s="322"/>
    </row>
    <row r="55" spans="2:13" ht="14.4">
      <c r="B55" s="285">
        <v>4915712</v>
      </c>
      <c r="C55" s="335" t="s">
        <v>156</v>
      </c>
      <c r="D55" s="285" t="s">
        <v>949</v>
      </c>
      <c r="E55" s="249">
        <v>0.5</v>
      </c>
      <c r="F55" s="249">
        <v>0.6</v>
      </c>
      <c r="G55" s="249">
        <v>0.65</v>
      </c>
      <c r="I55" s="322"/>
      <c r="J55" s="322"/>
      <c r="K55" s="322"/>
      <c r="L55" s="322"/>
      <c r="M55" s="322"/>
    </row>
    <row r="56" spans="2:13" ht="14.4">
      <c r="B56" s="285" t="s">
        <v>136</v>
      </c>
      <c r="C56" s="335" t="s">
        <v>157</v>
      </c>
      <c r="D56" s="285" t="s">
        <v>947</v>
      </c>
      <c r="E56" s="249">
        <v>0.2</v>
      </c>
      <c r="F56" s="249">
        <v>0.3</v>
      </c>
      <c r="G56" s="249">
        <v>0.4</v>
      </c>
      <c r="I56" s="322"/>
      <c r="J56" s="322"/>
      <c r="K56" s="322"/>
      <c r="L56" s="322"/>
      <c r="M56" s="322"/>
    </row>
    <row r="57" spans="2:13" ht="14.4">
      <c r="B57" s="205"/>
      <c r="C57" s="206" t="s">
        <v>158</v>
      </c>
      <c r="D57" s="205"/>
      <c r="E57" s="250"/>
      <c r="F57" s="250"/>
      <c r="G57" s="250"/>
      <c r="I57" s="322"/>
      <c r="J57" s="322"/>
      <c r="K57" s="322"/>
      <c r="L57" s="322"/>
      <c r="M57" s="322"/>
    </row>
    <row r="58" spans="2:13" ht="14.4">
      <c r="B58" s="43"/>
      <c r="C58" s="38" t="s">
        <v>159</v>
      </c>
      <c r="D58" s="43"/>
      <c r="E58" s="44"/>
      <c r="F58" s="44"/>
      <c r="G58" s="44"/>
      <c r="I58" s="322"/>
      <c r="J58" s="322"/>
      <c r="K58" s="322"/>
      <c r="L58" s="322"/>
      <c r="M58" s="322"/>
    </row>
    <row r="59" spans="2:13" ht="14.4">
      <c r="B59" s="285" t="s">
        <v>160</v>
      </c>
      <c r="C59" s="335" t="s">
        <v>161</v>
      </c>
      <c r="D59" s="285" t="s">
        <v>950</v>
      </c>
      <c r="E59" s="249">
        <v>4</v>
      </c>
      <c r="F59" s="249">
        <v>5</v>
      </c>
      <c r="G59" s="249">
        <v>6</v>
      </c>
      <c r="I59" s="322"/>
      <c r="J59" s="322"/>
      <c r="K59" s="322"/>
      <c r="L59" s="322"/>
      <c r="M59" s="322"/>
    </row>
    <row r="60" spans="2:13" ht="14.4">
      <c r="B60" s="285" t="s">
        <v>162</v>
      </c>
      <c r="C60" s="335" t="s">
        <v>163</v>
      </c>
      <c r="D60" s="285" t="s">
        <v>950</v>
      </c>
      <c r="E60" s="249">
        <v>4</v>
      </c>
      <c r="F60" s="249">
        <v>5</v>
      </c>
      <c r="G60" s="249">
        <v>6</v>
      </c>
      <c r="I60" s="322"/>
      <c r="J60" s="322"/>
      <c r="K60" s="322"/>
      <c r="L60" s="322"/>
      <c r="M60" s="322"/>
    </row>
    <row r="61" spans="2:13" ht="14.4">
      <c r="B61" s="285" t="s">
        <v>164</v>
      </c>
      <c r="C61" s="335" t="s">
        <v>165</v>
      </c>
      <c r="D61" s="285" t="s">
        <v>950</v>
      </c>
      <c r="E61" s="249">
        <v>4</v>
      </c>
      <c r="F61" s="249">
        <v>5</v>
      </c>
      <c r="G61" s="249">
        <v>6</v>
      </c>
      <c r="I61" s="322"/>
      <c r="J61" s="322"/>
      <c r="K61" s="322"/>
      <c r="L61" s="322"/>
      <c r="M61" s="322"/>
    </row>
    <row r="62" spans="2:13" ht="14.4">
      <c r="B62" s="205"/>
      <c r="C62" s="206" t="s">
        <v>166</v>
      </c>
      <c r="D62" s="205"/>
      <c r="E62" s="250"/>
      <c r="F62" s="250"/>
      <c r="G62" s="250"/>
      <c r="I62" s="322"/>
      <c r="J62" s="322"/>
      <c r="K62" s="322"/>
      <c r="L62" s="322"/>
      <c r="M62" s="322"/>
    </row>
    <row r="63" spans="2:13" ht="14.4">
      <c r="B63" s="43"/>
      <c r="C63" s="38" t="s">
        <v>223</v>
      </c>
      <c r="D63" s="43"/>
      <c r="E63" s="44"/>
      <c r="F63" s="44"/>
      <c r="G63" s="44"/>
      <c r="I63" s="322"/>
      <c r="J63" s="322"/>
      <c r="K63" s="322"/>
      <c r="L63" s="322"/>
      <c r="M63" s="322"/>
    </row>
    <row r="64" spans="2:13" ht="14.4">
      <c r="B64" s="285">
        <v>4915740</v>
      </c>
      <c r="C64" s="335" t="s">
        <v>168</v>
      </c>
      <c r="D64" s="285" t="s">
        <v>951</v>
      </c>
      <c r="E64" s="249">
        <v>4</v>
      </c>
      <c r="F64" s="249">
        <v>4</v>
      </c>
      <c r="G64" s="249">
        <v>4</v>
      </c>
      <c r="I64" s="322"/>
      <c r="J64" s="322"/>
      <c r="K64" s="322"/>
      <c r="L64" s="322"/>
      <c r="M64" s="322"/>
    </row>
    <row r="65" spans="2:13" ht="14.4">
      <c r="B65" s="285">
        <v>4915742</v>
      </c>
      <c r="C65" s="335" t="s">
        <v>170</v>
      </c>
      <c r="D65" s="285" t="s">
        <v>951</v>
      </c>
      <c r="E65" s="249">
        <v>4</v>
      </c>
      <c r="F65" s="249">
        <v>4</v>
      </c>
      <c r="G65" s="249">
        <v>4</v>
      </c>
      <c r="I65" s="322"/>
      <c r="J65" s="322"/>
      <c r="K65" s="322"/>
      <c r="L65" s="322"/>
      <c r="M65" s="322"/>
    </row>
    <row r="66" spans="2:13" ht="14.4">
      <c r="B66" s="285">
        <v>4915744</v>
      </c>
      <c r="C66" s="335" t="s">
        <v>171</v>
      </c>
      <c r="D66" s="285" t="s">
        <v>952</v>
      </c>
      <c r="E66" s="249">
        <v>3</v>
      </c>
      <c r="F66" s="249">
        <v>3</v>
      </c>
      <c r="G66" s="249">
        <v>3</v>
      </c>
      <c r="I66" s="322"/>
      <c r="J66" s="322"/>
      <c r="K66" s="322"/>
      <c r="L66" s="322"/>
      <c r="M66" s="322"/>
    </row>
    <row r="67" spans="2:13" ht="14.4">
      <c r="B67" s="285" t="s">
        <v>172</v>
      </c>
      <c r="C67" s="335" t="s">
        <v>173</v>
      </c>
      <c r="D67" s="285" t="s">
        <v>952</v>
      </c>
      <c r="E67" s="249">
        <v>300</v>
      </c>
      <c r="F67" s="249">
        <v>400</v>
      </c>
      <c r="G67" s="249">
        <v>500</v>
      </c>
      <c r="I67" s="322"/>
      <c r="J67" s="322"/>
      <c r="K67" s="322"/>
      <c r="L67" s="322"/>
      <c r="M67" s="322"/>
    </row>
    <row r="68" spans="2:13" ht="14.4">
      <c r="B68" s="285" t="s">
        <v>174</v>
      </c>
      <c r="C68" s="335" t="s">
        <v>175</v>
      </c>
      <c r="D68" s="285" t="s">
        <v>947</v>
      </c>
      <c r="E68" s="249">
        <v>15</v>
      </c>
      <c r="F68" s="249">
        <v>15</v>
      </c>
      <c r="G68" s="249">
        <v>15</v>
      </c>
      <c r="I68" s="322"/>
      <c r="J68" s="322"/>
      <c r="K68" s="322"/>
      <c r="L68" s="322"/>
      <c r="M68" s="322"/>
    </row>
    <row r="69" spans="2:13" ht="28.8">
      <c r="B69" s="285" t="s">
        <v>176</v>
      </c>
      <c r="C69" s="316" t="s">
        <v>177</v>
      </c>
      <c r="D69" s="285" t="s">
        <v>946</v>
      </c>
      <c r="E69" s="249">
        <v>45</v>
      </c>
      <c r="F69" s="249">
        <v>55</v>
      </c>
      <c r="G69" s="249">
        <v>60</v>
      </c>
      <c r="I69" s="322"/>
      <c r="J69" s="322"/>
      <c r="K69" s="322"/>
      <c r="L69" s="322"/>
      <c r="M69" s="322"/>
    </row>
    <row r="70" spans="2:13" ht="14.4">
      <c r="B70" s="205"/>
      <c r="C70" s="206" t="s">
        <v>178</v>
      </c>
      <c r="D70" s="205"/>
      <c r="E70" s="250"/>
      <c r="F70" s="250"/>
      <c r="G70" s="250"/>
      <c r="I70" s="322"/>
      <c r="J70" s="322"/>
      <c r="K70" s="322"/>
      <c r="L70" s="322"/>
      <c r="M70" s="322"/>
    </row>
    <row r="71" spans="2:13" ht="14.4">
      <c r="B71" s="41"/>
      <c r="C71" s="38" t="s">
        <v>179</v>
      </c>
      <c r="D71" s="43"/>
      <c r="E71" s="44"/>
      <c r="F71" s="44"/>
      <c r="G71" s="44"/>
      <c r="I71" s="322"/>
      <c r="J71" s="322"/>
      <c r="K71" s="322"/>
      <c r="L71" s="322"/>
      <c r="M71" s="322"/>
    </row>
    <row r="72" spans="2:13" ht="14.4">
      <c r="B72" s="285" t="s">
        <v>180</v>
      </c>
      <c r="C72" s="335" t="s">
        <v>181</v>
      </c>
      <c r="D72" s="285" t="s">
        <v>953</v>
      </c>
      <c r="E72" s="249">
        <v>1</v>
      </c>
      <c r="F72" s="249">
        <v>1</v>
      </c>
      <c r="G72" s="249">
        <v>1</v>
      </c>
      <c r="I72" s="322"/>
      <c r="J72" s="322"/>
      <c r="K72" s="322"/>
      <c r="L72" s="322"/>
      <c r="M72" s="322"/>
    </row>
    <row r="73" spans="2:13" ht="14.4">
      <c r="B73" s="205"/>
      <c r="C73" s="206" t="s">
        <v>183</v>
      </c>
      <c r="D73" s="205"/>
      <c r="E73" s="250"/>
      <c r="F73" s="250"/>
      <c r="G73" s="250"/>
      <c r="I73" s="322"/>
      <c r="J73" s="322"/>
      <c r="K73" s="322"/>
      <c r="L73" s="322"/>
      <c r="M73" s="322"/>
    </row>
    <row r="74" spans="2:13" ht="14.4">
      <c r="B74" s="43"/>
      <c r="C74" s="38" t="s">
        <v>184</v>
      </c>
      <c r="D74" s="43"/>
      <c r="E74" s="44"/>
      <c r="F74" s="44"/>
      <c r="G74" s="44"/>
      <c r="I74" s="322"/>
      <c r="J74" s="322"/>
      <c r="K74" s="322"/>
      <c r="L74" s="322"/>
      <c r="M74" s="322"/>
    </row>
    <row r="75" spans="2:13" ht="14.4">
      <c r="B75" s="285" t="s">
        <v>185</v>
      </c>
      <c r="C75" s="335" t="s">
        <v>186</v>
      </c>
      <c r="D75" s="285" t="s">
        <v>953</v>
      </c>
      <c r="E75" s="249">
        <v>1</v>
      </c>
      <c r="F75" s="249">
        <v>1</v>
      </c>
      <c r="G75" s="249">
        <v>1</v>
      </c>
      <c r="I75" s="322"/>
      <c r="J75" s="322"/>
      <c r="K75" s="322"/>
      <c r="L75" s="322"/>
      <c r="M75" s="322"/>
    </row>
    <row r="76" spans="2:13" ht="14.4">
      <c r="E76" s="47"/>
      <c r="F76" s="47"/>
      <c r="G76" s="47"/>
    </row>
    <row r="78" spans="2:13">
      <c r="E78" s="48"/>
    </row>
  </sheetData>
  <mergeCells count="8">
    <mergeCell ref="B7:D7"/>
    <mergeCell ref="B16:G16"/>
    <mergeCell ref="G17:G18"/>
    <mergeCell ref="B17:B18"/>
    <mergeCell ref="C17:C18"/>
    <mergeCell ref="D17:D18"/>
    <mergeCell ref="E17:E18"/>
    <mergeCell ref="F17:F18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C6E605-0050-49DA-BEB3-E9A2C44ED10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13ACCD8-BA79-4983-9AE3-66A09738BD7B}"/>
</file>

<file path=customXml/itemProps3.xml><?xml version="1.0" encoding="utf-8"?>
<ds:datastoreItem xmlns:ds="http://schemas.openxmlformats.org/officeDocument/2006/customXml" ds:itemID="{9CB010C1-F479-45C9-B6F8-7E566AAA5A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Cont Revisão</vt:lpstr>
      <vt:lpstr>BDI</vt:lpstr>
      <vt:lpstr>Cronograma</vt:lpstr>
      <vt:lpstr>MC Conservação Rotina</vt:lpstr>
      <vt:lpstr>Quantidades</vt:lpstr>
      <vt:lpstr>Preços Unitários</vt:lpstr>
      <vt:lpstr>CPUS</vt:lpstr>
      <vt:lpstr>Ext Equiv</vt:lpstr>
      <vt:lpstr>Padrão Conserva</vt:lpstr>
      <vt:lpstr>Disp Segurança</vt:lpstr>
      <vt:lpstr>Lista OAEs</vt:lpstr>
      <vt:lpstr>'MC Conservação Rotina'!Area_de_impressao</vt:lpstr>
      <vt:lpstr>'MC Conservação Rotina'!Titulos_de_impressao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Jefersom Valeije de Almeida</dc:creator>
  <cp:keywords/>
  <dc:description/>
  <cp:lastModifiedBy>Felipe Primasi</cp:lastModifiedBy>
  <cp:revision/>
  <dcterms:created xsi:type="dcterms:W3CDTF">2021-08-03T16:38:36Z</dcterms:created>
  <dcterms:modified xsi:type="dcterms:W3CDTF">2025-01-20T12:24:03Z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