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MIP - MS-112\Caderno 2 - Produto 2 - Estudo de Engenharia - Tomo V Programa de Manutenção Periódica e Conservação\OPEX - Planilhas e memórias de cálculo\"/>
    </mc:Choice>
  </mc:AlternateContent>
  <xr:revisionPtr revIDLastSave="0" documentId="13_ncr:1_{29746AD0-36CF-4E82-9768-D9DDCA1B4876}" xr6:coauthVersionLast="47" xr6:coauthVersionMax="47" xr10:uidLastSave="{00000000-0000-0000-0000-000000000000}"/>
  <bookViews>
    <workbookView xWindow="-108" yWindow="-108" windowWidth="23256" windowHeight="12576" tabRatio="861" activeTab="1" xr2:uid="{8E33ABB6-5E70-445D-AD8B-D646E4942229}"/>
  </bookViews>
  <sheets>
    <sheet name="BDI" sheetId="11" r:id="rId1"/>
    <sheet name="Cronograma" sheetId="10" r:id="rId2"/>
    <sheet name="MC Conservação Rotina" sheetId="6" r:id="rId3"/>
    <sheet name="Quantidades" sheetId="3" r:id="rId4"/>
    <sheet name="Preços Unitários" sheetId="7" r:id="rId5"/>
    <sheet name="Planilha SIPOM" sheetId="9" r:id="rId6"/>
    <sheet name="CPUs" sheetId="8" r:id="rId7"/>
    <sheet name="MS 112 Ext Equival" sheetId="1" r:id="rId8"/>
    <sheet name="Padrão Conserva" sheetId="2" r:id="rId9"/>
    <sheet name="Disp Segurança" sheetId="4" r:id="rId10"/>
    <sheet name="Lista OAEs" sheetId="5" r:id="rId11"/>
  </sheets>
  <externalReferences>
    <externalReference r:id="rId12"/>
  </externalReferences>
  <definedNames>
    <definedName name="_xlnm._FilterDatabase" localSheetId="6" hidden="1">CPUs!$A$3:$J$3875</definedName>
    <definedName name="_xlnm.Print_Area" localSheetId="2">'MC Conservação Rotina'!$B$1:$AJ$179</definedName>
    <definedName name="_xlnm.Print_Titles" localSheetId="2">'MC Conservação Rotina'!$B:$C,'MC Conservação Rotina'!$1:$5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7" l="1"/>
  <c r="D64" i="7"/>
  <c r="D61" i="7"/>
  <c r="D60" i="7"/>
  <c r="D59" i="7"/>
  <c r="D58" i="7"/>
  <c r="D57" i="7"/>
  <c r="D56" i="7"/>
  <c r="D53" i="7"/>
  <c r="D52" i="7"/>
  <c r="D51" i="7"/>
  <c r="D48" i="7"/>
  <c r="D47" i="7"/>
  <c r="D46" i="7"/>
  <c r="D45" i="7"/>
  <c r="D44" i="7"/>
  <c r="D41" i="7"/>
  <c r="D40" i="7"/>
  <c r="D39" i="7"/>
  <c r="D38" i="7"/>
  <c r="D37" i="7"/>
  <c r="D36" i="7"/>
  <c r="D33" i="7"/>
  <c r="D32" i="7"/>
  <c r="D31" i="7"/>
  <c r="D29" i="7"/>
  <c r="D28" i="7"/>
  <c r="D26" i="7"/>
  <c r="D25" i="7"/>
  <c r="D24" i="7"/>
  <c r="D23" i="7"/>
  <c r="D15" i="7"/>
  <c r="D14" i="7"/>
  <c r="D13" i="7"/>
  <c r="D12" i="7"/>
  <c r="D11" i="7"/>
  <c r="D10" i="7"/>
  <c r="D9" i="7"/>
  <c r="D8" i="7"/>
  <c r="D19" i="7"/>
  <c r="D18" i="7"/>
  <c r="D17" i="7"/>
  <c r="F77" i="9"/>
  <c r="F76" i="9"/>
  <c r="F75" i="9"/>
  <c r="F74" i="9"/>
  <c r="F73" i="9"/>
  <c r="F72" i="9"/>
  <c r="F71" i="9"/>
  <c r="F70" i="9"/>
  <c r="F69" i="9"/>
  <c r="F68" i="9"/>
  <c r="F67" i="9"/>
  <c r="F66" i="9"/>
  <c r="F61" i="9"/>
  <c r="F58" i="9"/>
  <c r="F55" i="9"/>
  <c r="F54" i="9"/>
  <c r="F53" i="9"/>
  <c r="F52" i="9"/>
  <c r="F51" i="9"/>
  <c r="F50" i="9"/>
  <c r="F47" i="9"/>
  <c r="F46" i="9"/>
  <c r="F45" i="9"/>
  <c r="F42" i="9"/>
  <c r="F41" i="9"/>
  <c r="F40" i="9"/>
  <c r="F39" i="9"/>
  <c r="F38" i="9"/>
  <c r="F35" i="9"/>
  <c r="F34" i="9"/>
  <c r="F33" i="9"/>
  <c r="F32" i="9"/>
  <c r="F31" i="9"/>
  <c r="F30" i="9"/>
  <c r="F27" i="9"/>
  <c r="F26" i="9"/>
  <c r="F25" i="9"/>
  <c r="F23" i="9"/>
  <c r="F22" i="9"/>
  <c r="F20" i="9"/>
  <c r="F19" i="9"/>
  <c r="F18" i="9"/>
  <c r="F17" i="9"/>
  <c r="F14" i="9"/>
  <c r="F13" i="9"/>
  <c r="F12" i="9"/>
  <c r="F11" i="9"/>
  <c r="F10" i="9"/>
  <c r="F9" i="9"/>
  <c r="F8" i="9"/>
  <c r="F7" i="9"/>
  <c r="J2527" i="8"/>
  <c r="J2534" i="8" s="1"/>
  <c r="J2525" i="8"/>
  <c r="J2520" i="8"/>
  <c r="J2518" i="8"/>
  <c r="J2505" i="8"/>
  <c r="J2504" i="8"/>
  <c r="J2511" i="8" s="1"/>
  <c r="J2491" i="8"/>
  <c r="J2498" i="8" s="1"/>
  <c r="J2484" i="8"/>
  <c r="J2483" i="8"/>
  <c r="J2482" i="8"/>
  <c r="J2461" i="8"/>
  <c r="J2460" i="8"/>
  <c r="J2454" i="8"/>
  <c r="J2453" i="8"/>
  <c r="J2458" i="8" s="1"/>
  <c r="J2451" i="8"/>
  <c r="J2438" i="8"/>
  <c r="J2437" i="8"/>
  <c r="J2444" i="8" s="1"/>
  <c r="J2425" i="8"/>
  <c r="J2431" i="8" s="1"/>
  <c r="J2424" i="8"/>
  <c r="J2417" i="8"/>
  <c r="J2416" i="8"/>
  <c r="J2415" i="8"/>
  <c r="J2422" i="8" s="1"/>
  <c r="J2432" i="8" s="1"/>
  <c r="J2433" i="8" s="1"/>
  <c r="J2394" i="8"/>
  <c r="J2393" i="8"/>
  <c r="J2400" i="8" s="1"/>
  <c r="J2387" i="8"/>
  <c r="J2386" i="8"/>
  <c r="J2391" i="8" s="1"/>
  <c r="J2384" i="8"/>
  <c r="J2371" i="8"/>
  <c r="J2370" i="8"/>
  <c r="J2377" i="8" s="1"/>
  <c r="J2358" i="8"/>
  <c r="J2357" i="8"/>
  <c r="J2355" i="8"/>
  <c r="J2333" i="8"/>
  <c r="J2326" i="8"/>
  <c r="J2319" i="8"/>
  <c r="J2324" i="8" s="1"/>
  <c r="J2317" i="8"/>
  <c r="J2305" i="8"/>
  <c r="J2304" i="8"/>
  <c r="J2303" i="8"/>
  <c r="J2310" i="8" s="1"/>
  <c r="J2291" i="8"/>
  <c r="J2290" i="8"/>
  <c r="J2283" i="8"/>
  <c r="J2282" i="8"/>
  <c r="J2281" i="8"/>
  <c r="J2266" i="8"/>
  <c r="J2257" i="8"/>
  <c r="J2248" i="8"/>
  <c r="J2247" i="8"/>
  <c r="J2246" i="8"/>
  <c r="J2245" i="8"/>
  <c r="J2243" i="8"/>
  <c r="J2231" i="8"/>
  <c r="J2232" i="8" s="1"/>
  <c r="J2230" i="8"/>
  <c r="J2221" i="8"/>
  <c r="AH302" i="1"/>
  <c r="AH238" i="1"/>
  <c r="I238" i="1"/>
  <c r="H238" i="1"/>
  <c r="G238" i="1"/>
  <c r="F238" i="1"/>
  <c r="E238" i="1"/>
  <c r="D238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AH84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J2288" i="8" l="1"/>
  <c r="J2298" i="8" s="1"/>
  <c r="J2299" i="8" s="1"/>
  <c r="J2297" i="8"/>
  <c r="J2467" i="8"/>
  <c r="J2250" i="8"/>
  <c r="J2489" i="8"/>
  <c r="J2435" i="8"/>
  <c r="J2434" i="8"/>
  <c r="J2468" i="8" s="1"/>
  <c r="J2234" i="8"/>
  <c r="J2233" i="8"/>
  <c r="J2267" i="8" s="1"/>
  <c r="J2364" i="8"/>
  <c r="J2365" i="8" s="1"/>
  <c r="J2366" i="8" s="1"/>
  <c r="J2499" i="8"/>
  <c r="J2500" i="8" s="1"/>
  <c r="H266" i="1"/>
  <c r="H268" i="1"/>
  <c r="D259" i="1"/>
  <c r="H9" i="5"/>
  <c r="H8" i="5"/>
  <c r="H7" i="5"/>
  <c r="D15" i="5"/>
  <c r="J2301" i="8" l="1"/>
  <c r="J2300" i="8"/>
  <c r="J2334" i="8" s="1"/>
  <c r="J2335" i="8" s="1"/>
  <c r="J2336" i="8" s="1"/>
  <c r="J2268" i="8"/>
  <c r="J2269" i="8" s="1"/>
  <c r="J2368" i="8"/>
  <c r="J2367" i="8"/>
  <c r="J2401" i="8"/>
  <c r="J2470" i="8"/>
  <c r="J2469" i="8"/>
  <c r="J2501" i="8"/>
  <c r="J2502" i="8"/>
  <c r="E66" i="3"/>
  <c r="E69" i="3"/>
  <c r="J2535" i="8" l="1"/>
  <c r="J2536" i="8" s="1"/>
  <c r="J2537" i="8" s="1"/>
  <c r="J2402" i="8"/>
  <c r="J2403" i="8" s="1"/>
  <c r="W82" i="1"/>
  <c r="W83" i="1"/>
  <c r="AG301" i="1" l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D282" i="1"/>
  <c r="D288" i="1" s="1"/>
  <c r="D287" i="1" s="1"/>
  <c r="D292" i="1" s="1"/>
  <c r="D279" i="1"/>
  <c r="D278" i="1" s="1"/>
  <c r="AH276" i="1"/>
  <c r="AH275" i="1" s="1"/>
  <c r="AG275" i="1"/>
  <c r="AF275" i="1"/>
  <c r="AE275" i="1"/>
  <c r="AD275" i="1"/>
  <c r="AC275" i="1"/>
  <c r="AB275" i="1"/>
  <c r="AA275" i="1"/>
  <c r="Z275" i="1"/>
  <c r="Y275" i="1"/>
  <c r="X275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AH274" i="1"/>
  <c r="AH273" i="1" s="1"/>
  <c r="AG273" i="1"/>
  <c r="AF273" i="1"/>
  <c r="AE273" i="1"/>
  <c r="AD273" i="1"/>
  <c r="AC273" i="1"/>
  <c r="AB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AH272" i="1"/>
  <c r="AH271" i="1" s="1"/>
  <c r="AG271" i="1"/>
  <c r="AF271" i="1"/>
  <c r="AE271" i="1"/>
  <c r="AD271" i="1"/>
  <c r="AC271" i="1"/>
  <c r="AB271" i="1"/>
  <c r="AA271" i="1"/>
  <c r="Z271" i="1"/>
  <c r="Y271" i="1"/>
  <c r="X271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AH270" i="1"/>
  <c r="AH269" i="1" s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G267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F267" i="1"/>
  <c r="E267" i="1"/>
  <c r="D267" i="1"/>
  <c r="G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F265" i="1"/>
  <c r="E265" i="1"/>
  <c r="D265" i="1"/>
  <c r="D262" i="1"/>
  <c r="D261" i="1" s="1"/>
  <c r="E255" i="1"/>
  <c r="F255" i="1" s="1"/>
  <c r="D254" i="1"/>
  <c r="E252" i="1"/>
  <c r="D251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W81" i="1"/>
  <c r="W80" i="1" s="1"/>
  <c r="W96" i="1" s="1"/>
  <c r="D80" i="1"/>
  <c r="AG80" i="1"/>
  <c r="AF80" i="1"/>
  <c r="AE80" i="1"/>
  <c r="AD80" i="1"/>
  <c r="AC80" i="1"/>
  <c r="AB80" i="1"/>
  <c r="AA80" i="1"/>
  <c r="Z80" i="1"/>
  <c r="Y80" i="1"/>
  <c r="X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F252" i="1" l="1"/>
  <c r="F259" i="1" s="1"/>
  <c r="E259" i="1"/>
  <c r="D281" i="1"/>
  <c r="E251" i="1"/>
  <c r="F282" i="1"/>
  <c r="F254" i="1"/>
  <c r="F262" i="1"/>
  <c r="F261" i="1" s="1"/>
  <c r="G255" i="1"/>
  <c r="AH268" i="1"/>
  <c r="AH267" i="1" s="1"/>
  <c r="E262" i="1"/>
  <c r="E261" i="1" s="1"/>
  <c r="E254" i="1"/>
  <c r="AH266" i="1"/>
  <c r="AH265" i="1" s="1"/>
  <c r="E279" i="1"/>
  <c r="E282" i="1"/>
  <c r="D285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F251" i="1" l="1"/>
  <c r="G252" i="1"/>
  <c r="G259" i="1" s="1"/>
  <c r="F279" i="1"/>
  <c r="F285" i="1" s="1"/>
  <c r="F284" i="1" s="1"/>
  <c r="F291" i="1" s="1"/>
  <c r="D284" i="1"/>
  <c r="D291" i="1" s="1"/>
  <c r="D293" i="1" s="1"/>
  <c r="F288" i="1"/>
  <c r="F287" i="1" s="1"/>
  <c r="F292" i="1" s="1"/>
  <c r="F281" i="1"/>
  <c r="E281" i="1"/>
  <c r="E288" i="1"/>
  <c r="E278" i="1"/>
  <c r="E285" i="1"/>
  <c r="E284" i="1" s="1"/>
  <c r="E291" i="1" s="1"/>
  <c r="G282" i="1"/>
  <c r="G254" i="1"/>
  <c r="G262" i="1"/>
  <c r="G261" i="1" s="1"/>
  <c r="H255" i="1"/>
  <c r="F278" i="1" l="1"/>
  <c r="H252" i="1"/>
  <c r="H259" i="1" s="1"/>
  <c r="G251" i="1"/>
  <c r="G279" i="1"/>
  <c r="G285" i="1" s="1"/>
  <c r="G281" i="1"/>
  <c r="G288" i="1"/>
  <c r="G287" i="1" s="1"/>
  <c r="G292" i="1" s="1"/>
  <c r="D294" i="1"/>
  <c r="D297" i="1"/>
  <c r="F293" i="1"/>
  <c r="H282" i="1"/>
  <c r="H254" i="1"/>
  <c r="H262" i="1"/>
  <c r="H261" i="1" s="1"/>
  <c r="I255" i="1"/>
  <c r="E287" i="1"/>
  <c r="E292" i="1" s="1"/>
  <c r="E293" i="1" s="1"/>
  <c r="G278" i="1" l="1"/>
  <c r="H251" i="1"/>
  <c r="H279" i="1"/>
  <c r="H278" i="1" s="1"/>
  <c r="I252" i="1"/>
  <c r="I259" i="1" s="1"/>
  <c r="I251" i="1"/>
  <c r="J252" i="1"/>
  <c r="J259" i="1" s="1"/>
  <c r="E294" i="1"/>
  <c r="E297" i="1"/>
  <c r="H288" i="1"/>
  <c r="H287" i="1" s="1"/>
  <c r="H292" i="1" s="1"/>
  <c r="H281" i="1"/>
  <c r="F297" i="1"/>
  <c r="F294" i="1"/>
  <c r="I282" i="1"/>
  <c r="I254" i="1"/>
  <c r="I262" i="1"/>
  <c r="I261" i="1" s="1"/>
  <c r="J255" i="1"/>
  <c r="G284" i="1"/>
  <c r="G291" i="1" s="1"/>
  <c r="G293" i="1" s="1"/>
  <c r="I279" i="1" l="1"/>
  <c r="I278" i="1" s="1"/>
  <c r="H285" i="1"/>
  <c r="H284" i="1" s="1"/>
  <c r="H291" i="1" s="1"/>
  <c r="H293" i="1" s="1"/>
  <c r="H297" i="1" s="1"/>
  <c r="I281" i="1"/>
  <c r="I288" i="1"/>
  <c r="J279" i="1"/>
  <c r="J251" i="1"/>
  <c r="K252" i="1"/>
  <c r="K259" i="1" s="1"/>
  <c r="G297" i="1"/>
  <c r="G294" i="1"/>
  <c r="J254" i="1"/>
  <c r="J262" i="1"/>
  <c r="J261" i="1" s="1"/>
  <c r="K255" i="1"/>
  <c r="J282" i="1"/>
  <c r="I285" i="1" l="1"/>
  <c r="I284" i="1" s="1"/>
  <c r="I291" i="1" s="1"/>
  <c r="H294" i="1"/>
  <c r="K251" i="1"/>
  <c r="K279" i="1"/>
  <c r="L252" i="1"/>
  <c r="L259" i="1" s="1"/>
  <c r="J285" i="1"/>
  <c r="J284" i="1" s="1"/>
  <c r="J291" i="1" s="1"/>
  <c r="J278" i="1"/>
  <c r="I287" i="1"/>
  <c r="I292" i="1" s="1"/>
  <c r="K254" i="1"/>
  <c r="K262" i="1"/>
  <c r="K261" i="1" s="1"/>
  <c r="L255" i="1"/>
  <c r="K282" i="1"/>
  <c r="J281" i="1"/>
  <c r="J288" i="1"/>
  <c r="J287" i="1" s="1"/>
  <c r="J292" i="1" s="1"/>
  <c r="J293" i="1" l="1"/>
  <c r="J297" i="1" s="1"/>
  <c r="I293" i="1"/>
  <c r="I297" i="1" s="1"/>
  <c r="K278" i="1"/>
  <c r="K285" i="1"/>
  <c r="K284" i="1" s="1"/>
  <c r="K291" i="1" s="1"/>
  <c r="K281" i="1"/>
  <c r="K288" i="1"/>
  <c r="K287" i="1" s="1"/>
  <c r="K292" i="1" s="1"/>
  <c r="L254" i="1"/>
  <c r="L262" i="1"/>
  <c r="L261" i="1" s="1"/>
  <c r="L282" i="1"/>
  <c r="M255" i="1"/>
  <c r="L279" i="1"/>
  <c r="L251" i="1"/>
  <c r="M252" i="1"/>
  <c r="M259" i="1" s="1"/>
  <c r="E167" i="6"/>
  <c r="E158" i="6"/>
  <c r="E149" i="6"/>
  <c r="E140" i="6"/>
  <c r="E131" i="6"/>
  <c r="E122" i="6"/>
  <c r="E113" i="6"/>
  <c r="E105" i="6"/>
  <c r="E97" i="6"/>
  <c r="E80" i="6"/>
  <c r="I9" i="11"/>
  <c r="E7" i="11"/>
  <c r="E6" i="11"/>
  <c r="E5" i="11"/>
  <c r="E88" i="6"/>
  <c r="C21" i="10"/>
  <c r="C19" i="10"/>
  <c r="C17" i="10"/>
  <c r="C15" i="10"/>
  <c r="C13" i="10"/>
  <c r="C11" i="10"/>
  <c r="C9" i="10"/>
  <c r="C7" i="10"/>
  <c r="E8" i="11" l="1"/>
  <c r="F5" i="11" s="1"/>
  <c r="I5" i="11" s="1"/>
  <c r="J294" i="1"/>
  <c r="I294" i="1"/>
  <c r="K293" i="1"/>
  <c r="L278" i="1"/>
  <c r="L285" i="1"/>
  <c r="L284" i="1" s="1"/>
  <c r="L291" i="1" s="1"/>
  <c r="M251" i="1"/>
  <c r="N252" i="1"/>
  <c r="N259" i="1" s="1"/>
  <c r="M279" i="1"/>
  <c r="M254" i="1"/>
  <c r="M262" i="1"/>
  <c r="M261" i="1" s="1"/>
  <c r="N255" i="1"/>
  <c r="M282" i="1"/>
  <c r="L281" i="1"/>
  <c r="L288" i="1"/>
  <c r="F7" i="11"/>
  <c r="I7" i="11" s="1"/>
  <c r="E17" i="6"/>
  <c r="E18" i="6"/>
  <c r="E19" i="6"/>
  <c r="E20" i="6"/>
  <c r="F178" i="6"/>
  <c r="F177" i="6"/>
  <c r="F176" i="6"/>
  <c r="F175" i="6"/>
  <c r="F174" i="6"/>
  <c r="F173" i="6"/>
  <c r="F172" i="6"/>
  <c r="F171" i="6"/>
  <c r="F170" i="6"/>
  <c r="C161" i="6"/>
  <c r="F160" i="6"/>
  <c r="F22" i="10" s="1"/>
  <c r="C160" i="6"/>
  <c r="C152" i="6"/>
  <c r="F151" i="6"/>
  <c r="F20" i="10" s="1"/>
  <c r="C151" i="6"/>
  <c r="C143" i="6"/>
  <c r="F142" i="6"/>
  <c r="F18" i="10" s="1"/>
  <c r="C142" i="6"/>
  <c r="C134" i="6"/>
  <c r="F133" i="6"/>
  <c r="F16" i="10" s="1"/>
  <c r="C133" i="6"/>
  <c r="C125" i="6"/>
  <c r="F124" i="6"/>
  <c r="F14" i="10" s="1"/>
  <c r="C124" i="6"/>
  <c r="C116" i="6"/>
  <c r="F115" i="6"/>
  <c r="F12" i="10" s="1"/>
  <c r="C107" i="6"/>
  <c r="C99" i="6"/>
  <c r="C91" i="6"/>
  <c r="F90" i="6"/>
  <c r="F10" i="10" s="1"/>
  <c r="C90" i="6"/>
  <c r="C82" i="6"/>
  <c r="C74" i="6"/>
  <c r="F73" i="6"/>
  <c r="F8" i="10" s="1"/>
  <c r="C73" i="6"/>
  <c r="F8" i="11" l="1"/>
  <c r="F6" i="11"/>
  <c r="I6" i="11" s="1"/>
  <c r="I8" i="11" s="1"/>
  <c r="N251" i="1"/>
  <c r="O252" i="1"/>
  <c r="O259" i="1" s="1"/>
  <c r="N279" i="1"/>
  <c r="L287" i="1"/>
  <c r="L292" i="1" s="1"/>
  <c r="L293" i="1" s="1"/>
  <c r="K294" i="1"/>
  <c r="K297" i="1"/>
  <c r="M281" i="1"/>
  <c r="M288" i="1"/>
  <c r="M287" i="1" s="1"/>
  <c r="M292" i="1" s="1"/>
  <c r="N254" i="1"/>
  <c r="N262" i="1"/>
  <c r="N261" i="1" s="1"/>
  <c r="O255" i="1"/>
  <c r="N282" i="1"/>
  <c r="M278" i="1"/>
  <c r="M285" i="1"/>
  <c r="M284" i="1" s="1"/>
  <c r="M291" i="1" s="1"/>
  <c r="F24" i="10"/>
  <c r="E38" i="6" l="1"/>
  <c r="F38" i="6" s="1"/>
  <c r="E39" i="6"/>
  <c r="F39" i="6" s="1"/>
  <c r="E40" i="6"/>
  <c r="F40" i="6" s="1"/>
  <c r="E56" i="6"/>
  <c r="F56" i="6" s="1"/>
  <c r="E44" i="6"/>
  <c r="F44" i="6" s="1"/>
  <c r="E28" i="6"/>
  <c r="F28" i="6" s="1"/>
  <c r="E12" i="6"/>
  <c r="F12" i="6" s="1"/>
  <c r="E51" i="6"/>
  <c r="F51" i="6" s="1"/>
  <c r="E14" i="6"/>
  <c r="F14" i="6" s="1"/>
  <c r="E29" i="6"/>
  <c r="F29" i="6" s="1"/>
  <c r="E67" i="6"/>
  <c r="F67" i="6" s="1"/>
  <c r="F65" i="6" s="1"/>
  <c r="E53" i="6"/>
  <c r="F53" i="6" s="1"/>
  <c r="E41" i="6"/>
  <c r="F41" i="6" s="1"/>
  <c r="E26" i="6"/>
  <c r="F26" i="6" s="1"/>
  <c r="E11" i="6"/>
  <c r="F11" i="6" s="1"/>
  <c r="E61" i="6"/>
  <c r="F61" i="6" s="1"/>
  <c r="E24" i="6"/>
  <c r="F24" i="6" s="1"/>
  <c r="E31" i="6"/>
  <c r="F31" i="6" s="1"/>
  <c r="E57" i="6"/>
  <c r="F57" i="6" s="1"/>
  <c r="E64" i="6"/>
  <c r="F64" i="6" s="1"/>
  <c r="F62" i="6" s="1"/>
  <c r="E52" i="6"/>
  <c r="F52" i="6" s="1"/>
  <c r="E37" i="6"/>
  <c r="F37" i="6" s="1"/>
  <c r="E25" i="6"/>
  <c r="F25" i="6" s="1"/>
  <c r="E10" i="6"/>
  <c r="F10" i="6" s="1"/>
  <c r="E36" i="6"/>
  <c r="F36" i="6" s="1"/>
  <c r="E9" i="6"/>
  <c r="F9" i="6" s="1"/>
  <c r="E45" i="6"/>
  <c r="F45" i="6" s="1"/>
  <c r="E60" i="6"/>
  <c r="F60" i="6" s="1"/>
  <c r="E48" i="6"/>
  <c r="F48" i="6" s="1"/>
  <c r="E33" i="6"/>
  <c r="F33" i="6" s="1"/>
  <c r="E23" i="6"/>
  <c r="F23" i="6" s="1"/>
  <c r="E8" i="6"/>
  <c r="F8" i="6" s="1"/>
  <c r="E59" i="6"/>
  <c r="F59" i="6" s="1"/>
  <c r="E47" i="6"/>
  <c r="F47" i="6" s="1"/>
  <c r="E32" i="6"/>
  <c r="F32" i="6" s="1"/>
  <c r="E15" i="6"/>
  <c r="F15" i="6" s="1"/>
  <c r="E58" i="6"/>
  <c r="F58" i="6" s="1"/>
  <c r="E46" i="6"/>
  <c r="F46" i="6" s="1"/>
  <c r="E13" i="6"/>
  <c r="F13" i="6" s="1"/>
  <c r="L294" i="1"/>
  <c r="L297" i="1"/>
  <c r="O262" i="1"/>
  <c r="O261" i="1" s="1"/>
  <c r="P255" i="1"/>
  <c r="O282" i="1"/>
  <c r="O254" i="1"/>
  <c r="N278" i="1"/>
  <c r="N285" i="1"/>
  <c r="N284" i="1" s="1"/>
  <c r="N291" i="1" s="1"/>
  <c r="M293" i="1"/>
  <c r="N281" i="1"/>
  <c r="N288" i="1"/>
  <c r="N287" i="1" s="1"/>
  <c r="N292" i="1" s="1"/>
  <c r="P252" i="1"/>
  <c r="P259" i="1" s="1"/>
  <c r="O279" i="1"/>
  <c r="O251" i="1"/>
  <c r="F27" i="6" l="1"/>
  <c r="F54" i="6"/>
  <c r="F49" i="6"/>
  <c r="F30" i="6"/>
  <c r="F34" i="6"/>
  <c r="F22" i="6"/>
  <c r="F42" i="6"/>
  <c r="N293" i="1"/>
  <c r="N294" i="1" s="1"/>
  <c r="Q252" i="1"/>
  <c r="Q259" i="1" s="1"/>
  <c r="P279" i="1"/>
  <c r="P251" i="1"/>
  <c r="M294" i="1"/>
  <c r="M297" i="1"/>
  <c r="O281" i="1"/>
  <c r="O288" i="1"/>
  <c r="O287" i="1" s="1"/>
  <c r="O292" i="1" s="1"/>
  <c r="Q255" i="1"/>
  <c r="P254" i="1"/>
  <c r="P282" i="1"/>
  <c r="P262" i="1"/>
  <c r="P261" i="1" s="1"/>
  <c r="O278" i="1"/>
  <c r="O285" i="1"/>
  <c r="O284" i="1" s="1"/>
  <c r="O291" i="1" s="1"/>
  <c r="F21" i="6" l="1"/>
  <c r="N297" i="1"/>
  <c r="P281" i="1"/>
  <c r="P288" i="1"/>
  <c r="P287" i="1" s="1"/>
  <c r="P292" i="1" s="1"/>
  <c r="R255" i="1"/>
  <c r="Q282" i="1"/>
  <c r="Q254" i="1"/>
  <c r="Q262" i="1"/>
  <c r="Q261" i="1" s="1"/>
  <c r="P278" i="1"/>
  <c r="P285" i="1"/>
  <c r="P284" i="1" s="1"/>
  <c r="P291" i="1" s="1"/>
  <c r="O293" i="1"/>
  <c r="R252" i="1"/>
  <c r="R259" i="1" s="1"/>
  <c r="Q279" i="1"/>
  <c r="Q251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D114" i="1"/>
  <c r="E114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H77" i="1"/>
  <c r="AH108" i="1"/>
  <c r="AH107" i="1"/>
  <c r="AH106" i="1"/>
  <c r="AH103" i="1"/>
  <c r="AH102" i="1"/>
  <c r="D10" i="5"/>
  <c r="E9" i="5"/>
  <c r="E8" i="5"/>
  <c r="E7" i="5"/>
  <c r="K9" i="5"/>
  <c r="J9" i="5"/>
  <c r="K8" i="5"/>
  <c r="J8" i="5"/>
  <c r="K7" i="5"/>
  <c r="J7" i="5"/>
  <c r="D25" i="4"/>
  <c r="E25" i="4"/>
  <c r="C25" i="4"/>
  <c r="D69" i="3"/>
  <c r="D66" i="3"/>
  <c r="D62" i="3"/>
  <c r="D63" i="3"/>
  <c r="D61" i="3"/>
  <c r="D60" i="3"/>
  <c r="D59" i="3"/>
  <c r="D58" i="3"/>
  <c r="D54" i="3"/>
  <c r="D53" i="3"/>
  <c r="D52" i="3"/>
  <c r="D49" i="3"/>
  <c r="D48" i="3"/>
  <c r="D47" i="3"/>
  <c r="D46" i="3"/>
  <c r="D45" i="3"/>
  <c r="D42" i="3"/>
  <c r="D38" i="3"/>
  <c r="D37" i="3"/>
  <c r="D34" i="3"/>
  <c r="D33" i="3"/>
  <c r="D32" i="3"/>
  <c r="D30" i="3"/>
  <c r="D29" i="3"/>
  <c r="D27" i="3"/>
  <c r="D26" i="3"/>
  <c r="D25" i="3"/>
  <c r="D24" i="3"/>
  <c r="D21" i="3"/>
  <c r="D20" i="3"/>
  <c r="D19" i="3"/>
  <c r="D18" i="3"/>
  <c r="D16" i="3"/>
  <c r="D15" i="3"/>
  <c r="D14" i="3"/>
  <c r="D13" i="3"/>
  <c r="D12" i="3"/>
  <c r="D11" i="3"/>
  <c r="D10" i="3"/>
  <c r="D9" i="3"/>
  <c r="E9" i="3"/>
  <c r="AG157" i="1"/>
  <c r="AF157" i="1"/>
  <c r="AE157" i="1"/>
  <c r="AD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E10" i="5" l="1"/>
  <c r="D13" i="5"/>
  <c r="D17" i="5" s="1"/>
  <c r="AC39" i="3" s="1"/>
  <c r="AC38" i="6" s="1"/>
  <c r="X41" i="3"/>
  <c r="X40" i="6" s="1"/>
  <c r="J41" i="3"/>
  <c r="J40" i="6" s="1"/>
  <c r="AG41" i="3"/>
  <c r="AG40" i="6" s="1"/>
  <c r="U41" i="3"/>
  <c r="U40" i="6" s="1"/>
  <c r="I41" i="3"/>
  <c r="I40" i="6" s="1"/>
  <c r="AF41" i="3"/>
  <c r="AF40" i="6" s="1"/>
  <c r="T41" i="3"/>
  <c r="T40" i="6" s="1"/>
  <c r="H41" i="3"/>
  <c r="H40" i="6" s="1"/>
  <c r="S41" i="3"/>
  <c r="S40" i="6" s="1"/>
  <c r="G41" i="3"/>
  <c r="AD41" i="3"/>
  <c r="AD40" i="6" s="1"/>
  <c r="R41" i="3"/>
  <c r="R40" i="6" s="1"/>
  <c r="AC41" i="3"/>
  <c r="AC40" i="6" s="1"/>
  <c r="Q41" i="3"/>
  <c r="Q40" i="6" s="1"/>
  <c r="AB41" i="3"/>
  <c r="AB40" i="6" s="1"/>
  <c r="P41" i="3"/>
  <c r="P40" i="6" s="1"/>
  <c r="O41" i="3"/>
  <c r="O40" i="6" s="1"/>
  <c r="N41" i="3"/>
  <c r="N40" i="6" s="1"/>
  <c r="AE41" i="3"/>
  <c r="AE40" i="6" s="1"/>
  <c r="L41" i="3"/>
  <c r="L40" i="6" s="1"/>
  <c r="V41" i="3"/>
  <c r="V40" i="6" s="1"/>
  <c r="AA41" i="3"/>
  <c r="AA40" i="6" s="1"/>
  <c r="Y41" i="3"/>
  <c r="Y40" i="6" s="1"/>
  <c r="M41" i="3"/>
  <c r="M40" i="6" s="1"/>
  <c r="Z41" i="3"/>
  <c r="Z40" i="6" s="1"/>
  <c r="AI41" i="3"/>
  <c r="AI40" i="6" s="1"/>
  <c r="W41" i="3"/>
  <c r="W40" i="6" s="1"/>
  <c r="K41" i="3"/>
  <c r="K40" i="6" s="1"/>
  <c r="AH41" i="3"/>
  <c r="AH40" i="6" s="1"/>
  <c r="P293" i="1"/>
  <c r="P297" i="1" s="1"/>
  <c r="G40" i="3"/>
  <c r="G39" i="6" s="1"/>
  <c r="R40" i="3"/>
  <c r="R39" i="6" s="1"/>
  <c r="Q39" i="3"/>
  <c r="Q38" i="6" s="1"/>
  <c r="O40" i="3"/>
  <c r="O39" i="6" s="1"/>
  <c r="M39" i="3"/>
  <c r="M38" i="6" s="1"/>
  <c r="M40" i="3"/>
  <c r="M39" i="6" s="1"/>
  <c r="W40" i="3"/>
  <c r="W39" i="6" s="1"/>
  <c r="V40" i="3"/>
  <c r="V39" i="6" s="1"/>
  <c r="AG39" i="3"/>
  <c r="AG38" i="6" s="1"/>
  <c r="T40" i="3"/>
  <c r="T39" i="6" s="1"/>
  <c r="AB40" i="3"/>
  <c r="AB39" i="6" s="1"/>
  <c r="AA40" i="3"/>
  <c r="AA39" i="6" s="1"/>
  <c r="Q278" i="1"/>
  <c r="Q285" i="1"/>
  <c r="Q284" i="1" s="1"/>
  <c r="Q291" i="1" s="1"/>
  <c r="S252" i="1"/>
  <c r="S259" i="1" s="1"/>
  <c r="R279" i="1"/>
  <c r="R251" i="1"/>
  <c r="O294" i="1"/>
  <c r="O297" i="1"/>
  <c r="Q288" i="1"/>
  <c r="Q287" i="1" s="1"/>
  <c r="Q292" i="1" s="1"/>
  <c r="Q281" i="1"/>
  <c r="S255" i="1"/>
  <c r="R282" i="1"/>
  <c r="R254" i="1"/>
  <c r="R262" i="1"/>
  <c r="R261" i="1" s="1"/>
  <c r="AH136" i="1"/>
  <c r="AH128" i="1"/>
  <c r="AH122" i="1"/>
  <c r="AH118" i="1"/>
  <c r="AH141" i="1"/>
  <c r="AH160" i="1"/>
  <c r="AH159" i="1"/>
  <c r="AH157" i="1"/>
  <c r="AH156" i="1"/>
  <c r="AH155" i="1"/>
  <c r="AH154" i="1"/>
  <c r="AH153" i="1"/>
  <c r="AH152" i="1"/>
  <c r="AH150" i="1"/>
  <c r="AH149" i="1"/>
  <c r="AH169" i="1"/>
  <c r="E62" i="3"/>
  <c r="E63" i="3"/>
  <c r="E61" i="3"/>
  <c r="E60" i="3"/>
  <c r="E59" i="3"/>
  <c r="E58" i="3"/>
  <c r="E54" i="3"/>
  <c r="E53" i="3"/>
  <c r="E52" i="3"/>
  <c r="E49" i="3"/>
  <c r="E48" i="3"/>
  <c r="E47" i="3"/>
  <c r="E46" i="3"/>
  <c r="E45" i="3"/>
  <c r="E42" i="3"/>
  <c r="E38" i="3"/>
  <c r="E37" i="3"/>
  <c r="E34" i="3"/>
  <c r="E33" i="3"/>
  <c r="E32" i="3"/>
  <c r="E30" i="3"/>
  <c r="E29" i="3"/>
  <c r="E27" i="3"/>
  <c r="E26" i="3"/>
  <c r="E25" i="3"/>
  <c r="E24" i="3"/>
  <c r="E21" i="3"/>
  <c r="E20" i="3"/>
  <c r="E19" i="3"/>
  <c r="E18" i="3"/>
  <c r="E16" i="3"/>
  <c r="E15" i="3"/>
  <c r="E14" i="3"/>
  <c r="E13" i="3"/>
  <c r="E12" i="3"/>
  <c r="E11" i="3"/>
  <c r="E10" i="3"/>
  <c r="K39" i="3" l="1"/>
  <c r="K38" i="6" s="1"/>
  <c r="AF39" i="3"/>
  <c r="AF38" i="6" s="1"/>
  <c r="AA39" i="3"/>
  <c r="AA38" i="6" s="1"/>
  <c r="AF40" i="3"/>
  <c r="AF39" i="6" s="1"/>
  <c r="I40" i="3"/>
  <c r="I39" i="6" s="1"/>
  <c r="P40" i="3"/>
  <c r="P39" i="6" s="1"/>
  <c r="L40" i="3"/>
  <c r="L39" i="6" s="1"/>
  <c r="AB39" i="3"/>
  <c r="AB38" i="6" s="1"/>
  <c r="Y40" i="3"/>
  <c r="Y39" i="6" s="1"/>
  <c r="I39" i="3"/>
  <c r="I38" i="6" s="1"/>
  <c r="X40" i="3"/>
  <c r="X39" i="6" s="1"/>
  <c r="Q40" i="3"/>
  <c r="Q39" i="6" s="1"/>
  <c r="AI40" i="3"/>
  <c r="AI39" i="6" s="1"/>
  <c r="H39" i="3"/>
  <c r="H38" i="6" s="1"/>
  <c r="O39" i="3"/>
  <c r="O38" i="6" s="1"/>
  <c r="S40" i="3"/>
  <c r="S39" i="6" s="1"/>
  <c r="W39" i="3"/>
  <c r="W38" i="6" s="1"/>
  <c r="AI39" i="3"/>
  <c r="AI38" i="6" s="1"/>
  <c r="AG40" i="3"/>
  <c r="AG39" i="6" s="1"/>
  <c r="U40" i="3"/>
  <c r="U39" i="6" s="1"/>
  <c r="AH40" i="3"/>
  <c r="AH39" i="6" s="1"/>
  <c r="Z40" i="3"/>
  <c r="Z39" i="6" s="1"/>
  <c r="U39" i="3"/>
  <c r="U38" i="6" s="1"/>
  <c r="X39" i="3"/>
  <c r="X38" i="6" s="1"/>
  <c r="AC40" i="3"/>
  <c r="AC39" i="6" s="1"/>
  <c r="AD40" i="3"/>
  <c r="AD39" i="6" s="1"/>
  <c r="G39" i="3"/>
  <c r="J39" i="3"/>
  <c r="J38" i="6" s="1"/>
  <c r="Y39" i="3"/>
  <c r="Y38" i="6" s="1"/>
  <c r="AE39" i="3"/>
  <c r="AE38" i="6" s="1"/>
  <c r="V39" i="3"/>
  <c r="V38" i="6" s="1"/>
  <c r="N39" i="3"/>
  <c r="N38" i="6" s="1"/>
  <c r="R39" i="3"/>
  <c r="R38" i="6" s="1"/>
  <c r="H40" i="3"/>
  <c r="H39" i="6" s="1"/>
  <c r="AH39" i="3"/>
  <c r="AH38" i="6" s="1"/>
  <c r="Z39" i="3"/>
  <c r="Z38" i="6" s="1"/>
  <c r="AD39" i="3"/>
  <c r="AD38" i="6" s="1"/>
  <c r="S39" i="3"/>
  <c r="S38" i="6" s="1"/>
  <c r="J40" i="3"/>
  <c r="J39" i="6" s="1"/>
  <c r="L39" i="3"/>
  <c r="L38" i="6" s="1"/>
  <c r="P39" i="3"/>
  <c r="P38" i="6" s="1"/>
  <c r="AE40" i="3"/>
  <c r="AE39" i="6" s="1"/>
  <c r="AJ41" i="3"/>
  <c r="G40" i="6"/>
  <c r="AJ40" i="6" s="1"/>
  <c r="T39" i="3"/>
  <c r="T38" i="6" s="1"/>
  <c r="K40" i="3"/>
  <c r="K39" i="6" s="1"/>
  <c r="N40" i="3"/>
  <c r="N39" i="6" s="1"/>
  <c r="P294" i="1"/>
  <c r="G38" i="6"/>
  <c r="AE15" i="3"/>
  <c r="S15" i="3"/>
  <c r="G15" i="3"/>
  <c r="AB15" i="3"/>
  <c r="P15" i="3"/>
  <c r="N15" i="3"/>
  <c r="X15" i="3"/>
  <c r="AA15" i="3"/>
  <c r="O15" i="3"/>
  <c r="Z15" i="3"/>
  <c r="Y15" i="3"/>
  <c r="AI15" i="3"/>
  <c r="AH15" i="3"/>
  <c r="AF15" i="3"/>
  <c r="Q15" i="3"/>
  <c r="M15" i="3"/>
  <c r="K15" i="3"/>
  <c r="J15" i="3"/>
  <c r="AG15" i="3"/>
  <c r="R15" i="3"/>
  <c r="I15" i="3"/>
  <c r="T15" i="3"/>
  <c r="L15" i="3"/>
  <c r="W15" i="3"/>
  <c r="V15" i="3"/>
  <c r="H15" i="3"/>
  <c r="AD15" i="3"/>
  <c r="U15" i="3"/>
  <c r="AC15" i="3"/>
  <c r="Z16" i="3"/>
  <c r="N16" i="3"/>
  <c r="Y16" i="3"/>
  <c r="X16" i="3"/>
  <c r="AI16" i="3"/>
  <c r="W16" i="3"/>
  <c r="K16" i="3"/>
  <c r="H16" i="3"/>
  <c r="AD16" i="3"/>
  <c r="AC16" i="3"/>
  <c r="AB16" i="3"/>
  <c r="O16" i="3"/>
  <c r="AH16" i="3"/>
  <c r="V16" i="3"/>
  <c r="J16" i="3"/>
  <c r="AF16" i="3"/>
  <c r="AG16" i="3"/>
  <c r="U16" i="3"/>
  <c r="I16" i="3"/>
  <c r="T16" i="3"/>
  <c r="L16" i="3"/>
  <c r="AE16" i="3"/>
  <c r="S16" i="3"/>
  <c r="G16" i="3"/>
  <c r="P16" i="3"/>
  <c r="R16" i="3"/>
  <c r="Q16" i="3"/>
  <c r="AA16" i="3"/>
  <c r="M16" i="3"/>
  <c r="AC37" i="3"/>
  <c r="AC36" i="6" s="1"/>
  <c r="Q37" i="3"/>
  <c r="AB37" i="3"/>
  <c r="P37" i="3"/>
  <c r="P36" i="6" s="1"/>
  <c r="AA37" i="3"/>
  <c r="O37" i="3"/>
  <c r="L37" i="3"/>
  <c r="Z37" i="3"/>
  <c r="Z36" i="6" s="1"/>
  <c r="N37" i="3"/>
  <c r="Y37" i="3"/>
  <c r="Y36" i="6" s="1"/>
  <c r="M37" i="3"/>
  <c r="M36" i="6" s="1"/>
  <c r="X37" i="3"/>
  <c r="X36" i="6" s="1"/>
  <c r="AI37" i="3"/>
  <c r="AI36" i="6" s="1"/>
  <c r="W37" i="3"/>
  <c r="K37" i="3"/>
  <c r="K36" i="6" s="1"/>
  <c r="AH37" i="3"/>
  <c r="AH36" i="6" s="1"/>
  <c r="V37" i="3"/>
  <c r="V36" i="6" s="1"/>
  <c r="J37" i="3"/>
  <c r="AG37" i="3"/>
  <c r="U37" i="3"/>
  <c r="I37" i="3"/>
  <c r="AF37" i="3"/>
  <c r="AF36" i="6" s="1"/>
  <c r="T37" i="3"/>
  <c r="T36" i="6" s="1"/>
  <c r="H37" i="3"/>
  <c r="H36" i="6" s="1"/>
  <c r="AE37" i="3"/>
  <c r="AE36" i="6" s="1"/>
  <c r="S37" i="3"/>
  <c r="G37" i="3"/>
  <c r="G36" i="6" s="1"/>
  <c r="AD37" i="3"/>
  <c r="AD36" i="6" s="1"/>
  <c r="R37" i="3"/>
  <c r="R36" i="6" s="1"/>
  <c r="AA32" i="3"/>
  <c r="O32" i="3"/>
  <c r="Z32" i="3"/>
  <c r="N32" i="3"/>
  <c r="Y32" i="3"/>
  <c r="M32" i="3"/>
  <c r="M31" i="6" s="1"/>
  <c r="X32" i="3"/>
  <c r="L32" i="3"/>
  <c r="AI32" i="3"/>
  <c r="W32" i="3"/>
  <c r="K32" i="3"/>
  <c r="AH32" i="3"/>
  <c r="V32" i="3"/>
  <c r="J32" i="3"/>
  <c r="J31" i="6" s="1"/>
  <c r="AG32" i="3"/>
  <c r="U32" i="3"/>
  <c r="I32" i="3"/>
  <c r="AF32" i="3"/>
  <c r="AF31" i="6" s="1"/>
  <c r="T32" i="3"/>
  <c r="H32" i="3"/>
  <c r="P32" i="3"/>
  <c r="AE32" i="3"/>
  <c r="AE31" i="6" s="1"/>
  <c r="S32" i="3"/>
  <c r="G32" i="3"/>
  <c r="AD32" i="3"/>
  <c r="R32" i="3"/>
  <c r="AC32" i="3"/>
  <c r="Q32" i="3"/>
  <c r="AB32" i="3"/>
  <c r="Y38" i="3"/>
  <c r="Y37" i="6" s="1"/>
  <c r="X38" i="3"/>
  <c r="X37" i="6" s="1"/>
  <c r="L38" i="3"/>
  <c r="L37" i="6" s="1"/>
  <c r="AH38" i="3"/>
  <c r="J38" i="3"/>
  <c r="J37" i="6" s="1"/>
  <c r="S38" i="3"/>
  <c r="S37" i="6" s="1"/>
  <c r="AD38" i="3"/>
  <c r="AD37" i="6" s="1"/>
  <c r="AI38" i="3"/>
  <c r="W38" i="3"/>
  <c r="K38" i="3"/>
  <c r="K37" i="6" s="1"/>
  <c r="V38" i="3"/>
  <c r="AE38" i="3"/>
  <c r="AE37" i="6" s="1"/>
  <c r="R38" i="3"/>
  <c r="R37" i="6" s="1"/>
  <c r="AG38" i="3"/>
  <c r="AG37" i="6" s="1"/>
  <c r="U38" i="3"/>
  <c r="U37" i="6" s="1"/>
  <c r="I38" i="3"/>
  <c r="AF38" i="3"/>
  <c r="AF37" i="6" s="1"/>
  <c r="T38" i="3"/>
  <c r="T37" i="6" s="1"/>
  <c r="H38" i="3"/>
  <c r="H37" i="6" s="1"/>
  <c r="G38" i="3"/>
  <c r="AC38" i="3"/>
  <c r="Q38" i="3"/>
  <c r="Q37" i="6" s="1"/>
  <c r="AB38" i="3"/>
  <c r="P38" i="3"/>
  <c r="P37" i="6" s="1"/>
  <c r="AA38" i="3"/>
  <c r="AA37" i="6" s="1"/>
  <c r="O38" i="3"/>
  <c r="O37" i="6" s="1"/>
  <c r="Z38" i="3"/>
  <c r="Z37" i="6" s="1"/>
  <c r="N38" i="3"/>
  <c r="M38" i="3"/>
  <c r="X60" i="3"/>
  <c r="L60" i="3"/>
  <c r="AH60" i="3"/>
  <c r="J60" i="3"/>
  <c r="J58" i="6" s="1"/>
  <c r="I60" i="3"/>
  <c r="AF60" i="3"/>
  <c r="H60" i="3"/>
  <c r="H58" i="6" s="1"/>
  <c r="G60" i="3"/>
  <c r="G58" i="6" s="1"/>
  <c r="R60" i="3"/>
  <c r="AC60" i="3"/>
  <c r="AA60" i="3"/>
  <c r="AI60" i="3"/>
  <c r="AI58" i="6" s="1"/>
  <c r="W60" i="3"/>
  <c r="K60" i="3"/>
  <c r="V60" i="3"/>
  <c r="U60" i="3"/>
  <c r="T60" i="3"/>
  <c r="AE60" i="3"/>
  <c r="AD60" i="3"/>
  <c r="P60" i="3"/>
  <c r="P58" i="6" s="1"/>
  <c r="N60" i="3"/>
  <c r="M60" i="3"/>
  <c r="AG60" i="3"/>
  <c r="S60" i="3"/>
  <c r="S58" i="6" s="1"/>
  <c r="Q60" i="3"/>
  <c r="O60" i="3"/>
  <c r="Y60" i="3"/>
  <c r="AB60" i="3"/>
  <c r="AB58" i="6" s="1"/>
  <c r="Z60" i="3"/>
  <c r="G66" i="3"/>
  <c r="G64" i="6" s="1"/>
  <c r="Z66" i="3"/>
  <c r="N66" i="3"/>
  <c r="X66" i="3"/>
  <c r="AG66" i="3"/>
  <c r="AG64" i="6" s="1"/>
  <c r="AG63" i="6" s="1"/>
  <c r="AG62" i="6" s="1"/>
  <c r="AG152" i="6" s="1"/>
  <c r="S66" i="3"/>
  <c r="S64" i="6" s="1"/>
  <c r="S63" i="6" s="1"/>
  <c r="S62" i="6" s="1"/>
  <c r="S152" i="6" s="1"/>
  <c r="Y66" i="3"/>
  <c r="Y64" i="6" s="1"/>
  <c r="Y63" i="6" s="1"/>
  <c r="Y62" i="6" s="1"/>
  <c r="Y152" i="6" s="1"/>
  <c r="M66" i="3"/>
  <c r="L66" i="3"/>
  <c r="J66" i="3"/>
  <c r="U66" i="3"/>
  <c r="U64" i="6" s="1"/>
  <c r="U63" i="6" s="1"/>
  <c r="U62" i="6" s="1"/>
  <c r="U152" i="6" s="1"/>
  <c r="AA66" i="3"/>
  <c r="AA64" i="6" s="1"/>
  <c r="AA63" i="6" s="1"/>
  <c r="AA62" i="6" s="1"/>
  <c r="AA152" i="6" s="1"/>
  <c r="AI66" i="3"/>
  <c r="AI64" i="6" s="1"/>
  <c r="AI63" i="6" s="1"/>
  <c r="AI62" i="6" s="1"/>
  <c r="AI152" i="6" s="1"/>
  <c r="W66" i="3"/>
  <c r="K66" i="3"/>
  <c r="K64" i="6" s="1"/>
  <c r="K63" i="6" s="1"/>
  <c r="K62" i="6" s="1"/>
  <c r="K152" i="6" s="1"/>
  <c r="AH66" i="3"/>
  <c r="V66" i="3"/>
  <c r="V64" i="6" s="1"/>
  <c r="V63" i="6" s="1"/>
  <c r="V62" i="6" s="1"/>
  <c r="V152" i="6" s="1"/>
  <c r="I66" i="3"/>
  <c r="I64" i="6" s="1"/>
  <c r="I63" i="6" s="1"/>
  <c r="I62" i="6" s="1"/>
  <c r="I152" i="6" s="1"/>
  <c r="AF66" i="3"/>
  <c r="T66" i="3"/>
  <c r="H66" i="3"/>
  <c r="H64" i="6" s="1"/>
  <c r="H63" i="6" s="1"/>
  <c r="H62" i="6" s="1"/>
  <c r="H152" i="6" s="1"/>
  <c r="AE66" i="3"/>
  <c r="AE64" i="6" s="1"/>
  <c r="AE63" i="6" s="1"/>
  <c r="AE62" i="6" s="1"/>
  <c r="AE152" i="6" s="1"/>
  <c r="AD66" i="3"/>
  <c r="AD64" i="6" s="1"/>
  <c r="AD63" i="6" s="1"/>
  <c r="AD62" i="6" s="1"/>
  <c r="AD152" i="6" s="1"/>
  <c r="R66" i="3"/>
  <c r="R64" i="6" s="1"/>
  <c r="R63" i="6" s="1"/>
  <c r="R62" i="6" s="1"/>
  <c r="R152" i="6" s="1"/>
  <c r="AC66" i="3"/>
  <c r="AC64" i="6" s="1"/>
  <c r="AC63" i="6" s="1"/>
  <c r="AC62" i="6" s="1"/>
  <c r="AC152" i="6" s="1"/>
  <c r="Q66" i="3"/>
  <c r="AB66" i="3"/>
  <c r="AB64" i="6" s="1"/>
  <c r="AB63" i="6" s="1"/>
  <c r="AB62" i="6" s="1"/>
  <c r="AB152" i="6" s="1"/>
  <c r="P66" i="3"/>
  <c r="O66" i="3"/>
  <c r="O64" i="6" s="1"/>
  <c r="O63" i="6" s="1"/>
  <c r="O62" i="6" s="1"/>
  <c r="O152" i="6" s="1"/>
  <c r="G69" i="3"/>
  <c r="AI69" i="3"/>
  <c r="AI67" i="6" s="1"/>
  <c r="AI66" i="6" s="1"/>
  <c r="AI65" i="6" s="1"/>
  <c r="AI161" i="6" s="1"/>
  <c r="AH69" i="3"/>
  <c r="V69" i="3"/>
  <c r="J69" i="3"/>
  <c r="J67" i="6" s="1"/>
  <c r="J66" i="6" s="1"/>
  <c r="J65" i="6" s="1"/>
  <c r="J161" i="6" s="1"/>
  <c r="AF69" i="3"/>
  <c r="P69" i="3"/>
  <c r="P67" i="6" s="1"/>
  <c r="P66" i="6" s="1"/>
  <c r="P65" i="6" s="1"/>
  <c r="P161" i="6" s="1"/>
  <c r="O69" i="3"/>
  <c r="O67" i="6" s="1"/>
  <c r="O66" i="6" s="1"/>
  <c r="O65" i="6" s="1"/>
  <c r="O161" i="6" s="1"/>
  <c r="AG69" i="3"/>
  <c r="U69" i="3"/>
  <c r="U67" i="6" s="1"/>
  <c r="U66" i="6" s="1"/>
  <c r="U65" i="6" s="1"/>
  <c r="U161" i="6" s="1"/>
  <c r="I69" i="3"/>
  <c r="I67" i="6" s="1"/>
  <c r="I66" i="6" s="1"/>
  <c r="I65" i="6" s="1"/>
  <c r="I161" i="6" s="1"/>
  <c r="T69" i="3"/>
  <c r="H69" i="3"/>
  <c r="AB69" i="3"/>
  <c r="AE69" i="3"/>
  <c r="AE67" i="6" s="1"/>
  <c r="AE66" i="6" s="1"/>
  <c r="AE65" i="6" s="1"/>
  <c r="AE161" i="6" s="1"/>
  <c r="S69" i="3"/>
  <c r="S67" i="6" s="1"/>
  <c r="S66" i="6" s="1"/>
  <c r="S65" i="6" s="1"/>
  <c r="S161" i="6" s="1"/>
  <c r="AD69" i="3"/>
  <c r="R69" i="3"/>
  <c r="R67" i="6" s="1"/>
  <c r="R66" i="6" s="1"/>
  <c r="R65" i="6" s="1"/>
  <c r="R161" i="6" s="1"/>
  <c r="AC69" i="3"/>
  <c r="AC67" i="6" s="1"/>
  <c r="AC66" i="6" s="1"/>
  <c r="AC65" i="6" s="1"/>
  <c r="AC161" i="6" s="1"/>
  <c r="Q69" i="3"/>
  <c r="Q67" i="6" s="1"/>
  <c r="Q66" i="6" s="1"/>
  <c r="Q65" i="6" s="1"/>
  <c r="Q161" i="6" s="1"/>
  <c r="AA69" i="3"/>
  <c r="Z69" i="3"/>
  <c r="Z67" i="6" s="1"/>
  <c r="Z66" i="6" s="1"/>
  <c r="Z65" i="6" s="1"/>
  <c r="Z161" i="6" s="1"/>
  <c r="N69" i="3"/>
  <c r="Y69" i="3"/>
  <c r="M69" i="3"/>
  <c r="X69" i="3"/>
  <c r="X67" i="6" s="1"/>
  <c r="X66" i="6" s="1"/>
  <c r="X65" i="6" s="1"/>
  <c r="X161" i="6" s="1"/>
  <c r="L69" i="3"/>
  <c r="L67" i="6" s="1"/>
  <c r="L66" i="6" s="1"/>
  <c r="L65" i="6" s="1"/>
  <c r="L161" i="6" s="1"/>
  <c r="W69" i="3"/>
  <c r="K69" i="3"/>
  <c r="K67" i="6" s="1"/>
  <c r="K66" i="6" s="1"/>
  <c r="K65" i="6" s="1"/>
  <c r="K161" i="6" s="1"/>
  <c r="AE48" i="3"/>
  <c r="S48" i="3"/>
  <c r="G48" i="3"/>
  <c r="G47" i="6" s="1"/>
  <c r="T48" i="3"/>
  <c r="T47" i="6" s="1"/>
  <c r="AD48" i="3"/>
  <c r="AD47" i="6" s="1"/>
  <c r="R48" i="3"/>
  <c r="R47" i="6" s="1"/>
  <c r="AC48" i="3"/>
  <c r="Q48" i="3"/>
  <c r="H48" i="3"/>
  <c r="AB48" i="3"/>
  <c r="AB47" i="6" s="1"/>
  <c r="P48" i="3"/>
  <c r="P47" i="6" s="1"/>
  <c r="AA48" i="3"/>
  <c r="O48" i="3"/>
  <c r="O47" i="6" s="1"/>
  <c r="Z48" i="3"/>
  <c r="N48" i="3"/>
  <c r="AF48" i="3"/>
  <c r="AF47" i="6" s="1"/>
  <c r="Y48" i="3"/>
  <c r="Y47" i="6" s="1"/>
  <c r="M48" i="3"/>
  <c r="M47" i="6" s="1"/>
  <c r="X48" i="3"/>
  <c r="X47" i="6" s="1"/>
  <c r="L48" i="3"/>
  <c r="AI48" i="3"/>
  <c r="W48" i="3"/>
  <c r="W47" i="6" s="1"/>
  <c r="K48" i="3"/>
  <c r="AH48" i="3"/>
  <c r="V48" i="3"/>
  <c r="J48" i="3"/>
  <c r="J47" i="6" s="1"/>
  <c r="AG48" i="3"/>
  <c r="AG47" i="6" s="1"/>
  <c r="U48" i="3"/>
  <c r="U47" i="6" s="1"/>
  <c r="I48" i="3"/>
  <c r="I47" i="6" s="1"/>
  <c r="R278" i="1"/>
  <c r="R285" i="1"/>
  <c r="R284" i="1" s="1"/>
  <c r="R291" i="1" s="1"/>
  <c r="T252" i="1"/>
  <c r="T259" i="1" s="1"/>
  <c r="S279" i="1"/>
  <c r="S251" i="1"/>
  <c r="T255" i="1"/>
  <c r="S282" i="1"/>
  <c r="S254" i="1"/>
  <c r="S262" i="1"/>
  <c r="S261" i="1" s="1"/>
  <c r="Q293" i="1"/>
  <c r="R288" i="1"/>
  <c r="R287" i="1" s="1"/>
  <c r="R292" i="1" s="1"/>
  <c r="R281" i="1"/>
  <c r="AB33" i="3"/>
  <c r="AB32" i="6" s="1"/>
  <c r="P33" i="3"/>
  <c r="P32" i="6" s="1"/>
  <c r="AI33" i="3"/>
  <c r="W33" i="3"/>
  <c r="K33" i="3"/>
  <c r="AH33" i="3"/>
  <c r="V33" i="3"/>
  <c r="J33" i="3"/>
  <c r="AE33" i="3"/>
  <c r="S33" i="3"/>
  <c r="S32" i="6" s="1"/>
  <c r="R33" i="3"/>
  <c r="Q33" i="3"/>
  <c r="AG33" i="3"/>
  <c r="AG32" i="6" s="1"/>
  <c r="O33" i="3"/>
  <c r="O32" i="6" s="1"/>
  <c r="AF33" i="3"/>
  <c r="N33" i="3"/>
  <c r="G33" i="3"/>
  <c r="AD33" i="3"/>
  <c r="AD32" i="6" s="1"/>
  <c r="M33" i="3"/>
  <c r="AC33" i="3"/>
  <c r="L33" i="3"/>
  <c r="AA33" i="3"/>
  <c r="I33" i="3"/>
  <c r="Z33" i="3"/>
  <c r="Z32" i="6" s="1"/>
  <c r="H33" i="3"/>
  <c r="H32" i="6" s="1"/>
  <c r="Y33" i="3"/>
  <c r="Y32" i="6" s="1"/>
  <c r="T33" i="3"/>
  <c r="X33" i="3"/>
  <c r="U33" i="3"/>
  <c r="AF58" i="6"/>
  <c r="AI42" i="3"/>
  <c r="AG42" i="3"/>
  <c r="AG41" i="6" s="1"/>
  <c r="U42" i="3"/>
  <c r="U41" i="6" s="1"/>
  <c r="I42" i="3"/>
  <c r="I41" i="6" s="1"/>
  <c r="AD42" i="3"/>
  <c r="AD41" i="6" s="1"/>
  <c r="AB42" i="3"/>
  <c r="AB41" i="6" s="1"/>
  <c r="P42" i="3"/>
  <c r="P41" i="6" s="1"/>
  <c r="AA42" i="3"/>
  <c r="AA41" i="6" s="1"/>
  <c r="O42" i="3"/>
  <c r="O41" i="6" s="1"/>
  <c r="X42" i="3"/>
  <c r="X41" i="6" s="1"/>
  <c r="L42" i="3"/>
  <c r="AE42" i="3"/>
  <c r="AE41" i="6" s="1"/>
  <c r="K42" i="3"/>
  <c r="AC42" i="3"/>
  <c r="AC41" i="6" s="1"/>
  <c r="J42" i="3"/>
  <c r="J41" i="6" s="1"/>
  <c r="Z42" i="3"/>
  <c r="Z41" i="6" s="1"/>
  <c r="H42" i="3"/>
  <c r="H41" i="6" s="1"/>
  <c r="Y42" i="3"/>
  <c r="Y41" i="6" s="1"/>
  <c r="W42" i="3"/>
  <c r="W41" i="6" s="1"/>
  <c r="G42" i="3"/>
  <c r="G41" i="6" s="1"/>
  <c r="V42" i="3"/>
  <c r="V41" i="6" s="1"/>
  <c r="T42" i="3"/>
  <c r="T41" i="6" s="1"/>
  <c r="S42" i="3"/>
  <c r="S41" i="6" s="1"/>
  <c r="R42" i="3"/>
  <c r="R41" i="6" s="1"/>
  <c r="Q42" i="3"/>
  <c r="Q41" i="6" s="1"/>
  <c r="AF42" i="3"/>
  <c r="AF41" i="6" s="1"/>
  <c r="M42" i="3"/>
  <c r="M41" i="6" s="1"/>
  <c r="AH42" i="3"/>
  <c r="AH41" i="6" s="1"/>
  <c r="N42" i="3"/>
  <c r="N41" i="6" s="1"/>
  <c r="X34" i="3"/>
  <c r="L34" i="3"/>
  <c r="L33" i="6" s="1"/>
  <c r="AE34" i="3"/>
  <c r="AE33" i="6" s="1"/>
  <c r="S34" i="3"/>
  <c r="AD34" i="3"/>
  <c r="R34" i="3"/>
  <c r="R33" i="6" s="1"/>
  <c r="AA34" i="3"/>
  <c r="AA33" i="6" s="1"/>
  <c r="O34" i="3"/>
  <c r="Z34" i="3"/>
  <c r="I34" i="3"/>
  <c r="I33" i="6" s="1"/>
  <c r="Y34" i="3"/>
  <c r="Y33" i="6" s="1"/>
  <c r="H34" i="3"/>
  <c r="W34" i="3"/>
  <c r="W33" i="6" s="1"/>
  <c r="V34" i="3"/>
  <c r="V33" i="6" s="1"/>
  <c r="U34" i="3"/>
  <c r="U33" i="6" s="1"/>
  <c r="T34" i="3"/>
  <c r="AI34" i="3"/>
  <c r="Q34" i="3"/>
  <c r="AH34" i="3"/>
  <c r="AH33" i="6" s="1"/>
  <c r="P34" i="3"/>
  <c r="AG34" i="3"/>
  <c r="N34" i="3"/>
  <c r="N33" i="6" s="1"/>
  <c r="AB34" i="3"/>
  <c r="J34" i="3"/>
  <c r="G34" i="3"/>
  <c r="G33" i="6" s="1"/>
  <c r="AF34" i="3"/>
  <c r="AF33" i="6" s="1"/>
  <c r="AC34" i="3"/>
  <c r="AC33" i="6" s="1"/>
  <c r="K34" i="3"/>
  <c r="M34" i="3"/>
  <c r="M33" i="6" s="1"/>
  <c r="AB37" i="6"/>
  <c r="AI37" i="6"/>
  <c r="AC37" i="6"/>
  <c r="F18" i="3"/>
  <c r="F17" i="6" s="1"/>
  <c r="J36" i="6"/>
  <c r="I36" i="6"/>
  <c r="S36" i="6"/>
  <c r="AG36" i="6"/>
  <c r="H31" i="6"/>
  <c r="K31" i="6"/>
  <c r="AB31" i="6"/>
  <c r="R31" i="6"/>
  <c r="AG31" i="6"/>
  <c r="AE47" i="6"/>
  <c r="AH47" i="6"/>
  <c r="H47" i="6"/>
  <c r="Q47" i="6"/>
  <c r="AI47" i="6"/>
  <c r="AC47" i="6"/>
  <c r="L47" i="6"/>
  <c r="Z47" i="6"/>
  <c r="AA47" i="6"/>
  <c r="S47" i="6"/>
  <c r="K47" i="6"/>
  <c r="V47" i="6"/>
  <c r="N47" i="6"/>
  <c r="V37" i="6"/>
  <c r="AH37" i="6"/>
  <c r="H67" i="6"/>
  <c r="H66" i="6" s="1"/>
  <c r="H65" i="6" s="1"/>
  <c r="H161" i="6" s="1"/>
  <c r="G67" i="6"/>
  <c r="W36" i="6"/>
  <c r="Q36" i="6"/>
  <c r="K41" i="6"/>
  <c r="AI41" i="6"/>
  <c r="AB36" i="6"/>
  <c r="L36" i="6"/>
  <c r="W37" i="6"/>
  <c r="G37" i="6"/>
  <c r="O36" i="6"/>
  <c r="M37" i="6"/>
  <c r="AA36" i="6"/>
  <c r="N37" i="6"/>
  <c r="W64" i="6"/>
  <c r="W63" i="6" s="1"/>
  <c r="W62" i="6" s="1"/>
  <c r="W152" i="6" s="1"/>
  <c r="I37" i="6"/>
  <c r="J64" i="6"/>
  <c r="J63" i="6" s="1"/>
  <c r="J62" i="6" s="1"/>
  <c r="J152" i="6" s="1"/>
  <c r="U36" i="6"/>
  <c r="L41" i="6"/>
  <c r="N36" i="6"/>
  <c r="N58" i="6"/>
  <c r="W58" i="6"/>
  <c r="AG58" i="6"/>
  <c r="K58" i="6"/>
  <c r="I58" i="6"/>
  <c r="Q33" i="6"/>
  <c r="AB33" i="6"/>
  <c r="P33" i="6"/>
  <c r="O33" i="6"/>
  <c r="Z33" i="6"/>
  <c r="K33" i="6"/>
  <c r="X33" i="6"/>
  <c r="AI33" i="6"/>
  <c r="J33" i="6"/>
  <c r="AG33" i="6"/>
  <c r="T33" i="6"/>
  <c r="S33" i="6"/>
  <c r="H33" i="6"/>
  <c r="AD33" i="6"/>
  <c r="AC31" i="6"/>
  <c r="Q31" i="6"/>
  <c r="P31" i="6"/>
  <c r="AA31" i="6"/>
  <c r="O31" i="6"/>
  <c r="Z31" i="6"/>
  <c r="N31" i="6"/>
  <c r="Y31" i="6"/>
  <c r="I31" i="6"/>
  <c r="X31" i="6"/>
  <c r="L31" i="6"/>
  <c r="AI31" i="6"/>
  <c r="W31" i="6"/>
  <c r="AH31" i="6"/>
  <c r="V31" i="6"/>
  <c r="U31" i="6"/>
  <c r="G31" i="6"/>
  <c r="T31" i="6"/>
  <c r="S31" i="6"/>
  <c r="AD31" i="6"/>
  <c r="AA32" i="6"/>
  <c r="N32" i="6"/>
  <c r="K32" i="6"/>
  <c r="M32" i="6"/>
  <c r="X32" i="6"/>
  <c r="J32" i="6"/>
  <c r="AI32" i="6"/>
  <c r="W32" i="6"/>
  <c r="L32" i="6"/>
  <c r="AH32" i="6"/>
  <c r="V32" i="6"/>
  <c r="I32" i="6"/>
  <c r="U32" i="6"/>
  <c r="AF32" i="6"/>
  <c r="T32" i="6"/>
  <c r="AE32" i="6"/>
  <c r="R32" i="6"/>
  <c r="G32" i="6"/>
  <c r="AC32" i="6"/>
  <c r="Q32" i="6"/>
  <c r="F19" i="3"/>
  <c r="F18" i="6" s="1"/>
  <c r="AE58" i="6"/>
  <c r="T58" i="6"/>
  <c r="Q58" i="6"/>
  <c r="R58" i="6"/>
  <c r="U58" i="6"/>
  <c r="Z58" i="6"/>
  <c r="X58" i="6"/>
  <c r="AC58" i="6"/>
  <c r="AD58" i="6"/>
  <c r="L58" i="6"/>
  <c r="N67" i="6"/>
  <c r="N66" i="6" s="1"/>
  <c r="N65" i="6" s="1"/>
  <c r="N161" i="6" s="1"/>
  <c r="Z64" i="6"/>
  <c r="Z63" i="6" s="1"/>
  <c r="Z62" i="6" s="1"/>
  <c r="Z152" i="6" s="1"/>
  <c r="M64" i="6"/>
  <c r="M63" i="6" s="1"/>
  <c r="M62" i="6" s="1"/>
  <c r="M152" i="6" s="1"/>
  <c r="N64" i="6"/>
  <c r="N63" i="6" s="1"/>
  <c r="N62" i="6" s="1"/>
  <c r="N152" i="6" s="1"/>
  <c r="AH64" i="6"/>
  <c r="AH63" i="6" s="1"/>
  <c r="AH62" i="6" s="1"/>
  <c r="AH152" i="6" s="1"/>
  <c r="P64" i="6"/>
  <c r="P63" i="6" s="1"/>
  <c r="P62" i="6" s="1"/>
  <c r="P152" i="6" s="1"/>
  <c r="Q64" i="6"/>
  <c r="Q63" i="6" s="1"/>
  <c r="Q62" i="6" s="1"/>
  <c r="Q152" i="6" s="1"/>
  <c r="X64" i="6"/>
  <c r="X63" i="6" s="1"/>
  <c r="X62" i="6" s="1"/>
  <c r="X152" i="6" s="1"/>
  <c r="F21" i="3"/>
  <c r="F20" i="6" s="1"/>
  <c r="F20" i="3"/>
  <c r="F19" i="6" s="1"/>
  <c r="V58" i="6"/>
  <c r="AH58" i="6"/>
  <c r="M67" i="6"/>
  <c r="M66" i="6" s="1"/>
  <c r="M65" i="6" s="1"/>
  <c r="M161" i="6" s="1"/>
  <c r="Y67" i="6"/>
  <c r="Y66" i="6" s="1"/>
  <c r="Y65" i="6" s="1"/>
  <c r="Y161" i="6" s="1"/>
  <c r="AA67" i="6"/>
  <c r="AA66" i="6" s="1"/>
  <c r="AA65" i="6" s="1"/>
  <c r="AA161" i="6" s="1"/>
  <c r="M58" i="6"/>
  <c r="Y58" i="6"/>
  <c r="AB67" i="6"/>
  <c r="AB66" i="6" s="1"/>
  <c r="AB65" i="6" s="1"/>
  <c r="AB161" i="6" s="1"/>
  <c r="O58" i="6"/>
  <c r="AA58" i="6"/>
  <c r="T64" i="6"/>
  <c r="T63" i="6" s="1"/>
  <c r="T62" i="6" s="1"/>
  <c r="T152" i="6" s="1"/>
  <c r="AF64" i="6"/>
  <c r="AF63" i="6" s="1"/>
  <c r="AF62" i="6" s="1"/>
  <c r="AF152" i="6" s="1"/>
  <c r="AD67" i="6"/>
  <c r="AD66" i="6" s="1"/>
  <c r="AD65" i="6" s="1"/>
  <c r="AD161" i="6" s="1"/>
  <c r="T67" i="6"/>
  <c r="T66" i="6" s="1"/>
  <c r="T65" i="6" s="1"/>
  <c r="T161" i="6" s="1"/>
  <c r="AF67" i="6"/>
  <c r="AF66" i="6" s="1"/>
  <c r="AF65" i="6" s="1"/>
  <c r="AF161" i="6" s="1"/>
  <c r="AG67" i="6"/>
  <c r="AG66" i="6" s="1"/>
  <c r="AG65" i="6" s="1"/>
  <c r="AG161" i="6" s="1"/>
  <c r="L64" i="6"/>
  <c r="L63" i="6" s="1"/>
  <c r="L62" i="6" s="1"/>
  <c r="L152" i="6" s="1"/>
  <c r="V67" i="6"/>
  <c r="V66" i="6" s="1"/>
  <c r="V65" i="6" s="1"/>
  <c r="V161" i="6" s="1"/>
  <c r="AH67" i="6"/>
  <c r="AH66" i="6" s="1"/>
  <c r="AH65" i="6" s="1"/>
  <c r="AH161" i="6" s="1"/>
  <c r="W67" i="6"/>
  <c r="W66" i="6" s="1"/>
  <c r="W65" i="6" s="1"/>
  <c r="W161" i="6" s="1"/>
  <c r="AJ39" i="3" l="1"/>
  <c r="AJ39" i="6"/>
  <c r="AJ40" i="3"/>
  <c r="AJ38" i="6"/>
  <c r="Q294" i="1"/>
  <c r="Q297" i="1"/>
  <c r="S281" i="1"/>
  <c r="S288" i="1"/>
  <c r="S287" i="1" s="1"/>
  <c r="S292" i="1" s="1"/>
  <c r="T282" i="1"/>
  <c r="T254" i="1"/>
  <c r="T262" i="1"/>
  <c r="T261" i="1" s="1"/>
  <c r="U255" i="1"/>
  <c r="S278" i="1"/>
  <c r="S285" i="1"/>
  <c r="S284" i="1" s="1"/>
  <c r="S291" i="1" s="1"/>
  <c r="T279" i="1"/>
  <c r="T251" i="1"/>
  <c r="U252" i="1"/>
  <c r="U259" i="1" s="1"/>
  <c r="R293" i="1"/>
  <c r="X35" i="6"/>
  <c r="X34" i="6" s="1"/>
  <c r="X116" i="6" s="1"/>
  <c r="X120" i="6" s="1"/>
  <c r="K35" i="6"/>
  <c r="K34" i="6" s="1"/>
  <c r="K116" i="6" s="1"/>
  <c r="K120" i="6" s="1"/>
  <c r="F16" i="6"/>
  <c r="AG35" i="6"/>
  <c r="AG34" i="6" s="1"/>
  <c r="AG116" i="6" s="1"/>
  <c r="AG118" i="6" s="1"/>
  <c r="R163" i="6"/>
  <c r="R164" i="6"/>
  <c r="R162" i="6"/>
  <c r="R165" i="6"/>
  <c r="S154" i="6"/>
  <c r="S155" i="6"/>
  <c r="S156" i="6"/>
  <c r="S153" i="6"/>
  <c r="AA154" i="6"/>
  <c r="AA156" i="6"/>
  <c r="AA153" i="6"/>
  <c r="AA155" i="6"/>
  <c r="H155" i="6"/>
  <c r="H156" i="6"/>
  <c r="H154" i="6"/>
  <c r="H153" i="6"/>
  <c r="I162" i="6"/>
  <c r="I164" i="6"/>
  <c r="I163" i="6"/>
  <c r="I165" i="6"/>
  <c r="AH165" i="6"/>
  <c r="AH164" i="6"/>
  <c r="AH163" i="6"/>
  <c r="AH162" i="6"/>
  <c r="AG164" i="6"/>
  <c r="AG165" i="6"/>
  <c r="AG162" i="6"/>
  <c r="AG163" i="6"/>
  <c r="AE163" i="6"/>
  <c r="AE162" i="6"/>
  <c r="AE165" i="6"/>
  <c r="AE164" i="6"/>
  <c r="AF155" i="6"/>
  <c r="AF156" i="6"/>
  <c r="AF153" i="6"/>
  <c r="AF154" i="6"/>
  <c r="AC162" i="6"/>
  <c r="AC163" i="6"/>
  <c r="AC164" i="6"/>
  <c r="AC165" i="6"/>
  <c r="AD155" i="6"/>
  <c r="AD156" i="6"/>
  <c r="AD153" i="6"/>
  <c r="AD154" i="6"/>
  <c r="AA165" i="6"/>
  <c r="AA162" i="6"/>
  <c r="AA164" i="6"/>
  <c r="AA163" i="6"/>
  <c r="Q154" i="6"/>
  <c r="Q156" i="6"/>
  <c r="Q153" i="6"/>
  <c r="Q155" i="6"/>
  <c r="O155" i="6"/>
  <c r="O153" i="6"/>
  <c r="O156" i="6"/>
  <c r="O154" i="6"/>
  <c r="AB153" i="6"/>
  <c r="AB154" i="6"/>
  <c r="AB156" i="6"/>
  <c r="AB155" i="6"/>
  <c r="Y154" i="6"/>
  <c r="Y155" i="6"/>
  <c r="Y153" i="6"/>
  <c r="Y156" i="6"/>
  <c r="J30" i="6"/>
  <c r="J107" i="6" s="1"/>
  <c r="J110" i="6" s="1"/>
  <c r="AJ58" i="6"/>
  <c r="Z164" i="6"/>
  <c r="Z163" i="6"/>
  <c r="Z162" i="6"/>
  <c r="Z165" i="6"/>
  <c r="I154" i="6"/>
  <c r="I155" i="6"/>
  <c r="I156" i="6"/>
  <c r="I153" i="6"/>
  <c r="K155" i="6"/>
  <c r="K154" i="6"/>
  <c r="K156" i="6"/>
  <c r="K153" i="6"/>
  <c r="J165" i="6"/>
  <c r="J163" i="6"/>
  <c r="J162" i="6"/>
  <c r="J164" i="6"/>
  <c r="T164" i="6"/>
  <c r="T163" i="6"/>
  <c r="T165" i="6"/>
  <c r="T162" i="6"/>
  <c r="P162" i="6"/>
  <c r="P165" i="6"/>
  <c r="P164" i="6"/>
  <c r="P163" i="6"/>
  <c r="M153" i="6"/>
  <c r="M156" i="6"/>
  <c r="M155" i="6"/>
  <c r="M154" i="6"/>
  <c r="X164" i="6"/>
  <c r="X162" i="6"/>
  <c r="X165" i="6"/>
  <c r="X163" i="6"/>
  <c r="L164" i="6"/>
  <c r="L162" i="6"/>
  <c r="L165" i="6"/>
  <c r="L163" i="6"/>
  <c r="U164" i="6"/>
  <c r="U165" i="6"/>
  <c r="U162" i="6"/>
  <c r="U163" i="6"/>
  <c r="S162" i="6"/>
  <c r="S165" i="6"/>
  <c r="S164" i="6"/>
  <c r="S163" i="6"/>
  <c r="T154" i="6"/>
  <c r="T155" i="6"/>
  <c r="T153" i="6"/>
  <c r="T156" i="6"/>
  <c r="Q165" i="6"/>
  <c r="Q164" i="6"/>
  <c r="Q163" i="6"/>
  <c r="Q162" i="6"/>
  <c r="R153" i="6"/>
  <c r="R156" i="6"/>
  <c r="R155" i="6"/>
  <c r="R154" i="6"/>
  <c r="O163" i="6"/>
  <c r="O162" i="6"/>
  <c r="O165" i="6"/>
  <c r="O164" i="6"/>
  <c r="X154" i="6"/>
  <c r="X153" i="6"/>
  <c r="X156" i="6"/>
  <c r="X155" i="6"/>
  <c r="AI156" i="6"/>
  <c r="AI153" i="6"/>
  <c r="AI155" i="6"/>
  <c r="AI154" i="6"/>
  <c r="AE154" i="6"/>
  <c r="AE156" i="6"/>
  <c r="AE155" i="6"/>
  <c r="AE153" i="6"/>
  <c r="AC153" i="6"/>
  <c r="AC156" i="6"/>
  <c r="AC155" i="6"/>
  <c r="AC154" i="6"/>
  <c r="N165" i="6"/>
  <c r="N163" i="6"/>
  <c r="N162" i="6"/>
  <c r="N164" i="6"/>
  <c r="L30" i="6"/>
  <c r="L107" i="6" s="1"/>
  <c r="L110" i="6" s="1"/>
  <c r="J156" i="6"/>
  <c r="J153" i="6"/>
  <c r="J154" i="6"/>
  <c r="J155" i="6"/>
  <c r="W155" i="6"/>
  <c r="W156" i="6"/>
  <c r="W154" i="6"/>
  <c r="W153" i="6"/>
  <c r="Q35" i="6"/>
  <c r="Q34" i="6" s="1"/>
  <c r="Q116" i="6" s="1"/>
  <c r="Q118" i="6" s="1"/>
  <c r="G66" i="6"/>
  <c r="AJ67" i="6"/>
  <c r="W163" i="6"/>
  <c r="W164" i="6"/>
  <c r="W165" i="6"/>
  <c r="W162" i="6"/>
  <c r="U156" i="6"/>
  <c r="U154" i="6"/>
  <c r="U153" i="6"/>
  <c r="U155" i="6"/>
  <c r="M163" i="6"/>
  <c r="M164" i="6"/>
  <c r="M162" i="6"/>
  <c r="M165" i="6"/>
  <c r="AH153" i="6"/>
  <c r="AH155" i="6"/>
  <c r="AH156" i="6"/>
  <c r="AH154" i="6"/>
  <c r="K164" i="6"/>
  <c r="K163" i="6"/>
  <c r="K162" i="6"/>
  <c r="K165" i="6"/>
  <c r="AJ47" i="6"/>
  <c r="V165" i="6"/>
  <c r="V164" i="6"/>
  <c r="V163" i="6"/>
  <c r="V162" i="6"/>
  <c r="AI163" i="6"/>
  <c r="AI164" i="6"/>
  <c r="AI165" i="6"/>
  <c r="AI162" i="6"/>
  <c r="L154" i="6"/>
  <c r="L156" i="6"/>
  <c r="L155" i="6"/>
  <c r="L153" i="6"/>
  <c r="AF163" i="6"/>
  <c r="AF165" i="6"/>
  <c r="AF162" i="6"/>
  <c r="AF164" i="6"/>
  <c r="AG153" i="6"/>
  <c r="AG154" i="6"/>
  <c r="AG155" i="6"/>
  <c r="AG156" i="6"/>
  <c r="AD163" i="6"/>
  <c r="AD162" i="6"/>
  <c r="AD165" i="6"/>
  <c r="AD164" i="6"/>
  <c r="AB163" i="6"/>
  <c r="AB165" i="6"/>
  <c r="AB164" i="6"/>
  <c r="AB162" i="6"/>
  <c r="Y164" i="6"/>
  <c r="Y162" i="6"/>
  <c r="Y165" i="6"/>
  <c r="Y163" i="6"/>
  <c r="V153" i="6"/>
  <c r="V154" i="6"/>
  <c r="V155" i="6"/>
  <c r="V156" i="6"/>
  <c r="P153" i="6"/>
  <c r="P156" i="6"/>
  <c r="P155" i="6"/>
  <c r="P154" i="6"/>
  <c r="N154" i="6"/>
  <c r="N156" i="6"/>
  <c r="N155" i="6"/>
  <c r="N153" i="6"/>
  <c r="Z155" i="6"/>
  <c r="Z154" i="6"/>
  <c r="Z156" i="6"/>
  <c r="Z153" i="6"/>
  <c r="M35" i="6"/>
  <c r="M34" i="6" s="1"/>
  <c r="M116" i="6" s="1"/>
  <c r="M119" i="6" s="1"/>
  <c r="G63" i="6"/>
  <c r="AJ64" i="6"/>
  <c r="AE35" i="6"/>
  <c r="AE34" i="6" s="1"/>
  <c r="AE116" i="6" s="1"/>
  <c r="AE117" i="6" s="1"/>
  <c r="S35" i="6"/>
  <c r="S34" i="6" s="1"/>
  <c r="S116" i="6" s="1"/>
  <c r="S118" i="6" s="1"/>
  <c r="H163" i="6"/>
  <c r="H165" i="6"/>
  <c r="H162" i="6"/>
  <c r="H164" i="6"/>
  <c r="AD35" i="6"/>
  <c r="AD34" i="6" s="1"/>
  <c r="AD116" i="6" s="1"/>
  <c r="AD120" i="6" s="1"/>
  <c r="Z35" i="6"/>
  <c r="Z34" i="6" s="1"/>
  <c r="Z116" i="6" s="1"/>
  <c r="Z118" i="6" s="1"/>
  <c r="AE30" i="6"/>
  <c r="AE107" i="6" s="1"/>
  <c r="AE108" i="6" s="1"/>
  <c r="U35" i="6"/>
  <c r="U34" i="6" s="1"/>
  <c r="U116" i="6" s="1"/>
  <c r="U118" i="6" s="1"/>
  <c r="S30" i="6"/>
  <c r="S107" i="6" s="1"/>
  <c r="S111" i="6" s="1"/>
  <c r="X30" i="6"/>
  <c r="X107" i="6" s="1"/>
  <c r="X108" i="6" s="1"/>
  <c r="AF30" i="6"/>
  <c r="AF107" i="6" s="1"/>
  <c r="AF108" i="6" s="1"/>
  <c r="Y35" i="6"/>
  <c r="Y34" i="6" s="1"/>
  <c r="Y116" i="6" s="1"/>
  <c r="Y117" i="6" s="1"/>
  <c r="K30" i="6"/>
  <c r="K107" i="6" s="1"/>
  <c r="K110" i="6" s="1"/>
  <c r="Q30" i="6"/>
  <c r="Q107" i="6" s="1"/>
  <c r="Q108" i="6" s="1"/>
  <c r="AJ41" i="6"/>
  <c r="AG30" i="6"/>
  <c r="AG107" i="6" s="1"/>
  <c r="Z30" i="6"/>
  <c r="Z107" i="6" s="1"/>
  <c r="K118" i="6"/>
  <c r="P35" i="6"/>
  <c r="P34" i="6" s="1"/>
  <c r="P116" i="6" s="1"/>
  <c r="V35" i="6"/>
  <c r="V34" i="6" s="1"/>
  <c r="V116" i="6" s="1"/>
  <c r="AH30" i="6"/>
  <c r="AH107" i="6" s="1"/>
  <c r="O30" i="6"/>
  <c r="O107" i="6" s="1"/>
  <c r="N35" i="6"/>
  <c r="N34" i="6" s="1"/>
  <c r="N116" i="6" s="1"/>
  <c r="L35" i="6"/>
  <c r="L34" i="6" s="1"/>
  <c r="L116" i="6" s="1"/>
  <c r="H30" i="6"/>
  <c r="H107" i="6" s="1"/>
  <c r="AA30" i="6"/>
  <c r="AA107" i="6" s="1"/>
  <c r="I35" i="6"/>
  <c r="I34" i="6" s="1"/>
  <c r="I116" i="6" s="1"/>
  <c r="W35" i="6"/>
  <c r="W34" i="6" s="1"/>
  <c r="W116" i="6" s="1"/>
  <c r="AF35" i="6"/>
  <c r="AF34" i="6" s="1"/>
  <c r="AF116" i="6" s="1"/>
  <c r="R30" i="6"/>
  <c r="R107" i="6" s="1"/>
  <c r="W30" i="6"/>
  <c r="W107" i="6" s="1"/>
  <c r="P30" i="6"/>
  <c r="P107" i="6" s="1"/>
  <c r="AA35" i="6"/>
  <c r="AA34" i="6" s="1"/>
  <c r="AA116" i="6" s="1"/>
  <c r="AB35" i="6"/>
  <c r="AB34" i="6" s="1"/>
  <c r="AB116" i="6" s="1"/>
  <c r="T35" i="6"/>
  <c r="T34" i="6" s="1"/>
  <c r="T116" i="6" s="1"/>
  <c r="V30" i="6"/>
  <c r="V107" i="6" s="1"/>
  <c r="AD30" i="6"/>
  <c r="AD107" i="6" s="1"/>
  <c r="AI30" i="6"/>
  <c r="AI107" i="6" s="1"/>
  <c r="AB30" i="6"/>
  <c r="AB107" i="6" s="1"/>
  <c r="AH35" i="6"/>
  <c r="AH34" i="6" s="1"/>
  <c r="AH116" i="6" s="1"/>
  <c r="AC35" i="6"/>
  <c r="AC34" i="6" s="1"/>
  <c r="AC116" i="6" s="1"/>
  <c r="T30" i="6"/>
  <c r="T107" i="6" s="1"/>
  <c r="I30" i="6"/>
  <c r="I107" i="6" s="1"/>
  <c r="AC30" i="6"/>
  <c r="AC107" i="6" s="1"/>
  <c r="J35" i="6"/>
  <c r="J34" i="6" s="1"/>
  <c r="J116" i="6" s="1"/>
  <c r="AI35" i="6"/>
  <c r="AI34" i="6" s="1"/>
  <c r="AI116" i="6" s="1"/>
  <c r="G30" i="6"/>
  <c r="AJ31" i="6"/>
  <c r="Y30" i="6"/>
  <c r="Y107" i="6" s="1"/>
  <c r="O35" i="6"/>
  <c r="O34" i="6" s="1"/>
  <c r="O116" i="6" s="1"/>
  <c r="G35" i="6"/>
  <c r="AJ36" i="6"/>
  <c r="H35" i="6"/>
  <c r="H34" i="6" s="1"/>
  <c r="H116" i="6" s="1"/>
  <c r="AJ32" i="6"/>
  <c r="M30" i="6"/>
  <c r="M107" i="6" s="1"/>
  <c r="U30" i="6"/>
  <c r="U107" i="6" s="1"/>
  <c r="N30" i="6"/>
  <c r="N107" i="6" s="1"/>
  <c r="AJ33" i="6"/>
  <c r="AJ37" i="6"/>
  <c r="R35" i="6"/>
  <c r="R34" i="6" s="1"/>
  <c r="R116" i="6" s="1"/>
  <c r="AJ69" i="3"/>
  <c r="AJ66" i="3"/>
  <c r="AJ60" i="3"/>
  <c r="AJ48" i="3"/>
  <c r="AJ37" i="3"/>
  <c r="AJ42" i="3"/>
  <c r="AJ32" i="3"/>
  <c r="AJ15" i="3"/>
  <c r="AJ16" i="3"/>
  <c r="AJ33" i="3"/>
  <c r="AJ34" i="3"/>
  <c r="AJ38" i="3"/>
  <c r="S293" i="1" l="1"/>
  <c r="S297" i="1" s="1"/>
  <c r="U282" i="1"/>
  <c r="V255" i="1"/>
  <c r="U254" i="1"/>
  <c r="U262" i="1"/>
  <c r="U261" i="1" s="1"/>
  <c r="T285" i="1"/>
  <c r="T284" i="1" s="1"/>
  <c r="T291" i="1" s="1"/>
  <c r="T278" i="1"/>
  <c r="T288" i="1"/>
  <c r="T287" i="1" s="1"/>
  <c r="T292" i="1" s="1"/>
  <c r="T281" i="1"/>
  <c r="R297" i="1"/>
  <c r="R294" i="1"/>
  <c r="U279" i="1"/>
  <c r="U251" i="1"/>
  <c r="V252" i="1"/>
  <c r="V259" i="1" s="1"/>
  <c r="X117" i="6"/>
  <c r="Y120" i="6"/>
  <c r="AG120" i="6"/>
  <c r="Q120" i="6"/>
  <c r="S120" i="6"/>
  <c r="X119" i="6"/>
  <c r="AC157" i="6"/>
  <c r="AC158" i="6" s="1"/>
  <c r="AC159" i="6" s="1"/>
  <c r="AC151" i="6" s="1"/>
  <c r="AC20" i="10" s="1"/>
  <c r="X118" i="6"/>
  <c r="S109" i="6"/>
  <c r="J109" i="6"/>
  <c r="L166" i="6"/>
  <c r="L167" i="6" s="1"/>
  <c r="L168" i="6" s="1"/>
  <c r="L160" i="6" s="1"/>
  <c r="L22" i="10" s="1"/>
  <c r="AE166" i="6"/>
  <c r="AE167" i="6" s="1"/>
  <c r="AE168" i="6" s="1"/>
  <c r="AE160" i="6" s="1"/>
  <c r="AE22" i="10" s="1"/>
  <c r="I166" i="6"/>
  <c r="I167" i="6" s="1"/>
  <c r="I168" i="6" s="1"/>
  <c r="I160" i="6" s="1"/>
  <c r="I22" i="10" s="1"/>
  <c r="AG117" i="6"/>
  <c r="AG119" i="6"/>
  <c r="R157" i="6"/>
  <c r="R158" i="6" s="1"/>
  <c r="R159" i="6" s="1"/>
  <c r="R151" i="6" s="1"/>
  <c r="R20" i="10" s="1"/>
  <c r="H157" i="6"/>
  <c r="H158" i="6" s="1"/>
  <c r="H159" i="6" s="1"/>
  <c r="H151" i="6" s="1"/>
  <c r="H20" i="10" s="1"/>
  <c r="K119" i="6"/>
  <c r="P166" i="6"/>
  <c r="P167" i="6" s="1"/>
  <c r="P168" i="6" s="1"/>
  <c r="P160" i="6" s="1"/>
  <c r="P22" i="10" s="1"/>
  <c r="S157" i="6"/>
  <c r="S158" i="6" s="1"/>
  <c r="S159" i="6" s="1"/>
  <c r="S151" i="6" s="1"/>
  <c r="S20" i="10" s="1"/>
  <c r="AB166" i="6"/>
  <c r="AB167" i="6" s="1"/>
  <c r="AB168" i="6" s="1"/>
  <c r="AB160" i="6" s="1"/>
  <c r="AB22" i="10" s="1"/>
  <c r="AF166" i="6"/>
  <c r="AF167" i="6" s="1"/>
  <c r="AF168" i="6" s="1"/>
  <c r="AF160" i="6" s="1"/>
  <c r="AF22" i="10" s="1"/>
  <c r="K117" i="6"/>
  <c r="AG166" i="6"/>
  <c r="AG167" i="6" s="1"/>
  <c r="AG168" i="6" s="1"/>
  <c r="AG160" i="6" s="1"/>
  <c r="AG22" i="10" s="1"/>
  <c r="R166" i="6"/>
  <c r="R167" i="6" s="1"/>
  <c r="R168" i="6" s="1"/>
  <c r="R160" i="6" s="1"/>
  <c r="R22" i="10" s="1"/>
  <c r="S108" i="6"/>
  <c r="I157" i="6"/>
  <c r="I158" i="6" s="1"/>
  <c r="I159" i="6" s="1"/>
  <c r="I151" i="6" s="1"/>
  <c r="I20" i="10" s="1"/>
  <c r="W157" i="6"/>
  <c r="W158" i="6" s="1"/>
  <c r="W159" i="6" s="1"/>
  <c r="W151" i="6" s="1"/>
  <c r="W20" i="10" s="1"/>
  <c r="K166" i="6"/>
  <c r="K167" i="6" s="1"/>
  <c r="K168" i="6" s="1"/>
  <c r="K160" i="6" s="1"/>
  <c r="K22" i="10" s="1"/>
  <c r="AH166" i="6"/>
  <c r="AH167" i="6" s="1"/>
  <c r="AH168" i="6" s="1"/>
  <c r="AH160" i="6" s="1"/>
  <c r="AH22" i="10" s="1"/>
  <c r="Y157" i="6"/>
  <c r="Y158" i="6" s="1"/>
  <c r="Y159" i="6" s="1"/>
  <c r="Y151" i="6" s="1"/>
  <c r="Y20" i="10" s="1"/>
  <c r="Q157" i="6"/>
  <c r="Q158" i="6" s="1"/>
  <c r="Q159" i="6" s="1"/>
  <c r="Q151" i="6" s="1"/>
  <c r="Q20" i="10" s="1"/>
  <c r="AG157" i="6"/>
  <c r="AG158" i="6" s="1"/>
  <c r="AG159" i="6" s="1"/>
  <c r="AG151" i="6" s="1"/>
  <c r="AG20" i="10" s="1"/>
  <c r="AE118" i="6"/>
  <c r="K157" i="6"/>
  <c r="K158" i="6" s="1"/>
  <c r="K159" i="6" s="1"/>
  <c r="K151" i="6" s="1"/>
  <c r="K20" i="10" s="1"/>
  <c r="AE120" i="6"/>
  <c r="AE119" i="6"/>
  <c r="AC166" i="6"/>
  <c r="AC167" i="6" s="1"/>
  <c r="AC168" i="6" s="1"/>
  <c r="AC160" i="6" s="1"/>
  <c r="AC22" i="10" s="1"/>
  <c r="X111" i="6"/>
  <c r="L157" i="6"/>
  <c r="L158" i="6" s="1"/>
  <c r="L159" i="6" s="1"/>
  <c r="L151" i="6" s="1"/>
  <c r="L20" i="10" s="1"/>
  <c r="T166" i="6"/>
  <c r="T167" i="6" s="1"/>
  <c r="T168" i="6" s="1"/>
  <c r="T160" i="6" s="1"/>
  <c r="T22" i="10" s="1"/>
  <c r="X166" i="6"/>
  <c r="X167" i="6" s="1"/>
  <c r="X168" i="6" s="1"/>
  <c r="X160" i="6" s="1"/>
  <c r="X22" i="10" s="1"/>
  <c r="U119" i="6"/>
  <c r="Q109" i="6"/>
  <c r="AI166" i="6"/>
  <c r="AI167" i="6" s="1"/>
  <c r="AI168" i="6" s="1"/>
  <c r="AI160" i="6" s="1"/>
  <c r="AI22" i="10" s="1"/>
  <c r="U157" i="6"/>
  <c r="U158" i="6" s="1"/>
  <c r="U159" i="6" s="1"/>
  <c r="U151" i="6" s="1"/>
  <c r="U20" i="10" s="1"/>
  <c r="AA166" i="6"/>
  <c r="AA167" i="6" s="1"/>
  <c r="AA168" i="6" s="1"/>
  <c r="AA160" i="6" s="1"/>
  <c r="AA22" i="10" s="1"/>
  <c r="AA157" i="6"/>
  <c r="AA158" i="6" s="1"/>
  <c r="AA159" i="6" s="1"/>
  <c r="AA151" i="6" s="1"/>
  <c r="AA20" i="10" s="1"/>
  <c r="Z166" i="6"/>
  <c r="Z167" i="6" s="1"/>
  <c r="Z168" i="6" s="1"/>
  <c r="Z160" i="6" s="1"/>
  <c r="Z22" i="10" s="1"/>
  <c r="W166" i="6"/>
  <c r="W167" i="6" s="1"/>
  <c r="W168" i="6" s="1"/>
  <c r="W160" i="6" s="1"/>
  <c r="W22" i="10" s="1"/>
  <c r="S110" i="6"/>
  <c r="M120" i="6"/>
  <c r="J111" i="6"/>
  <c r="AH157" i="6"/>
  <c r="AH158" i="6" s="1"/>
  <c r="AH159" i="6" s="1"/>
  <c r="AH151" i="6" s="1"/>
  <c r="AH20" i="10" s="1"/>
  <c r="X110" i="6"/>
  <c r="J108" i="6"/>
  <c r="M157" i="6"/>
  <c r="M158" i="6" s="1"/>
  <c r="M159" i="6" s="1"/>
  <c r="M151" i="6" s="1"/>
  <c r="M20" i="10" s="1"/>
  <c r="AD157" i="6"/>
  <c r="AD158" i="6" s="1"/>
  <c r="AD159" i="6" s="1"/>
  <c r="AD151" i="6" s="1"/>
  <c r="AD20" i="10" s="1"/>
  <c r="U117" i="6"/>
  <c r="Y118" i="6"/>
  <c r="Y119" i="6"/>
  <c r="U120" i="6"/>
  <c r="X109" i="6"/>
  <c r="AF111" i="6"/>
  <c r="V166" i="6"/>
  <c r="V167" i="6" s="1"/>
  <c r="V168" i="6" s="1"/>
  <c r="V160" i="6" s="1"/>
  <c r="V22" i="10" s="1"/>
  <c r="J166" i="6"/>
  <c r="J167" i="6" s="1"/>
  <c r="J168" i="6" s="1"/>
  <c r="J160" i="6" s="1"/>
  <c r="J22" i="10" s="1"/>
  <c r="O166" i="6"/>
  <c r="O167" i="6" s="1"/>
  <c r="O168" i="6" s="1"/>
  <c r="O160" i="6" s="1"/>
  <c r="O22" i="10" s="1"/>
  <c r="M166" i="6"/>
  <c r="M167" i="6" s="1"/>
  <c r="M168" i="6" s="1"/>
  <c r="M160" i="6" s="1"/>
  <c r="M22" i="10" s="1"/>
  <c r="N166" i="6"/>
  <c r="N167" i="6" s="1"/>
  <c r="N168" i="6" s="1"/>
  <c r="N160" i="6" s="1"/>
  <c r="N22" i="10" s="1"/>
  <c r="H166" i="6"/>
  <c r="H167" i="6" s="1"/>
  <c r="H168" i="6" s="1"/>
  <c r="H160" i="6" s="1"/>
  <c r="H22" i="10" s="1"/>
  <c r="AD166" i="6"/>
  <c r="AD167" i="6" s="1"/>
  <c r="AD168" i="6" s="1"/>
  <c r="AD160" i="6" s="1"/>
  <c r="AD22" i="10" s="1"/>
  <c r="S166" i="6"/>
  <c r="S167" i="6" s="1"/>
  <c r="S168" i="6" s="1"/>
  <c r="S160" i="6" s="1"/>
  <c r="S22" i="10" s="1"/>
  <c r="Y166" i="6"/>
  <c r="Y167" i="6" s="1"/>
  <c r="Y168" i="6" s="1"/>
  <c r="Y160" i="6" s="1"/>
  <c r="Y22" i="10" s="1"/>
  <c r="Q166" i="6"/>
  <c r="Q167" i="6" s="1"/>
  <c r="Q168" i="6" s="1"/>
  <c r="Q160" i="6" s="1"/>
  <c r="Q22" i="10" s="1"/>
  <c r="U166" i="6"/>
  <c r="U167" i="6" s="1"/>
  <c r="U168" i="6" s="1"/>
  <c r="U160" i="6" s="1"/>
  <c r="U22" i="10" s="1"/>
  <c r="AI157" i="6"/>
  <c r="AI158" i="6" s="1"/>
  <c r="AI159" i="6" s="1"/>
  <c r="AI151" i="6" s="1"/>
  <c r="AI20" i="10" s="1"/>
  <c r="N157" i="6"/>
  <c r="N158" i="6" s="1"/>
  <c r="N159" i="6" s="1"/>
  <c r="N151" i="6" s="1"/>
  <c r="N20" i="10" s="1"/>
  <c r="J157" i="6"/>
  <c r="J158" i="6" s="1"/>
  <c r="J159" i="6" s="1"/>
  <c r="J151" i="6" s="1"/>
  <c r="J20" i="10" s="1"/>
  <c r="AE157" i="6"/>
  <c r="AE158" i="6" s="1"/>
  <c r="AE159" i="6" s="1"/>
  <c r="AE151" i="6" s="1"/>
  <c r="AE20" i="10" s="1"/>
  <c r="AB157" i="6"/>
  <c r="AB158" i="6" s="1"/>
  <c r="AB159" i="6" s="1"/>
  <c r="AB151" i="6" s="1"/>
  <c r="AB20" i="10" s="1"/>
  <c r="Z157" i="6"/>
  <c r="Z158" i="6" s="1"/>
  <c r="AD117" i="6"/>
  <c r="Z120" i="6"/>
  <c r="AD118" i="6"/>
  <c r="Z119" i="6"/>
  <c r="Z117" i="6"/>
  <c r="AD119" i="6"/>
  <c r="Q119" i="6"/>
  <c r="Q117" i="6"/>
  <c r="K109" i="6"/>
  <c r="L109" i="6"/>
  <c r="L108" i="6"/>
  <c r="L111" i="6"/>
  <c r="AF109" i="6"/>
  <c r="S119" i="6"/>
  <c r="M118" i="6"/>
  <c r="AE110" i="6"/>
  <c r="X157" i="6"/>
  <c r="X158" i="6" s="1"/>
  <c r="X159" i="6" s="1"/>
  <c r="X151" i="6" s="1"/>
  <c r="X20" i="10" s="1"/>
  <c r="AF157" i="6"/>
  <c r="AF158" i="6" s="1"/>
  <c r="AF159" i="6" s="1"/>
  <c r="AF151" i="6" s="1"/>
  <c r="AF20" i="10" s="1"/>
  <c r="AE109" i="6"/>
  <c r="AF110" i="6"/>
  <c r="S117" i="6"/>
  <c r="M117" i="6"/>
  <c r="AE111" i="6"/>
  <c r="P157" i="6"/>
  <c r="V157" i="6"/>
  <c r="V158" i="6" s="1"/>
  <c r="V159" i="6" s="1"/>
  <c r="V151" i="6" s="1"/>
  <c r="V20" i="10" s="1"/>
  <c r="AJ66" i="6"/>
  <c r="G65" i="6"/>
  <c r="O157" i="6"/>
  <c r="O158" i="6" s="1"/>
  <c r="O159" i="6" s="1"/>
  <c r="O151" i="6" s="1"/>
  <c r="O20" i="10" s="1"/>
  <c r="K111" i="6"/>
  <c r="G62" i="6"/>
  <c r="AJ63" i="6"/>
  <c r="T157" i="6"/>
  <c r="T158" i="6" s="1"/>
  <c r="T159" i="6" s="1"/>
  <c r="T151" i="6" s="1"/>
  <c r="T20" i="10" s="1"/>
  <c r="Q111" i="6"/>
  <c r="Q110" i="6"/>
  <c r="K108" i="6"/>
  <c r="U108" i="6"/>
  <c r="U110" i="6"/>
  <c r="U111" i="6"/>
  <c r="U109" i="6"/>
  <c r="AF118" i="6"/>
  <c r="AF117" i="6"/>
  <c r="AF120" i="6"/>
  <c r="AF119" i="6"/>
  <c r="T117" i="6"/>
  <c r="T119" i="6"/>
  <c r="T118" i="6"/>
  <c r="T120" i="6"/>
  <c r="V108" i="6"/>
  <c r="V109" i="6"/>
  <c r="V110" i="6"/>
  <c r="V111" i="6"/>
  <c r="AB120" i="6"/>
  <c r="AB117" i="6"/>
  <c r="AB118" i="6"/>
  <c r="AB119" i="6"/>
  <c r="Y110" i="6"/>
  <c r="Y109" i="6"/>
  <c r="Y108" i="6"/>
  <c r="Y111" i="6"/>
  <c r="W119" i="6"/>
  <c r="W120" i="6"/>
  <c r="W117" i="6"/>
  <c r="W118" i="6"/>
  <c r="T111" i="6"/>
  <c r="T109" i="6"/>
  <c r="T110" i="6"/>
  <c r="T108" i="6"/>
  <c r="AI111" i="6"/>
  <c r="AI109" i="6"/>
  <c r="AI108" i="6"/>
  <c r="AI110" i="6"/>
  <c r="AA110" i="6"/>
  <c r="AA108" i="6"/>
  <c r="AA111" i="6"/>
  <c r="AA109" i="6"/>
  <c r="AD110" i="6"/>
  <c r="AD111" i="6"/>
  <c r="AD108" i="6"/>
  <c r="AD109" i="6"/>
  <c r="H109" i="6"/>
  <c r="H111" i="6"/>
  <c r="H110" i="6"/>
  <c r="H108" i="6"/>
  <c r="G107" i="6"/>
  <c r="AJ30" i="6"/>
  <c r="M108" i="6"/>
  <c r="M110" i="6"/>
  <c r="M109" i="6"/>
  <c r="M111" i="6"/>
  <c r="AG110" i="6"/>
  <c r="AG111" i="6"/>
  <c r="AG109" i="6"/>
  <c r="AG108" i="6"/>
  <c r="P118" i="6"/>
  <c r="P119" i="6"/>
  <c r="P117" i="6"/>
  <c r="P120" i="6"/>
  <c r="L117" i="6"/>
  <c r="L118" i="6"/>
  <c r="L119" i="6"/>
  <c r="L120" i="6"/>
  <c r="R117" i="6"/>
  <c r="R118" i="6"/>
  <c r="R120" i="6"/>
  <c r="R119" i="6"/>
  <c r="AI118" i="6"/>
  <c r="AI119" i="6"/>
  <c r="AI117" i="6"/>
  <c r="AI120" i="6"/>
  <c r="AA119" i="6"/>
  <c r="AA120" i="6"/>
  <c r="AA117" i="6"/>
  <c r="AA118" i="6"/>
  <c r="N117" i="6"/>
  <c r="N118" i="6"/>
  <c r="N120" i="6"/>
  <c r="N119" i="6"/>
  <c r="J119" i="6"/>
  <c r="J117" i="6"/>
  <c r="J120" i="6"/>
  <c r="J118" i="6"/>
  <c r="AC120" i="6"/>
  <c r="AC117" i="6"/>
  <c r="AC118" i="6"/>
  <c r="AC119" i="6"/>
  <c r="P110" i="6"/>
  <c r="P109" i="6"/>
  <c r="P108" i="6"/>
  <c r="P111" i="6"/>
  <c r="O108" i="6"/>
  <c r="O110" i="6"/>
  <c r="O109" i="6"/>
  <c r="O111" i="6"/>
  <c r="I118" i="6"/>
  <c r="I117" i="6"/>
  <c r="I119" i="6"/>
  <c r="I120" i="6"/>
  <c r="H120" i="6"/>
  <c r="H118" i="6"/>
  <c r="H119" i="6"/>
  <c r="H117" i="6"/>
  <c r="G34" i="6"/>
  <c r="AJ35" i="6"/>
  <c r="AC109" i="6"/>
  <c r="AC110" i="6"/>
  <c r="AC111" i="6"/>
  <c r="AC108" i="6"/>
  <c r="AH119" i="6"/>
  <c r="AH117" i="6"/>
  <c r="AH120" i="6"/>
  <c r="AH118" i="6"/>
  <c r="W110" i="6"/>
  <c r="W109" i="6"/>
  <c r="W108" i="6"/>
  <c r="W111" i="6"/>
  <c r="AH109" i="6"/>
  <c r="AH108" i="6"/>
  <c r="AH111" i="6"/>
  <c r="AH110" i="6"/>
  <c r="N108" i="6"/>
  <c r="N109" i="6"/>
  <c r="N110" i="6"/>
  <c r="N111" i="6"/>
  <c r="O118" i="6"/>
  <c r="O120" i="6"/>
  <c r="O119" i="6"/>
  <c r="O117" i="6"/>
  <c r="I110" i="6"/>
  <c r="I109" i="6"/>
  <c r="I111" i="6"/>
  <c r="I108" i="6"/>
  <c r="AB111" i="6"/>
  <c r="AB109" i="6"/>
  <c r="AB110" i="6"/>
  <c r="AB108" i="6"/>
  <c r="R110" i="6"/>
  <c r="R111" i="6"/>
  <c r="R109" i="6"/>
  <c r="R108" i="6"/>
  <c r="V120" i="6"/>
  <c r="V117" i="6"/>
  <c r="V118" i="6"/>
  <c r="V119" i="6"/>
  <c r="Z108" i="6"/>
  <c r="Z111" i="6"/>
  <c r="Z109" i="6"/>
  <c r="Z110" i="6"/>
  <c r="AH173" i="1"/>
  <c r="AH172" i="1"/>
  <c r="AH171" i="1"/>
  <c r="AH170" i="1"/>
  <c r="AH168" i="1"/>
  <c r="AH167" i="1"/>
  <c r="AH166" i="1"/>
  <c r="AH165" i="1"/>
  <c r="AH164" i="1"/>
  <c r="AH163" i="1"/>
  <c r="AH162" i="1"/>
  <c r="AH146" i="1"/>
  <c r="AH145" i="1"/>
  <c r="AH131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D92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D91" i="1"/>
  <c r="AH126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D88" i="1"/>
  <c r="AG87" i="1"/>
  <c r="AF87" i="1"/>
  <c r="AE87" i="1"/>
  <c r="AD87" i="1"/>
  <c r="AC87" i="1"/>
  <c r="AB87" i="1"/>
  <c r="AA87" i="1"/>
  <c r="Z87" i="1"/>
  <c r="Y87" i="1"/>
  <c r="X87" i="1"/>
  <c r="V87" i="1"/>
  <c r="U87" i="1"/>
  <c r="T87" i="1"/>
  <c r="S87" i="1"/>
  <c r="R87" i="1"/>
  <c r="Q87" i="1"/>
  <c r="P87" i="1"/>
  <c r="O87" i="1"/>
  <c r="N87" i="1"/>
  <c r="D87" i="1"/>
  <c r="AG86" i="1"/>
  <c r="AF86" i="1"/>
  <c r="AE86" i="1"/>
  <c r="AD86" i="1"/>
  <c r="AC86" i="1"/>
  <c r="AB86" i="1"/>
  <c r="AA86" i="1"/>
  <c r="Z86" i="1"/>
  <c r="Y86" i="1"/>
  <c r="W86" i="1"/>
  <c r="V86" i="1"/>
  <c r="U86" i="1"/>
  <c r="T86" i="1"/>
  <c r="S86" i="1"/>
  <c r="R86" i="1"/>
  <c r="Q86" i="1"/>
  <c r="P86" i="1"/>
  <c r="O86" i="1"/>
  <c r="N86" i="1"/>
  <c r="D86" i="1"/>
  <c r="AH111" i="1"/>
  <c r="AH109" i="1"/>
  <c r="AG94" i="1"/>
  <c r="AF94" i="1"/>
  <c r="AE94" i="1"/>
  <c r="AD94" i="1"/>
  <c r="AC94" i="1"/>
  <c r="AB94" i="1"/>
  <c r="AA94" i="1"/>
  <c r="Z94" i="1"/>
  <c r="Y94" i="1"/>
  <c r="X94" i="1"/>
  <c r="V94" i="1"/>
  <c r="U94" i="1"/>
  <c r="T94" i="1"/>
  <c r="S94" i="1"/>
  <c r="R94" i="1"/>
  <c r="Q94" i="1"/>
  <c r="P94" i="1"/>
  <c r="O94" i="1"/>
  <c r="N94" i="1"/>
  <c r="AH105" i="1"/>
  <c r="AH104" i="1"/>
  <c r="AG90" i="1"/>
  <c r="AF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AH101" i="1"/>
  <c r="AH100" i="1"/>
  <c r="AH99" i="1"/>
  <c r="AH98" i="1"/>
  <c r="AG96" i="1"/>
  <c r="AF96" i="1"/>
  <c r="AE96" i="1"/>
  <c r="AD96" i="1"/>
  <c r="AC96" i="1"/>
  <c r="AB96" i="1"/>
  <c r="AA96" i="1"/>
  <c r="Z96" i="1"/>
  <c r="Y96" i="1"/>
  <c r="X96" i="1"/>
  <c r="V96" i="1"/>
  <c r="U96" i="1"/>
  <c r="T96" i="1"/>
  <c r="S96" i="1"/>
  <c r="R96" i="1"/>
  <c r="Q96" i="1"/>
  <c r="P96" i="1"/>
  <c r="O96" i="1"/>
  <c r="N96" i="1"/>
  <c r="D96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D85" i="1"/>
  <c r="AH80" i="1"/>
  <c r="AH79" i="1"/>
  <c r="AH78" i="1"/>
  <c r="AH76" i="1"/>
  <c r="AH75" i="1"/>
  <c r="AH74" i="1"/>
  <c r="AH73" i="1"/>
  <c r="AH72" i="1"/>
  <c r="AH71" i="1"/>
  <c r="AH70" i="1"/>
  <c r="AH69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N65" i="1" s="1"/>
  <c r="M36" i="1"/>
  <c r="L36" i="1"/>
  <c r="K36" i="1"/>
  <c r="K65" i="1" s="1"/>
  <c r="J36" i="1"/>
  <c r="J65" i="1" s="1"/>
  <c r="I36" i="1"/>
  <c r="H36" i="1"/>
  <c r="G36" i="1"/>
  <c r="F36" i="1"/>
  <c r="E36" i="1"/>
  <c r="D36" i="1"/>
  <c r="AG35" i="1"/>
  <c r="AF35" i="1"/>
  <c r="AE35" i="1"/>
  <c r="AD35" i="1"/>
  <c r="AC35" i="1"/>
  <c r="AC64" i="1" s="1"/>
  <c r="AB35" i="1"/>
  <c r="AA35" i="1"/>
  <c r="AA64" i="1" s="1"/>
  <c r="Z35" i="1"/>
  <c r="Y35" i="1"/>
  <c r="Y64" i="1" s="1"/>
  <c r="X35" i="1"/>
  <c r="X64" i="1" s="1"/>
  <c r="W35" i="1"/>
  <c r="V35" i="1"/>
  <c r="U35" i="1"/>
  <c r="T35" i="1"/>
  <c r="S35" i="1"/>
  <c r="R35" i="1"/>
  <c r="Q35" i="1"/>
  <c r="P35" i="1"/>
  <c r="O35" i="1"/>
  <c r="O64" i="1" s="1"/>
  <c r="N35" i="1"/>
  <c r="M35" i="1"/>
  <c r="L35" i="1"/>
  <c r="L64" i="1" s="1"/>
  <c r="K35" i="1"/>
  <c r="J35" i="1"/>
  <c r="I35" i="1"/>
  <c r="H35" i="1"/>
  <c r="H64" i="1" s="1"/>
  <c r="G35" i="1"/>
  <c r="F35" i="1"/>
  <c r="E35" i="1"/>
  <c r="E64" i="1" s="1"/>
  <c r="D35" i="1"/>
  <c r="AG34" i="1"/>
  <c r="AF34" i="1"/>
  <c r="AE34" i="1"/>
  <c r="AD34" i="1"/>
  <c r="AD63" i="1" s="1"/>
  <c r="AC34" i="1"/>
  <c r="AB34" i="1"/>
  <c r="AB63" i="1" s="1"/>
  <c r="AA34" i="1"/>
  <c r="Z34" i="1"/>
  <c r="Z63" i="1" s="1"/>
  <c r="Y34" i="1"/>
  <c r="Y63" i="1" s="1"/>
  <c r="X34" i="1"/>
  <c r="W34" i="1"/>
  <c r="V34" i="1"/>
  <c r="U34" i="1"/>
  <c r="T34" i="1"/>
  <c r="S34" i="1"/>
  <c r="R34" i="1"/>
  <c r="R63" i="1" s="1"/>
  <c r="Q34" i="1"/>
  <c r="P34" i="1"/>
  <c r="P63" i="1" s="1"/>
  <c r="O34" i="1"/>
  <c r="N34" i="1"/>
  <c r="M34" i="1"/>
  <c r="L34" i="1"/>
  <c r="K34" i="1"/>
  <c r="J34" i="1"/>
  <c r="I34" i="1"/>
  <c r="H34" i="1"/>
  <c r="H63" i="1" s="1"/>
  <c r="G34" i="1"/>
  <c r="G63" i="1" s="1"/>
  <c r="F34" i="1"/>
  <c r="E34" i="1"/>
  <c r="D34" i="1"/>
  <c r="AG33" i="1"/>
  <c r="AF33" i="1"/>
  <c r="AE33" i="1"/>
  <c r="AE62" i="1" s="1"/>
  <c r="AD33" i="1"/>
  <c r="AC33" i="1"/>
  <c r="AC62" i="1" s="1"/>
  <c r="AB33" i="1"/>
  <c r="AA33" i="1"/>
  <c r="Z33" i="1"/>
  <c r="Y33" i="1"/>
  <c r="X33" i="1"/>
  <c r="W33" i="1"/>
  <c r="V33" i="1"/>
  <c r="U33" i="1"/>
  <c r="T33" i="1"/>
  <c r="S33" i="1"/>
  <c r="S62" i="1" s="1"/>
  <c r="R33" i="1"/>
  <c r="Q33" i="1"/>
  <c r="Q62" i="1" s="1"/>
  <c r="P33" i="1"/>
  <c r="O33" i="1"/>
  <c r="N33" i="1"/>
  <c r="N62" i="1" s="1"/>
  <c r="M33" i="1"/>
  <c r="M62" i="1" s="1"/>
  <c r="L33" i="1"/>
  <c r="K33" i="1"/>
  <c r="J33" i="1"/>
  <c r="I33" i="1"/>
  <c r="I62" i="1" s="1"/>
  <c r="H33" i="1"/>
  <c r="G33" i="1"/>
  <c r="F33" i="1"/>
  <c r="F62" i="1" s="1"/>
  <c r="E33" i="1"/>
  <c r="D33" i="1"/>
  <c r="AG32" i="1"/>
  <c r="AF32" i="1"/>
  <c r="AF61" i="1" s="1"/>
  <c r="AE32" i="1"/>
  <c r="AD32" i="1"/>
  <c r="AD61" i="1" s="1"/>
  <c r="AC32" i="1"/>
  <c r="AB32" i="1"/>
  <c r="AB61" i="1" s="1"/>
  <c r="AA32" i="1"/>
  <c r="AA61" i="1" s="1"/>
  <c r="Z32" i="1"/>
  <c r="Y32" i="1"/>
  <c r="X32" i="1"/>
  <c r="W32" i="1"/>
  <c r="V32" i="1"/>
  <c r="U32" i="1"/>
  <c r="T32" i="1"/>
  <c r="S32" i="1"/>
  <c r="R32" i="1"/>
  <c r="R61" i="1" s="1"/>
  <c r="Q32" i="1"/>
  <c r="P32" i="1"/>
  <c r="O32" i="1"/>
  <c r="O61" i="1" s="1"/>
  <c r="N32" i="1"/>
  <c r="M32" i="1"/>
  <c r="L32" i="1"/>
  <c r="K32" i="1"/>
  <c r="J32" i="1"/>
  <c r="I32" i="1"/>
  <c r="I61" i="1" s="1"/>
  <c r="H32" i="1"/>
  <c r="H61" i="1" s="1"/>
  <c r="G32" i="1"/>
  <c r="F32" i="1"/>
  <c r="E32" i="1"/>
  <c r="D32" i="1"/>
  <c r="AG31" i="1"/>
  <c r="AG60" i="1" s="1"/>
  <c r="AF31" i="1"/>
  <c r="AE31" i="1"/>
  <c r="AE60" i="1" s="1"/>
  <c r="AD31" i="1"/>
  <c r="AC31" i="1"/>
  <c r="AC60" i="1" s="1"/>
  <c r="AB31" i="1"/>
  <c r="AB60" i="1" s="1"/>
  <c r="AA31" i="1"/>
  <c r="Z31" i="1"/>
  <c r="Y31" i="1"/>
  <c r="X31" i="1"/>
  <c r="W31" i="1"/>
  <c r="V31" i="1"/>
  <c r="U31" i="1"/>
  <c r="U60" i="1" s="1"/>
  <c r="T31" i="1"/>
  <c r="S31" i="1"/>
  <c r="S60" i="1" s="1"/>
  <c r="R31" i="1"/>
  <c r="Q31" i="1"/>
  <c r="P31" i="1"/>
  <c r="O31" i="1"/>
  <c r="N31" i="1"/>
  <c r="M31" i="1"/>
  <c r="L31" i="1"/>
  <c r="K31" i="1"/>
  <c r="J31" i="1"/>
  <c r="J60" i="1" s="1"/>
  <c r="I31" i="1"/>
  <c r="H31" i="1"/>
  <c r="G31" i="1"/>
  <c r="G60" i="1" s="1"/>
  <c r="F31" i="1"/>
  <c r="E31" i="1"/>
  <c r="D31" i="1"/>
  <c r="AG30" i="1"/>
  <c r="AF30" i="1"/>
  <c r="AF59" i="1" s="1"/>
  <c r="AE30" i="1"/>
  <c r="AD30" i="1"/>
  <c r="AC30" i="1"/>
  <c r="AB30" i="1"/>
  <c r="AA30" i="1"/>
  <c r="AA59" i="1" s="1"/>
  <c r="Z30" i="1"/>
  <c r="Y30" i="1"/>
  <c r="X30" i="1"/>
  <c r="W30" i="1"/>
  <c r="W59" i="1" s="1"/>
  <c r="V30" i="1"/>
  <c r="U30" i="1"/>
  <c r="U59" i="1" s="1"/>
  <c r="T30" i="1"/>
  <c r="S30" i="1"/>
  <c r="R30" i="1"/>
  <c r="R59" i="1" s="1"/>
  <c r="Q30" i="1"/>
  <c r="Q59" i="1" s="1"/>
  <c r="P30" i="1"/>
  <c r="O30" i="1"/>
  <c r="N30" i="1"/>
  <c r="M30" i="1"/>
  <c r="L30" i="1"/>
  <c r="K30" i="1"/>
  <c r="K59" i="1" s="1"/>
  <c r="J30" i="1"/>
  <c r="J59" i="1" s="1"/>
  <c r="I30" i="1"/>
  <c r="I59" i="1" s="1"/>
  <c r="H30" i="1"/>
  <c r="G30" i="1"/>
  <c r="F30" i="1"/>
  <c r="E30" i="1"/>
  <c r="D30" i="1"/>
  <c r="AG29" i="1"/>
  <c r="AG58" i="1" s="1"/>
  <c r="AF29" i="1"/>
  <c r="AE29" i="1"/>
  <c r="AE58" i="1" s="1"/>
  <c r="AD29" i="1"/>
  <c r="AC29" i="1"/>
  <c r="AB29" i="1"/>
  <c r="AA29" i="1"/>
  <c r="Z29" i="1"/>
  <c r="Y29" i="1"/>
  <c r="X29" i="1"/>
  <c r="W29" i="1"/>
  <c r="W58" i="1" s="1"/>
  <c r="V29" i="1"/>
  <c r="U29" i="1"/>
  <c r="U58" i="1" s="1"/>
  <c r="T29" i="1"/>
  <c r="S29" i="1"/>
  <c r="S58" i="1" s="1"/>
  <c r="R29" i="1"/>
  <c r="R58" i="1" s="1"/>
  <c r="Q29" i="1"/>
  <c r="Q58" i="1" s="1"/>
  <c r="P29" i="1"/>
  <c r="P58" i="1" s="1"/>
  <c r="O29" i="1"/>
  <c r="N29" i="1"/>
  <c r="M29" i="1"/>
  <c r="L29" i="1"/>
  <c r="K29" i="1"/>
  <c r="J29" i="1"/>
  <c r="I29" i="1"/>
  <c r="H29" i="1"/>
  <c r="G29" i="1"/>
  <c r="F29" i="1"/>
  <c r="E29" i="1"/>
  <c r="E58" i="1" s="1"/>
  <c r="D29" i="1"/>
  <c r="AG28" i="1"/>
  <c r="AF28" i="1"/>
  <c r="AE28" i="1"/>
  <c r="AE57" i="1" s="1"/>
  <c r="AD28" i="1"/>
  <c r="AC28" i="1"/>
  <c r="AC57" i="1" s="1"/>
  <c r="AB28" i="1"/>
  <c r="AA28" i="1"/>
  <c r="Z28" i="1"/>
  <c r="Y28" i="1"/>
  <c r="Y57" i="1" s="1"/>
  <c r="X28" i="1"/>
  <c r="X57" i="1" s="1"/>
  <c r="W28" i="1"/>
  <c r="V28" i="1"/>
  <c r="V57" i="1" s="1"/>
  <c r="U28" i="1"/>
  <c r="T28" i="1"/>
  <c r="S28" i="1"/>
  <c r="R28" i="1"/>
  <c r="Q28" i="1"/>
  <c r="P28" i="1"/>
  <c r="O28" i="1"/>
  <c r="N28" i="1"/>
  <c r="M28" i="1"/>
  <c r="L28" i="1"/>
  <c r="L57" i="1" s="1"/>
  <c r="K28" i="1"/>
  <c r="J28" i="1"/>
  <c r="J57" i="1" s="1"/>
  <c r="I28" i="1"/>
  <c r="H28" i="1"/>
  <c r="G28" i="1"/>
  <c r="F28" i="1"/>
  <c r="E28" i="1"/>
  <c r="D28" i="1"/>
  <c r="AG27" i="1"/>
  <c r="AF27" i="1"/>
  <c r="AE27" i="1"/>
  <c r="AD27" i="1"/>
  <c r="AC27" i="1"/>
  <c r="AC56" i="1" s="1"/>
  <c r="AB27" i="1"/>
  <c r="AA27" i="1"/>
  <c r="Z27" i="1"/>
  <c r="Y27" i="1"/>
  <c r="X27" i="1"/>
  <c r="W27" i="1"/>
  <c r="W56" i="1" s="1"/>
  <c r="V27" i="1"/>
  <c r="U27" i="1"/>
  <c r="T27" i="1"/>
  <c r="T56" i="1" s="1"/>
  <c r="S27" i="1"/>
  <c r="R27" i="1"/>
  <c r="Q27" i="1"/>
  <c r="P27" i="1"/>
  <c r="O27" i="1"/>
  <c r="N27" i="1"/>
  <c r="M27" i="1"/>
  <c r="L27" i="1"/>
  <c r="K27" i="1"/>
  <c r="K56" i="1" s="1"/>
  <c r="J27" i="1"/>
  <c r="I27" i="1"/>
  <c r="H27" i="1"/>
  <c r="G27" i="1"/>
  <c r="F27" i="1"/>
  <c r="E27" i="1"/>
  <c r="D27" i="1"/>
  <c r="AG26" i="1"/>
  <c r="AF26" i="1"/>
  <c r="AE26" i="1"/>
  <c r="AD26" i="1"/>
  <c r="AC26" i="1"/>
  <c r="AB26" i="1"/>
  <c r="AA26" i="1"/>
  <c r="Z26" i="1"/>
  <c r="Y26" i="1"/>
  <c r="X26" i="1"/>
  <c r="W26" i="1"/>
  <c r="V26" i="1"/>
  <c r="V55" i="1" s="1"/>
  <c r="U26" i="1"/>
  <c r="U55" i="1" s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E55" i="1" s="1"/>
  <c r="D26" i="1"/>
  <c r="AG25" i="1"/>
  <c r="AF25" i="1"/>
  <c r="AE25" i="1"/>
  <c r="AD25" i="1"/>
  <c r="AC25" i="1"/>
  <c r="AB25" i="1"/>
  <c r="AA25" i="1"/>
  <c r="Z25" i="1"/>
  <c r="Y25" i="1"/>
  <c r="Y54" i="1" s="1"/>
  <c r="X25" i="1"/>
  <c r="W25" i="1"/>
  <c r="V25" i="1"/>
  <c r="V54" i="1" s="1"/>
  <c r="U25" i="1"/>
  <c r="T25" i="1"/>
  <c r="S25" i="1"/>
  <c r="R25" i="1"/>
  <c r="R54" i="1" s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54" i="1" s="1"/>
  <c r="AB187" i="1"/>
  <c r="AB215" i="1" s="1"/>
  <c r="Y187" i="1"/>
  <c r="Y215" i="1" s="1"/>
  <c r="P187" i="1"/>
  <c r="P215" i="1" s="1"/>
  <c r="M187" i="1"/>
  <c r="M215" i="1" s="1"/>
  <c r="G22" i="1"/>
  <c r="G51" i="1" s="1"/>
  <c r="F22" i="1"/>
  <c r="E22" i="1"/>
  <c r="D22" i="1"/>
  <c r="AG21" i="1"/>
  <c r="AF21" i="1"/>
  <c r="AF50" i="1" s="1"/>
  <c r="AE21" i="1"/>
  <c r="AE50" i="1" s="1"/>
  <c r="AD21" i="1"/>
  <c r="AC21" i="1"/>
  <c r="AB21" i="1"/>
  <c r="AA21" i="1"/>
  <c r="Z21" i="1"/>
  <c r="Z50" i="1" s="1"/>
  <c r="Y21" i="1"/>
  <c r="X21" i="1"/>
  <c r="W21" i="1"/>
  <c r="V21" i="1"/>
  <c r="U21" i="1"/>
  <c r="T21" i="1"/>
  <c r="S21" i="1"/>
  <c r="R21" i="1"/>
  <c r="Q21" i="1"/>
  <c r="Q50" i="1" s="1"/>
  <c r="P21" i="1"/>
  <c r="O21" i="1"/>
  <c r="O50" i="1" s="1"/>
  <c r="N21" i="1"/>
  <c r="N50" i="1" s="1"/>
  <c r="M21" i="1"/>
  <c r="M50" i="1" s="1"/>
  <c r="L21" i="1"/>
  <c r="K21" i="1"/>
  <c r="J21" i="1"/>
  <c r="I21" i="1"/>
  <c r="H21" i="1"/>
  <c r="G21" i="1"/>
  <c r="F21" i="1"/>
  <c r="E21" i="1"/>
  <c r="D21" i="1"/>
  <c r="AG20" i="1"/>
  <c r="AF20" i="1"/>
  <c r="AF49" i="1" s="1"/>
  <c r="AE20" i="1"/>
  <c r="AD20" i="1"/>
  <c r="AD49" i="1" s="1"/>
  <c r="AC20" i="1"/>
  <c r="AB20" i="1"/>
  <c r="AA20" i="1"/>
  <c r="AA49" i="1" s="1"/>
  <c r="Z20" i="1"/>
  <c r="Y20" i="1"/>
  <c r="X20" i="1"/>
  <c r="W20" i="1"/>
  <c r="V20" i="1"/>
  <c r="U20" i="1"/>
  <c r="T20" i="1"/>
  <c r="S20" i="1"/>
  <c r="R20" i="1"/>
  <c r="R49" i="1" s="1"/>
  <c r="Q20" i="1"/>
  <c r="Q49" i="1" s="1"/>
  <c r="P20" i="1"/>
  <c r="P49" i="1" s="1"/>
  <c r="O20" i="1"/>
  <c r="O49" i="1" s="1"/>
  <c r="N20" i="1"/>
  <c r="M20" i="1"/>
  <c r="L20" i="1"/>
  <c r="K20" i="1"/>
  <c r="J20" i="1"/>
  <c r="I20" i="1"/>
  <c r="H20" i="1"/>
  <c r="H49" i="1" s="1"/>
  <c r="G20" i="1"/>
  <c r="G49" i="1" s="1"/>
  <c r="F20" i="1"/>
  <c r="E20" i="1"/>
  <c r="D20" i="1"/>
  <c r="AG19" i="1"/>
  <c r="AF19" i="1"/>
  <c r="AE19" i="1"/>
  <c r="AD19" i="1"/>
  <c r="AC19" i="1"/>
  <c r="AC48" i="1" s="1"/>
  <c r="AB19" i="1"/>
  <c r="AA19" i="1"/>
  <c r="Z19" i="1"/>
  <c r="Y19" i="1"/>
  <c r="X19" i="1"/>
  <c r="W19" i="1"/>
  <c r="W48" i="1" s="1"/>
  <c r="V19" i="1"/>
  <c r="U19" i="1"/>
  <c r="T19" i="1"/>
  <c r="S19" i="1"/>
  <c r="R19" i="1"/>
  <c r="Q19" i="1"/>
  <c r="P19" i="1"/>
  <c r="P48" i="1" s="1"/>
  <c r="O19" i="1"/>
  <c r="N19" i="1"/>
  <c r="M19" i="1"/>
  <c r="L19" i="1"/>
  <c r="K19" i="1"/>
  <c r="J19" i="1"/>
  <c r="I19" i="1"/>
  <c r="H19" i="1"/>
  <c r="H48" i="1" s="1"/>
  <c r="G19" i="1"/>
  <c r="G48" i="1" s="1"/>
  <c r="F19" i="1"/>
  <c r="E19" i="1"/>
  <c r="D19" i="1"/>
  <c r="AG18" i="1"/>
  <c r="AF18" i="1"/>
  <c r="AE18" i="1"/>
  <c r="AD18" i="1"/>
  <c r="AD47" i="1" s="1"/>
  <c r="AC18" i="1"/>
  <c r="AC47" i="1" s="1"/>
  <c r="AB18" i="1"/>
  <c r="AA18" i="1"/>
  <c r="Z18" i="1"/>
  <c r="Y18" i="1"/>
  <c r="X18" i="1"/>
  <c r="X47" i="1" s="1"/>
  <c r="W18" i="1"/>
  <c r="V18" i="1"/>
  <c r="U18" i="1"/>
  <c r="T18" i="1"/>
  <c r="S18" i="1"/>
  <c r="R18" i="1"/>
  <c r="R47" i="1" s="1"/>
  <c r="Q18" i="1"/>
  <c r="P18" i="1"/>
  <c r="O18" i="1"/>
  <c r="N18" i="1"/>
  <c r="M18" i="1"/>
  <c r="L18" i="1"/>
  <c r="L47" i="1" s="1"/>
  <c r="K18" i="1"/>
  <c r="J18" i="1"/>
  <c r="J47" i="1" s="1"/>
  <c r="I18" i="1"/>
  <c r="H18" i="1"/>
  <c r="G18" i="1"/>
  <c r="F18" i="1"/>
  <c r="E18" i="1"/>
  <c r="D18" i="1"/>
  <c r="AG17" i="1"/>
  <c r="AF17" i="1"/>
  <c r="AE17" i="1"/>
  <c r="AE46" i="1" s="1"/>
  <c r="AD17" i="1"/>
  <c r="AD46" i="1" s="1"/>
  <c r="AC17" i="1"/>
  <c r="AB17" i="1"/>
  <c r="AA17" i="1"/>
  <c r="Z17" i="1"/>
  <c r="Y17" i="1"/>
  <c r="X17" i="1"/>
  <c r="W17" i="1"/>
  <c r="V17" i="1"/>
  <c r="U17" i="1"/>
  <c r="T17" i="1"/>
  <c r="S17" i="1"/>
  <c r="S46" i="1" s="1"/>
  <c r="R17" i="1"/>
  <c r="R46" i="1" s="1"/>
  <c r="Q17" i="1"/>
  <c r="P17" i="1"/>
  <c r="O17" i="1"/>
  <c r="N17" i="1"/>
  <c r="M17" i="1"/>
  <c r="M46" i="1" s="1"/>
  <c r="L17" i="1"/>
  <c r="K17" i="1"/>
  <c r="J17" i="1"/>
  <c r="I17" i="1"/>
  <c r="H17" i="1"/>
  <c r="G17" i="1"/>
  <c r="F17" i="1"/>
  <c r="E17" i="1"/>
  <c r="D17" i="1"/>
  <c r="AG16" i="1"/>
  <c r="AF16" i="1"/>
  <c r="AE16" i="1"/>
  <c r="AD16" i="1"/>
  <c r="AC16" i="1"/>
  <c r="AB16" i="1"/>
  <c r="AA16" i="1"/>
  <c r="Z16" i="1"/>
  <c r="Z45" i="1" s="1"/>
  <c r="Y16" i="1"/>
  <c r="X16" i="1"/>
  <c r="W16" i="1"/>
  <c r="V16" i="1"/>
  <c r="U16" i="1"/>
  <c r="T16" i="1"/>
  <c r="T45" i="1" s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G15" i="1"/>
  <c r="AG44" i="1" s="1"/>
  <c r="AF15" i="1"/>
  <c r="AF44" i="1" s="1"/>
  <c r="AE15" i="1"/>
  <c r="AD15" i="1"/>
  <c r="AC15" i="1"/>
  <c r="AB15" i="1"/>
  <c r="AA15" i="1"/>
  <c r="AA44" i="1" s="1"/>
  <c r="Z15" i="1"/>
  <c r="Y15" i="1"/>
  <c r="X15" i="1"/>
  <c r="W15" i="1"/>
  <c r="V15" i="1"/>
  <c r="U15" i="1"/>
  <c r="T15" i="1"/>
  <c r="T44" i="1" s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G14" i="1"/>
  <c r="AF14" i="1"/>
  <c r="AE14" i="1"/>
  <c r="AD14" i="1"/>
  <c r="AC14" i="1"/>
  <c r="AC43" i="1" s="1"/>
  <c r="AB14" i="1"/>
  <c r="AA14" i="1"/>
  <c r="Z14" i="1"/>
  <c r="Y14" i="1"/>
  <c r="X14" i="1"/>
  <c r="W14" i="1"/>
  <c r="V14" i="1"/>
  <c r="U14" i="1"/>
  <c r="T14" i="1"/>
  <c r="S14" i="1"/>
  <c r="R14" i="1"/>
  <c r="Q14" i="1"/>
  <c r="Q43" i="1" s="1"/>
  <c r="P14" i="1"/>
  <c r="P43" i="1" s="1"/>
  <c r="O14" i="1"/>
  <c r="N14" i="1"/>
  <c r="M14" i="1"/>
  <c r="L14" i="1"/>
  <c r="K14" i="1"/>
  <c r="J14" i="1"/>
  <c r="I14" i="1"/>
  <c r="H14" i="1"/>
  <c r="G14" i="1"/>
  <c r="G43" i="1" s="1"/>
  <c r="F14" i="1"/>
  <c r="F43" i="1" s="1"/>
  <c r="E14" i="1"/>
  <c r="D14" i="1"/>
  <c r="AG13" i="1"/>
  <c r="AF13" i="1"/>
  <c r="AE13" i="1"/>
  <c r="AD13" i="1"/>
  <c r="AC13" i="1"/>
  <c r="AB13" i="1"/>
  <c r="AA13" i="1"/>
  <c r="Z13" i="1"/>
  <c r="Z42" i="1" s="1"/>
  <c r="Y13" i="1"/>
  <c r="X13" i="1"/>
  <c r="W13" i="1"/>
  <c r="V13" i="1"/>
  <c r="U13" i="1"/>
  <c r="T13" i="1"/>
  <c r="S13" i="1"/>
  <c r="R13" i="1"/>
  <c r="Q13" i="1"/>
  <c r="P13" i="1"/>
  <c r="O13" i="1"/>
  <c r="N13" i="1"/>
  <c r="N42" i="1" s="1"/>
  <c r="M13" i="1"/>
  <c r="M42" i="1" s="1"/>
  <c r="L13" i="1"/>
  <c r="K13" i="1"/>
  <c r="J13" i="1"/>
  <c r="I13" i="1"/>
  <c r="H13" i="1"/>
  <c r="G13" i="1"/>
  <c r="F13" i="1"/>
  <c r="E13" i="1"/>
  <c r="E42" i="1" s="1"/>
  <c r="D13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U258" i="1" s="1"/>
  <c r="T11" i="1"/>
  <c r="T258" i="1" s="1"/>
  <c r="S11" i="1"/>
  <c r="S258" i="1" s="1"/>
  <c r="R11" i="1"/>
  <c r="R258" i="1" s="1"/>
  <c r="Q11" i="1"/>
  <c r="P11" i="1"/>
  <c r="P258" i="1" s="1"/>
  <c r="O11" i="1"/>
  <c r="N11" i="1"/>
  <c r="N258" i="1" s="1"/>
  <c r="M11" i="1"/>
  <c r="M258" i="1" s="1"/>
  <c r="L11" i="1"/>
  <c r="L258" i="1" s="1"/>
  <c r="K11" i="1"/>
  <c r="K258" i="1" s="1"/>
  <c r="J11" i="1"/>
  <c r="I11" i="1"/>
  <c r="I258" i="1" s="1"/>
  <c r="H11" i="1"/>
  <c r="H258" i="1" s="1"/>
  <c r="G11" i="1"/>
  <c r="F11" i="1"/>
  <c r="E11" i="1"/>
  <c r="E258" i="1" s="1"/>
  <c r="D11" i="1"/>
  <c r="D258" i="1" s="1"/>
  <c r="D296" i="1" s="1"/>
  <c r="S294" i="1" l="1"/>
  <c r="Q176" i="1"/>
  <c r="Q204" i="1" s="1"/>
  <c r="Q258" i="1"/>
  <c r="G176" i="1"/>
  <c r="G204" i="1" s="1"/>
  <c r="G258" i="1"/>
  <c r="AE176" i="1"/>
  <c r="AE204" i="1" s="1"/>
  <c r="F176" i="1"/>
  <c r="F204" i="1" s="1"/>
  <c r="F258" i="1"/>
  <c r="J176" i="1"/>
  <c r="J204" i="1" s="1"/>
  <c r="J258" i="1"/>
  <c r="V176" i="1"/>
  <c r="V204" i="1" s="1"/>
  <c r="V258" i="1"/>
  <c r="W176" i="1"/>
  <c r="O176" i="1"/>
  <c r="O204" i="1" s="1"/>
  <c r="O258" i="1"/>
  <c r="AB176" i="1"/>
  <c r="AB204" i="1" s="1"/>
  <c r="S112" i="6"/>
  <c r="S113" i="6" s="1"/>
  <c r="S114" i="6" s="1"/>
  <c r="T293" i="1"/>
  <c r="V254" i="1"/>
  <c r="V262" i="1"/>
  <c r="V261" i="1" s="1"/>
  <c r="W255" i="1"/>
  <c r="V282" i="1"/>
  <c r="V279" i="1"/>
  <c r="W252" i="1"/>
  <c r="W259" i="1" s="1"/>
  <c r="W258" i="1" s="1"/>
  <c r="V251" i="1"/>
  <c r="U281" i="1"/>
  <c r="U288" i="1"/>
  <c r="U287" i="1" s="1"/>
  <c r="U292" i="1" s="1"/>
  <c r="U278" i="1"/>
  <c r="U285" i="1"/>
  <c r="U284" i="1" s="1"/>
  <c r="U291" i="1" s="1"/>
  <c r="X121" i="6"/>
  <c r="X122" i="6" s="1"/>
  <c r="X123" i="6" s="1"/>
  <c r="X115" i="6" s="1"/>
  <c r="X12" i="10" s="1"/>
  <c r="X112" i="6"/>
  <c r="X113" i="6" s="1"/>
  <c r="X114" i="6" s="1"/>
  <c r="Q121" i="6"/>
  <c r="Q122" i="6" s="1"/>
  <c r="Q123" i="6" s="1"/>
  <c r="Q115" i="6" s="1"/>
  <c r="Q12" i="10" s="1"/>
  <c r="AG121" i="6"/>
  <c r="AG122" i="6" s="1"/>
  <c r="AG123" i="6" s="1"/>
  <c r="AG115" i="6" s="1"/>
  <c r="AG12" i="10" s="1"/>
  <c r="Y121" i="6"/>
  <c r="Y122" i="6" s="1"/>
  <c r="Y123" i="6" s="1"/>
  <c r="Y115" i="6" s="1"/>
  <c r="Y12" i="10" s="1"/>
  <c r="AE121" i="6"/>
  <c r="AE122" i="6" s="1"/>
  <c r="AE123" i="6" s="1"/>
  <c r="AE115" i="6" s="1"/>
  <c r="AE12" i="10" s="1"/>
  <c r="S121" i="6"/>
  <c r="S122" i="6" s="1"/>
  <c r="S123" i="6" s="1"/>
  <c r="S115" i="6" s="1"/>
  <c r="S12" i="10" s="1"/>
  <c r="U121" i="6"/>
  <c r="U122" i="6" s="1"/>
  <c r="U123" i="6" s="1"/>
  <c r="U115" i="6" s="1"/>
  <c r="U12" i="10" s="1"/>
  <c r="K121" i="6"/>
  <c r="K122" i="6" s="1"/>
  <c r="K123" i="6" s="1"/>
  <c r="K115" i="6" s="1"/>
  <c r="K12" i="10" s="1"/>
  <c r="Z121" i="6"/>
  <c r="Z122" i="6" s="1"/>
  <c r="Z123" i="6" s="1"/>
  <c r="Z115" i="6" s="1"/>
  <c r="Z12" i="10" s="1"/>
  <c r="L112" i="6"/>
  <c r="L113" i="6" s="1"/>
  <c r="J112" i="6"/>
  <c r="J113" i="6" s="1"/>
  <c r="J114" i="6" s="1"/>
  <c r="AD112" i="6"/>
  <c r="AD113" i="6" s="1"/>
  <c r="AD114" i="6" s="1"/>
  <c r="Q112" i="6"/>
  <c r="Q113" i="6" s="1"/>
  <c r="Q114" i="6" s="1"/>
  <c r="AE112" i="6"/>
  <c r="AE113" i="6" s="1"/>
  <c r="AE114" i="6" s="1"/>
  <c r="Z159" i="6"/>
  <c r="Z151" i="6" s="1"/>
  <c r="Z20" i="10" s="1"/>
  <c r="K112" i="6"/>
  <c r="K113" i="6" s="1"/>
  <c r="K114" i="6" s="1"/>
  <c r="AD121" i="6"/>
  <c r="AD122" i="6" s="1"/>
  <c r="AD123" i="6" s="1"/>
  <c r="AD115" i="6" s="1"/>
  <c r="AD12" i="10" s="1"/>
  <c r="W121" i="6"/>
  <c r="W122" i="6" s="1"/>
  <c r="W123" i="6" s="1"/>
  <c r="W115" i="6" s="1"/>
  <c r="W12" i="10" s="1"/>
  <c r="AF112" i="6"/>
  <c r="AF113" i="6" s="1"/>
  <c r="AF114" i="6" s="1"/>
  <c r="J121" i="6"/>
  <c r="J122" i="6" s="1"/>
  <c r="J123" i="6" s="1"/>
  <c r="J115" i="6" s="1"/>
  <c r="J12" i="10" s="1"/>
  <c r="M121" i="6"/>
  <c r="M122" i="6" s="1"/>
  <c r="M123" i="6" s="1"/>
  <c r="M115" i="6" s="1"/>
  <c r="M12" i="10" s="1"/>
  <c r="H112" i="6"/>
  <c r="H113" i="6" s="1"/>
  <c r="H114" i="6" s="1"/>
  <c r="G152" i="6"/>
  <c r="AJ62" i="6"/>
  <c r="AJ65" i="6"/>
  <c r="G161" i="6"/>
  <c r="AC121" i="6"/>
  <c r="AC122" i="6" s="1"/>
  <c r="AC123" i="6" s="1"/>
  <c r="AC115" i="6" s="1"/>
  <c r="AC12" i="10" s="1"/>
  <c r="AH112" i="6"/>
  <c r="AH113" i="6" s="1"/>
  <c r="AH114" i="6" s="1"/>
  <c r="M112" i="6"/>
  <c r="M113" i="6" s="1"/>
  <c r="M114" i="6" s="1"/>
  <c r="AB121" i="6"/>
  <c r="AB122" i="6" s="1"/>
  <c r="AB123" i="6" s="1"/>
  <c r="AB115" i="6" s="1"/>
  <c r="AB12" i="10" s="1"/>
  <c r="P158" i="6"/>
  <c r="P159" i="6" s="1"/>
  <c r="P151" i="6" s="1"/>
  <c r="P20" i="10" s="1"/>
  <c r="AC112" i="6"/>
  <c r="AC113" i="6" s="1"/>
  <c r="AC114" i="6" s="1"/>
  <c r="W112" i="6"/>
  <c r="W113" i="6" s="1"/>
  <c r="W114" i="6" s="1"/>
  <c r="AI121" i="6"/>
  <c r="AI122" i="6" s="1"/>
  <c r="AI123" i="6" s="1"/>
  <c r="AI115" i="6" s="1"/>
  <c r="AI12" i="10" s="1"/>
  <c r="P121" i="6"/>
  <c r="P122" i="6" s="1"/>
  <c r="P123" i="6" s="1"/>
  <c r="P115" i="6" s="1"/>
  <c r="P12" i="10" s="1"/>
  <c r="N112" i="6"/>
  <c r="N113" i="6" s="1"/>
  <c r="N114" i="6" s="1"/>
  <c r="AA112" i="6"/>
  <c r="AA113" i="6" s="1"/>
  <c r="AA114" i="6" s="1"/>
  <c r="V121" i="6"/>
  <c r="V122" i="6" s="1"/>
  <c r="V123" i="6" s="1"/>
  <c r="V115" i="6" s="1"/>
  <c r="V12" i="10" s="1"/>
  <c r="I112" i="6"/>
  <c r="I113" i="6" s="1"/>
  <c r="I114" i="6" s="1"/>
  <c r="AG112" i="6"/>
  <c r="AG113" i="6" s="1"/>
  <c r="AG114" i="6" s="1"/>
  <c r="AI112" i="6"/>
  <c r="AI113" i="6" s="1"/>
  <c r="AI114" i="6" s="1"/>
  <c r="Y112" i="6"/>
  <c r="Y113" i="6" s="1"/>
  <c r="Y114" i="6" s="1"/>
  <c r="N121" i="6"/>
  <c r="N122" i="6" s="1"/>
  <c r="N123" i="6" s="1"/>
  <c r="N115" i="6" s="1"/>
  <c r="N12" i="10" s="1"/>
  <c r="V112" i="6"/>
  <c r="V113" i="6" s="1"/>
  <c r="V114" i="6" s="1"/>
  <c r="R121" i="6"/>
  <c r="R122" i="6" s="1"/>
  <c r="R123" i="6" s="1"/>
  <c r="R115" i="6" s="1"/>
  <c r="R12" i="10" s="1"/>
  <c r="I121" i="6"/>
  <c r="I122" i="6" s="1"/>
  <c r="I123" i="6" s="1"/>
  <c r="U112" i="6"/>
  <c r="U113" i="6" s="1"/>
  <c r="U114" i="6" s="1"/>
  <c r="AA121" i="6"/>
  <c r="AA122" i="6" s="1"/>
  <c r="AA123" i="6" s="1"/>
  <c r="AA115" i="6" s="1"/>
  <c r="AA12" i="10" s="1"/>
  <c r="R112" i="6"/>
  <c r="R113" i="6" s="1"/>
  <c r="R114" i="6" s="1"/>
  <c r="L121" i="6"/>
  <c r="L122" i="6" s="1"/>
  <c r="L123" i="6" s="1"/>
  <c r="L115" i="6" s="1"/>
  <c r="L12" i="10" s="1"/>
  <c r="T121" i="6"/>
  <c r="T122" i="6" s="1"/>
  <c r="T123" i="6" s="1"/>
  <c r="T115" i="6" s="1"/>
  <c r="T12" i="10" s="1"/>
  <c r="O121" i="6"/>
  <c r="O122" i="6" s="1"/>
  <c r="O123" i="6" s="1"/>
  <c r="O115" i="6" s="1"/>
  <c r="O12" i="10" s="1"/>
  <c r="O112" i="6"/>
  <c r="O113" i="6" s="1"/>
  <c r="O114" i="6" s="1"/>
  <c r="AB112" i="6"/>
  <c r="AB113" i="6" s="1"/>
  <c r="AB114" i="6" s="1"/>
  <c r="H121" i="6"/>
  <c r="H122" i="6" s="1"/>
  <c r="H123" i="6" s="1"/>
  <c r="H115" i="6" s="1"/>
  <c r="H12" i="10" s="1"/>
  <c r="T112" i="6"/>
  <c r="T113" i="6" s="1"/>
  <c r="T114" i="6" s="1"/>
  <c r="AF121" i="6"/>
  <c r="AF122" i="6" s="1"/>
  <c r="AF123" i="6" s="1"/>
  <c r="AF115" i="6" s="1"/>
  <c r="AF12" i="10" s="1"/>
  <c r="AH121" i="6"/>
  <c r="AH122" i="6" s="1"/>
  <c r="AH123" i="6" s="1"/>
  <c r="AH115" i="6" s="1"/>
  <c r="AH12" i="10" s="1"/>
  <c r="P112" i="6"/>
  <c r="P113" i="6" s="1"/>
  <c r="P114" i="6" s="1"/>
  <c r="Z112" i="6"/>
  <c r="Z113" i="6" s="1"/>
  <c r="Z114" i="6" s="1"/>
  <c r="G116" i="6"/>
  <c r="AJ34" i="6"/>
  <c r="G108" i="6"/>
  <c r="AJ108" i="6" s="1"/>
  <c r="AJ107" i="6"/>
  <c r="G111" i="6"/>
  <c r="AJ111" i="6" s="1"/>
  <c r="G110" i="6"/>
  <c r="AJ110" i="6" s="1"/>
  <c r="G109" i="6"/>
  <c r="AJ109" i="6" s="1"/>
  <c r="D90" i="1"/>
  <c r="D195" i="1" s="1"/>
  <c r="D223" i="1" s="1"/>
  <c r="D94" i="1"/>
  <c r="D199" i="1" s="1"/>
  <c r="AG24" i="1"/>
  <c r="AG10" i="1"/>
  <c r="W24" i="1"/>
  <c r="P24" i="1"/>
  <c r="AF24" i="1"/>
  <c r="AB24" i="1"/>
  <c r="O24" i="1"/>
  <c r="U24" i="1"/>
  <c r="U10" i="1"/>
  <c r="G24" i="1"/>
  <c r="Y89" i="1"/>
  <c r="K24" i="1"/>
  <c r="S24" i="1"/>
  <c r="P95" i="1"/>
  <c r="V93" i="1"/>
  <c r="O95" i="1"/>
  <c r="AA95" i="1"/>
  <c r="U93" i="1"/>
  <c r="AG93" i="1"/>
  <c r="X95" i="1"/>
  <c r="D95" i="1"/>
  <c r="V89" i="1"/>
  <c r="D177" i="1"/>
  <c r="D205" i="1" s="1"/>
  <c r="W89" i="1"/>
  <c r="X89" i="1"/>
  <c r="R95" i="1"/>
  <c r="AD95" i="1"/>
  <c r="N93" i="1"/>
  <c r="Z93" i="1"/>
  <c r="O93" i="1"/>
  <c r="W95" i="1"/>
  <c r="Z95" i="1"/>
  <c r="AC10" i="1"/>
  <c r="S93" i="1"/>
  <c r="AE93" i="1"/>
  <c r="T93" i="1"/>
  <c r="AF93" i="1"/>
  <c r="Q95" i="1"/>
  <c r="AC95" i="1"/>
  <c r="V95" i="1"/>
  <c r="AB95" i="1"/>
  <c r="T95" i="1"/>
  <c r="AF95" i="1"/>
  <c r="AA10" i="1"/>
  <c r="P89" i="1"/>
  <c r="D185" i="1"/>
  <c r="D213" i="1" s="1"/>
  <c r="AB89" i="1"/>
  <c r="D89" i="1"/>
  <c r="S89" i="1"/>
  <c r="R184" i="1"/>
  <c r="R212" i="1" s="1"/>
  <c r="S95" i="1"/>
  <c r="Z10" i="1"/>
  <c r="G177" i="1"/>
  <c r="G205" i="1" s="1"/>
  <c r="AE95" i="1"/>
  <c r="R89" i="1"/>
  <c r="AE89" i="1"/>
  <c r="N95" i="1"/>
  <c r="H177" i="1"/>
  <c r="H205" i="1" s="1"/>
  <c r="S10" i="1"/>
  <c r="D24" i="1"/>
  <c r="AD89" i="1"/>
  <c r="E183" i="1"/>
  <c r="E211" i="1" s="1"/>
  <c r="Y24" i="1"/>
  <c r="O89" i="1"/>
  <c r="AA89" i="1"/>
  <c r="F10" i="1"/>
  <c r="F181" i="1"/>
  <c r="F209" i="1" s="1"/>
  <c r="F186" i="1"/>
  <c r="F214" i="1" s="1"/>
  <c r="R41" i="1"/>
  <c r="P10" i="1"/>
  <c r="E197" i="1"/>
  <c r="E225" i="1" s="1"/>
  <c r="AB40" i="1"/>
  <c r="U95" i="1"/>
  <c r="AG95" i="1"/>
  <c r="AE40" i="1"/>
  <c r="F45" i="1"/>
  <c r="K54" i="1"/>
  <c r="Y95" i="1"/>
  <c r="S45" i="1"/>
  <c r="X93" i="1"/>
  <c r="AA24" i="1"/>
  <c r="X41" i="1"/>
  <c r="M51" i="1"/>
  <c r="AE90" i="1"/>
  <c r="AH11" i="1"/>
  <c r="AH40" i="1" s="1"/>
  <c r="AH13" i="1"/>
  <c r="AH42" i="1" s="1"/>
  <c r="AH16" i="1"/>
  <c r="AH45" i="1" s="1"/>
  <c r="AH18" i="1"/>
  <c r="AH47" i="1" s="1"/>
  <c r="AE41" i="1"/>
  <c r="AE45" i="1"/>
  <c r="P51" i="1"/>
  <c r="W54" i="1"/>
  <c r="W10" i="1"/>
  <c r="D49" i="1"/>
  <c r="Y51" i="1"/>
  <c r="M10" i="1"/>
  <c r="N10" i="1"/>
  <c r="AB10" i="1"/>
  <c r="Q40" i="1"/>
  <c r="W40" i="1"/>
  <c r="AD42" i="1"/>
  <c r="N46" i="1"/>
  <c r="X48" i="1"/>
  <c r="W50" i="1"/>
  <c r="AE55" i="1"/>
  <c r="D10" i="1"/>
  <c r="J10" i="1"/>
  <c r="V10" i="1"/>
  <c r="U176" i="1"/>
  <c r="U40" i="1"/>
  <c r="AG176" i="1"/>
  <c r="AG40" i="1"/>
  <c r="I177" i="1"/>
  <c r="I205" i="1" s="1"/>
  <c r="I41" i="1"/>
  <c r="T41" i="1"/>
  <c r="AF41" i="1"/>
  <c r="S42" i="1"/>
  <c r="AE42" i="1"/>
  <c r="H43" i="1"/>
  <c r="R43" i="1"/>
  <c r="Q44" i="1"/>
  <c r="AC44" i="1"/>
  <c r="G45" i="1"/>
  <c r="P45" i="1"/>
  <c r="AB45" i="1"/>
  <c r="O46" i="1"/>
  <c r="AA46" i="1"/>
  <c r="F183" i="1"/>
  <c r="F211" i="1" s="1"/>
  <c r="F197" i="1"/>
  <c r="F225" i="1" s="1"/>
  <c r="F47" i="1"/>
  <c r="N47" i="1"/>
  <c r="Z47" i="1"/>
  <c r="M48" i="1"/>
  <c r="Y48" i="1"/>
  <c r="E185" i="1"/>
  <c r="E213" i="1" s="1"/>
  <c r="E49" i="1"/>
  <c r="L49" i="1"/>
  <c r="X49" i="1"/>
  <c r="E186" i="1"/>
  <c r="E214" i="1" s="1"/>
  <c r="E50" i="1"/>
  <c r="L50" i="1"/>
  <c r="X50" i="1"/>
  <c r="K187" i="1"/>
  <c r="K215" i="1" s="1"/>
  <c r="K51" i="1"/>
  <c r="W187" i="1"/>
  <c r="W215" i="1" s="1"/>
  <c r="W51" i="1"/>
  <c r="I54" i="1"/>
  <c r="AF54" i="1"/>
  <c r="I55" i="1"/>
  <c r="AF55" i="1"/>
  <c r="H60" i="1"/>
  <c r="R60" i="1"/>
  <c r="AD60" i="1"/>
  <c r="H62" i="1"/>
  <c r="R62" i="1"/>
  <c r="AD62" i="1"/>
  <c r="Q63" i="1"/>
  <c r="AC63" i="1"/>
  <c r="G64" i="1"/>
  <c r="P64" i="1"/>
  <c r="AB64" i="1"/>
  <c r="G65" i="1"/>
  <c r="P65" i="1"/>
  <c r="AB65" i="1"/>
  <c r="V40" i="1"/>
  <c r="Y41" i="1"/>
  <c r="P46" i="1"/>
  <c r="E61" i="1"/>
  <c r="Q46" i="1"/>
  <c r="T176" i="1"/>
  <c r="T40" i="1"/>
  <c r="P44" i="1"/>
  <c r="L48" i="1"/>
  <c r="V187" i="1"/>
  <c r="V215" i="1" s="1"/>
  <c r="V51" i="1"/>
  <c r="AE54" i="1"/>
  <c r="AF42" i="1"/>
  <c r="T58" i="1"/>
  <c r="J41" i="1"/>
  <c r="V177" i="1"/>
  <c r="V205" i="1" s="1"/>
  <c r="V41" i="1"/>
  <c r="AH12" i="1"/>
  <c r="AH41" i="1" s="1"/>
  <c r="U42" i="1"/>
  <c r="I43" i="1"/>
  <c r="T43" i="1"/>
  <c r="AF43" i="1"/>
  <c r="AE44" i="1"/>
  <c r="H45" i="1"/>
  <c r="R45" i="1"/>
  <c r="AD45" i="1"/>
  <c r="AC46" i="1"/>
  <c r="G47" i="1"/>
  <c r="P47" i="1"/>
  <c r="O48" i="1"/>
  <c r="AA48" i="1"/>
  <c r="F185" i="1"/>
  <c r="F213" i="1" s="1"/>
  <c r="N49" i="1"/>
  <c r="Z49" i="1"/>
  <c r="D192" i="1"/>
  <c r="D56" i="1"/>
  <c r="J56" i="1"/>
  <c r="V56" i="1"/>
  <c r="AH27" i="1"/>
  <c r="U57" i="1"/>
  <c r="AG57" i="1"/>
  <c r="I60" i="1"/>
  <c r="T60" i="1"/>
  <c r="AF60" i="1"/>
  <c r="U48" i="1"/>
  <c r="R93" i="1"/>
  <c r="AD93" i="1"/>
  <c r="J45" i="1"/>
  <c r="AF46" i="1"/>
  <c r="T54" i="1"/>
  <c r="AF176" i="1"/>
  <c r="AF40" i="1"/>
  <c r="H42" i="1"/>
  <c r="AB44" i="1"/>
  <c r="F182" i="1"/>
  <c r="F210" i="1" s="1"/>
  <c r="F46" i="1"/>
  <c r="F196" i="1"/>
  <c r="F224" i="1" s="1"/>
  <c r="Y47" i="1"/>
  <c r="K49" i="1"/>
  <c r="S55" i="1"/>
  <c r="AB46" i="1"/>
  <c r="N48" i="1"/>
  <c r="M49" i="1"/>
  <c r="Y49" i="1"/>
  <c r="E187" i="1"/>
  <c r="E215" i="1" s="1"/>
  <c r="E51" i="1"/>
  <c r="AG54" i="1"/>
  <c r="AE59" i="1"/>
  <c r="W204" i="1"/>
  <c r="Y10" i="1"/>
  <c r="E176" i="1"/>
  <c r="E40" i="1"/>
  <c r="X176" i="1"/>
  <c r="X40" i="1"/>
  <c r="W177" i="1"/>
  <c r="W205" i="1" s="1"/>
  <c r="W41" i="1"/>
  <c r="J42" i="1"/>
  <c r="K55" i="1"/>
  <c r="V58" i="1"/>
  <c r="M176" i="1"/>
  <c r="M40" i="1"/>
  <c r="Y176" i="1"/>
  <c r="Y40" i="1"/>
  <c r="E177" i="1"/>
  <c r="E205" i="1" s="1"/>
  <c r="E41" i="1"/>
  <c r="K42" i="1"/>
  <c r="W42" i="1"/>
  <c r="D179" i="1"/>
  <c r="D43" i="1"/>
  <c r="J43" i="1"/>
  <c r="V43" i="1"/>
  <c r="AH14" i="1"/>
  <c r="AH43" i="1" s="1"/>
  <c r="U44" i="1"/>
  <c r="G186" i="1"/>
  <c r="G214" i="1" s="1"/>
  <c r="G50" i="1"/>
  <c r="P50" i="1"/>
  <c r="AB50" i="1"/>
  <c r="O51" i="1"/>
  <c r="O187" i="1"/>
  <c r="O215" i="1" s="1"/>
  <c r="AA187" i="1"/>
  <c r="AA215" i="1" s="1"/>
  <c r="AA51" i="1"/>
  <c r="E54" i="1"/>
  <c r="E24" i="1"/>
  <c r="L54" i="1"/>
  <c r="L24" i="1"/>
  <c r="X54" i="1"/>
  <c r="X24" i="1"/>
  <c r="E56" i="1"/>
  <c r="L56" i="1"/>
  <c r="X56" i="1"/>
  <c r="W57" i="1"/>
  <c r="D62" i="1"/>
  <c r="J62" i="1"/>
  <c r="V62" i="1"/>
  <c r="AH33" i="1"/>
  <c r="U63" i="1"/>
  <c r="AG63" i="1"/>
  <c r="I64" i="1"/>
  <c r="T64" i="1"/>
  <c r="AF64" i="1"/>
  <c r="I65" i="1"/>
  <c r="T65" i="1"/>
  <c r="AF65" i="1"/>
  <c r="D41" i="1"/>
  <c r="AD43" i="1"/>
  <c r="K10" i="1"/>
  <c r="O47" i="1"/>
  <c r="Y50" i="1"/>
  <c r="U54" i="1"/>
  <c r="AE61" i="1"/>
  <c r="X10" i="1"/>
  <c r="I44" i="1"/>
  <c r="T24" i="1"/>
  <c r="W55" i="1"/>
  <c r="D58" i="1"/>
  <c r="J58" i="1"/>
  <c r="AH29" i="1"/>
  <c r="AG59" i="1"/>
  <c r="O10" i="1"/>
  <c r="N176" i="1"/>
  <c r="N40" i="1"/>
  <c r="Z176" i="1"/>
  <c r="Z40" i="1"/>
  <c r="M177" i="1"/>
  <c r="M205" i="1" s="1"/>
  <c r="M41" i="1"/>
  <c r="E178" i="1"/>
  <c r="E206" i="1" s="1"/>
  <c r="L42" i="1"/>
  <c r="X42" i="1"/>
  <c r="K43" i="1"/>
  <c r="W43" i="1"/>
  <c r="D180" i="1"/>
  <c r="D44" i="1"/>
  <c r="J44" i="1"/>
  <c r="V44" i="1"/>
  <c r="AH15" i="1"/>
  <c r="AH44" i="1" s="1"/>
  <c r="U45" i="1"/>
  <c r="AG45" i="1"/>
  <c r="I46" i="1"/>
  <c r="T46" i="1"/>
  <c r="S47" i="1"/>
  <c r="AE47" i="1"/>
  <c r="R48" i="1"/>
  <c r="AD48" i="1"/>
  <c r="AC49" i="1"/>
  <c r="V24" i="1"/>
  <c r="M55" i="1"/>
  <c r="Y55" i="1"/>
  <c r="M56" i="1"/>
  <c r="Y56" i="1"/>
  <c r="K61" i="1"/>
  <c r="W61" i="1"/>
  <c r="K62" i="1"/>
  <c r="W62" i="1"/>
  <c r="D63" i="1"/>
  <c r="J63" i="1"/>
  <c r="V63" i="1"/>
  <c r="AH34" i="1"/>
  <c r="U64" i="1"/>
  <c r="AG64" i="1"/>
  <c r="W45" i="1"/>
  <c r="O45" i="1"/>
  <c r="E184" i="1"/>
  <c r="E212" i="1" s="1"/>
  <c r="E48" i="1"/>
  <c r="D187" i="1"/>
  <c r="D51" i="1"/>
  <c r="U177" i="1"/>
  <c r="U205" i="1" s="1"/>
  <c r="U41" i="1"/>
  <c r="S43" i="1"/>
  <c r="Q45" i="1"/>
  <c r="F184" i="1"/>
  <c r="F212" i="1" s="1"/>
  <c r="F48" i="1"/>
  <c r="X187" i="1"/>
  <c r="X215" i="1" s="1"/>
  <c r="X51" i="1"/>
  <c r="V42" i="1"/>
  <c r="U43" i="1"/>
  <c r="G10" i="1"/>
  <c r="AA176" i="1"/>
  <c r="AA40" i="1"/>
  <c r="F177" i="1"/>
  <c r="F205" i="1" s="1"/>
  <c r="F41" i="1"/>
  <c r="N177" i="1"/>
  <c r="N205" i="1" s="1"/>
  <c r="N41" i="1"/>
  <c r="Z177" i="1"/>
  <c r="Z205" i="1" s="1"/>
  <c r="Z41" i="1"/>
  <c r="E179" i="1"/>
  <c r="E207" i="1" s="1"/>
  <c r="E43" i="1"/>
  <c r="U46" i="1"/>
  <c r="AG46" i="1"/>
  <c r="T47" i="1"/>
  <c r="AE48" i="1"/>
  <c r="F54" i="1"/>
  <c r="F24" i="1"/>
  <c r="N54" i="1"/>
  <c r="N24" i="1"/>
  <c r="N55" i="1"/>
  <c r="Z55" i="1"/>
  <c r="F56" i="1"/>
  <c r="N56" i="1"/>
  <c r="E60" i="1"/>
  <c r="E196" i="1"/>
  <c r="E224" i="1" s="1"/>
  <c r="L60" i="1"/>
  <c r="X60" i="1"/>
  <c r="L61" i="1"/>
  <c r="X61" i="1"/>
  <c r="F40" i="1"/>
  <c r="G41" i="1"/>
  <c r="X45" i="1"/>
  <c r="Z56" i="1"/>
  <c r="U89" i="1"/>
  <c r="AG89" i="1"/>
  <c r="W94" i="1"/>
  <c r="R42" i="1"/>
  <c r="J187" i="1"/>
  <c r="J215" i="1" s="1"/>
  <c r="J51" i="1"/>
  <c r="Q61" i="1"/>
  <c r="D176" i="1"/>
  <c r="D40" i="1"/>
  <c r="AD44" i="1"/>
  <c r="I58" i="1"/>
  <c r="L10" i="1"/>
  <c r="K176" i="1"/>
  <c r="K40" i="1"/>
  <c r="L176" i="1"/>
  <c r="L40" i="1"/>
  <c r="D178" i="1"/>
  <c r="D42" i="1"/>
  <c r="AG43" i="1"/>
  <c r="Y42" i="1"/>
  <c r="L43" i="1"/>
  <c r="X43" i="1"/>
  <c r="K44" i="1"/>
  <c r="W44" i="1"/>
  <c r="D181" i="1"/>
  <c r="D45" i="1"/>
  <c r="V45" i="1"/>
  <c r="I47" i="1"/>
  <c r="AF47" i="1"/>
  <c r="S48" i="1"/>
  <c r="H50" i="1"/>
  <c r="R50" i="1"/>
  <c r="AD50" i="1"/>
  <c r="Q187" i="1"/>
  <c r="Q215" i="1" s="1"/>
  <c r="Q51" i="1"/>
  <c r="AC187" i="1"/>
  <c r="AC215" i="1" s="1"/>
  <c r="AC51" i="1"/>
  <c r="Z24" i="1"/>
  <c r="Z54" i="1"/>
  <c r="Q10" i="1"/>
  <c r="P176" i="1"/>
  <c r="P40" i="1"/>
  <c r="O177" i="1"/>
  <c r="O205" i="1" s="1"/>
  <c r="O41" i="1"/>
  <c r="AA177" i="1"/>
  <c r="AA205" i="1" s="1"/>
  <c r="AA41" i="1"/>
  <c r="F42" i="1"/>
  <c r="M43" i="1"/>
  <c r="Y43" i="1"/>
  <c r="E180" i="1"/>
  <c r="E208" i="1" s="1"/>
  <c r="E44" i="1"/>
  <c r="L44" i="1"/>
  <c r="X44" i="1"/>
  <c r="K45" i="1"/>
  <c r="D182" i="1"/>
  <c r="D46" i="1"/>
  <c r="J46" i="1"/>
  <c r="V46" i="1"/>
  <c r="AH17" i="1"/>
  <c r="AH46" i="1" s="1"/>
  <c r="U47" i="1"/>
  <c r="AG47" i="1"/>
  <c r="I48" i="1"/>
  <c r="T48" i="1"/>
  <c r="AF48" i="1"/>
  <c r="S49" i="1"/>
  <c r="AE49" i="1"/>
  <c r="S50" i="1"/>
  <c r="H187" i="1"/>
  <c r="H215" i="1" s="1"/>
  <c r="H51" i="1"/>
  <c r="R187" i="1"/>
  <c r="R215" i="1" s="1"/>
  <c r="R51" i="1"/>
  <c r="AD187" i="1"/>
  <c r="AD215" i="1" s="1"/>
  <c r="AD51" i="1"/>
  <c r="I24" i="1"/>
  <c r="O54" i="1"/>
  <c r="AA54" i="1"/>
  <c r="O55" i="1"/>
  <c r="AA55" i="1"/>
  <c r="F58" i="1"/>
  <c r="N58" i="1"/>
  <c r="Z58" i="1"/>
  <c r="M59" i="1"/>
  <c r="Y59" i="1"/>
  <c r="M60" i="1"/>
  <c r="Y60" i="1"/>
  <c r="G40" i="1"/>
  <c r="T42" i="1"/>
  <c r="H44" i="1"/>
  <c r="F49" i="1"/>
  <c r="F55" i="1"/>
  <c r="K50" i="1"/>
  <c r="S54" i="1"/>
  <c r="S56" i="1"/>
  <c r="G46" i="1"/>
  <c r="Z184" i="1"/>
  <c r="Z212" i="1" s="1"/>
  <c r="Z48" i="1"/>
  <c r="AF58" i="1"/>
  <c r="N43" i="1"/>
  <c r="E181" i="1"/>
  <c r="E209" i="1" s="1"/>
  <c r="E45" i="1"/>
  <c r="S187" i="1"/>
  <c r="S215" i="1" s="1"/>
  <c r="S51" i="1"/>
  <c r="AE187" i="1"/>
  <c r="AE215" i="1" s="1"/>
  <c r="AE51" i="1"/>
  <c r="G54" i="1"/>
  <c r="P54" i="1"/>
  <c r="AB54" i="1"/>
  <c r="G56" i="1"/>
  <c r="P56" i="1"/>
  <c r="AB56" i="1"/>
  <c r="O57" i="1"/>
  <c r="AA57" i="1"/>
  <c r="O58" i="1"/>
  <c r="AA58" i="1"/>
  <c r="N59" i="1"/>
  <c r="Z59" i="1"/>
  <c r="K41" i="1"/>
  <c r="R44" i="1"/>
  <c r="Z46" i="1"/>
  <c r="W49" i="1"/>
  <c r="AE56" i="1"/>
  <c r="AC61" i="1"/>
  <c r="AG177" i="1"/>
  <c r="AG205" i="1" s="1"/>
  <c r="AG41" i="1"/>
  <c r="Q24" i="1"/>
  <c r="AB177" i="1"/>
  <c r="AB41" i="1"/>
  <c r="Z43" i="1"/>
  <c r="M44" i="1"/>
  <c r="Y44" i="1"/>
  <c r="L45" i="1"/>
  <c r="AG48" i="1"/>
  <c r="T49" i="1"/>
  <c r="I50" i="1"/>
  <c r="H176" i="1"/>
  <c r="H40" i="1"/>
  <c r="AD176" i="1"/>
  <c r="AD40" i="1"/>
  <c r="AC177" i="1"/>
  <c r="AC205" i="1" s="1"/>
  <c r="AC41" i="1"/>
  <c r="AB42" i="1"/>
  <c r="AA43" i="1"/>
  <c r="Z44" i="1"/>
  <c r="M45" i="1"/>
  <c r="L46" i="1"/>
  <c r="K47" i="1"/>
  <c r="J48" i="1"/>
  <c r="U49" i="1"/>
  <c r="J24" i="1"/>
  <c r="AC55" i="1"/>
  <c r="AB57" i="1"/>
  <c r="I176" i="1"/>
  <c r="I40" i="1"/>
  <c r="S177" i="1"/>
  <c r="S205" i="1" s="1"/>
  <c r="S41" i="1"/>
  <c r="G44" i="1"/>
  <c r="AA45" i="1"/>
  <c r="M47" i="1"/>
  <c r="AH22" i="1"/>
  <c r="AH51" i="1" s="1"/>
  <c r="I42" i="1"/>
  <c r="AE43" i="1"/>
  <c r="AC45" i="1"/>
  <c r="L187" i="1"/>
  <c r="L215" i="1" s="1"/>
  <c r="L51" i="1"/>
  <c r="S59" i="1"/>
  <c r="S61" i="1"/>
  <c r="E10" i="1"/>
  <c r="H10" i="1"/>
  <c r="R10" i="1"/>
  <c r="AD10" i="1"/>
  <c r="AC176" i="1"/>
  <c r="AC40" i="1"/>
  <c r="P177" i="1"/>
  <c r="P205" i="1" s="1"/>
  <c r="P41" i="1"/>
  <c r="O42" i="1"/>
  <c r="K46" i="1"/>
  <c r="W46" i="1"/>
  <c r="D183" i="1"/>
  <c r="D47" i="1"/>
  <c r="V47" i="1"/>
  <c r="I49" i="1"/>
  <c r="T50" i="1"/>
  <c r="AE10" i="1"/>
  <c r="R176" i="1"/>
  <c r="R40" i="1"/>
  <c r="Q177" i="1"/>
  <c r="Q205" i="1" s="1"/>
  <c r="Q41" i="1"/>
  <c r="G42" i="1"/>
  <c r="P42" i="1"/>
  <c r="O43" i="1"/>
  <c r="F44" i="1"/>
  <c r="N44" i="1"/>
  <c r="Y45" i="1"/>
  <c r="E182" i="1"/>
  <c r="E210" i="1" s="1"/>
  <c r="E46" i="1"/>
  <c r="X46" i="1"/>
  <c r="W47" i="1"/>
  <c r="D184" i="1"/>
  <c r="D48" i="1"/>
  <c r="V48" i="1"/>
  <c r="AH19" i="1"/>
  <c r="AH48" i="1" s="1"/>
  <c r="AG49" i="1"/>
  <c r="AC24" i="1"/>
  <c r="Q55" i="1"/>
  <c r="Q56" i="1"/>
  <c r="G57" i="1"/>
  <c r="P57" i="1"/>
  <c r="J40" i="1"/>
  <c r="L41" i="1"/>
  <c r="AA42" i="1"/>
  <c r="S44" i="1"/>
  <c r="AA47" i="1"/>
  <c r="T55" i="1"/>
  <c r="I10" i="1"/>
  <c r="T10" i="1"/>
  <c r="AF10" i="1"/>
  <c r="S176" i="1"/>
  <c r="S40" i="1"/>
  <c r="D186" i="1"/>
  <c r="D50" i="1"/>
  <c r="J50" i="1"/>
  <c r="V50" i="1"/>
  <c r="AH21" i="1"/>
  <c r="AH50" i="1" s="1"/>
  <c r="U187" i="1"/>
  <c r="U215" i="1" s="1"/>
  <c r="U51" i="1"/>
  <c r="AG187" i="1"/>
  <c r="AG215" i="1" s="1"/>
  <c r="AG51" i="1"/>
  <c r="M24" i="1"/>
  <c r="AE24" i="1"/>
  <c r="H54" i="1"/>
  <c r="H24" i="1"/>
  <c r="R24" i="1"/>
  <c r="AD54" i="1"/>
  <c r="AD24" i="1"/>
  <c r="H55" i="1"/>
  <c r="R55" i="1"/>
  <c r="AD55" i="1"/>
  <c r="G62" i="1"/>
  <c r="P62" i="1"/>
  <c r="AB62" i="1"/>
  <c r="O63" i="1"/>
  <c r="AA63" i="1"/>
  <c r="F64" i="1"/>
  <c r="N64" i="1"/>
  <c r="Z64" i="1"/>
  <c r="F201" i="1"/>
  <c r="F229" i="1" s="1"/>
  <c r="F65" i="1"/>
  <c r="Z65" i="1"/>
  <c r="O40" i="1"/>
  <c r="AG42" i="1"/>
  <c r="AB47" i="1"/>
  <c r="K57" i="1"/>
  <c r="F59" i="1"/>
  <c r="AH20" i="1"/>
  <c r="AH49" i="1" s="1"/>
  <c r="U50" i="1"/>
  <c r="AG50" i="1"/>
  <c r="I187" i="1"/>
  <c r="I215" i="1" s="1"/>
  <c r="I51" i="1"/>
  <c r="T187" i="1"/>
  <c r="T215" i="1" s="1"/>
  <c r="T51" i="1"/>
  <c r="AF187" i="1"/>
  <c r="AF215" i="1" s="1"/>
  <c r="AF51" i="1"/>
  <c r="Q54" i="1"/>
  <c r="AC54" i="1"/>
  <c r="G55" i="1"/>
  <c r="P55" i="1"/>
  <c r="AB55" i="1"/>
  <c r="O56" i="1"/>
  <c r="AA56" i="1"/>
  <c r="F57" i="1"/>
  <c r="N57" i="1"/>
  <c r="Z57" i="1"/>
  <c r="M58" i="1"/>
  <c r="Y58" i="1"/>
  <c r="E59" i="1"/>
  <c r="L59" i="1"/>
  <c r="X59" i="1"/>
  <c r="K60" i="1"/>
  <c r="W60" i="1"/>
  <c r="D197" i="1"/>
  <c r="D61" i="1"/>
  <c r="J61" i="1"/>
  <c r="V61" i="1"/>
  <c r="AH32" i="1"/>
  <c r="U62" i="1"/>
  <c r="AG62" i="1"/>
  <c r="I63" i="1"/>
  <c r="T63" i="1"/>
  <c r="AF63" i="1"/>
  <c r="S64" i="1"/>
  <c r="AE64" i="1"/>
  <c r="S65" i="1"/>
  <c r="AE65" i="1"/>
  <c r="AB43" i="1"/>
  <c r="I45" i="1"/>
  <c r="I57" i="1"/>
  <c r="D59" i="1"/>
  <c r="Q93" i="1"/>
  <c r="AC93" i="1"/>
  <c r="T89" i="1"/>
  <c r="AF89" i="1"/>
  <c r="H56" i="1"/>
  <c r="Q57" i="1"/>
  <c r="AB58" i="1"/>
  <c r="D201" i="1"/>
  <c r="D65" i="1"/>
  <c r="V65" i="1"/>
  <c r="AH36" i="1"/>
  <c r="AC42" i="1"/>
  <c r="AD56" i="1"/>
  <c r="AD57" i="1"/>
  <c r="G59" i="1"/>
  <c r="AA60" i="1"/>
  <c r="F61" i="1"/>
  <c r="Z61" i="1"/>
  <c r="Y62" i="1"/>
  <c r="E63" i="1"/>
  <c r="X63" i="1"/>
  <c r="W64" i="1"/>
  <c r="Q42" i="1"/>
  <c r="AB59" i="1"/>
  <c r="O60" i="1"/>
  <c r="L63" i="1"/>
  <c r="AB93" i="1"/>
  <c r="G184" i="1"/>
  <c r="G212" i="1" s="1"/>
  <c r="P184" i="1"/>
  <c r="P212" i="1" s="1"/>
  <c r="D190" i="1"/>
  <c r="AH25" i="1"/>
  <c r="I56" i="1"/>
  <c r="S57" i="1"/>
  <c r="AD58" i="1"/>
  <c r="E201" i="1"/>
  <c r="E229" i="1" s="1"/>
  <c r="E65" i="1"/>
  <c r="L65" i="1"/>
  <c r="N45" i="1"/>
  <c r="H46" i="1"/>
  <c r="E47" i="1"/>
  <c r="K48" i="1"/>
  <c r="V49" i="1"/>
  <c r="AF56" i="1"/>
  <c r="R57" i="1"/>
  <c r="AC59" i="1"/>
  <c r="P60" i="1"/>
  <c r="Z62" i="1"/>
  <c r="M63" i="1"/>
  <c r="W65" i="1"/>
  <c r="F187" i="1"/>
  <c r="F215" i="1" s="1"/>
  <c r="F51" i="1"/>
  <c r="N187" i="1"/>
  <c r="N215" i="1" s="1"/>
  <c r="N51" i="1"/>
  <c r="Z187" i="1"/>
  <c r="Z215" i="1" s="1"/>
  <c r="Z51" i="1"/>
  <c r="D191" i="1"/>
  <c r="D55" i="1"/>
  <c r="J55" i="1"/>
  <c r="AH26" i="1"/>
  <c r="U56" i="1"/>
  <c r="AF57" i="1"/>
  <c r="H59" i="1"/>
  <c r="Q60" i="1"/>
  <c r="G61" i="1"/>
  <c r="P61" i="1"/>
  <c r="O62" i="1"/>
  <c r="F63" i="1"/>
  <c r="N63" i="1"/>
  <c r="M64" i="1"/>
  <c r="M65" i="1"/>
  <c r="Y65" i="1"/>
  <c r="AD41" i="1"/>
  <c r="Q47" i="1"/>
  <c r="AB48" i="1"/>
  <c r="F50" i="1"/>
  <c r="AG56" i="1"/>
  <c r="T57" i="1"/>
  <c r="G58" i="1"/>
  <c r="AD59" i="1"/>
  <c r="AA62" i="1"/>
  <c r="X65" i="1"/>
  <c r="N89" i="1"/>
  <c r="Z89" i="1"/>
  <c r="G187" i="1"/>
  <c r="G215" i="1" s="1"/>
  <c r="X55" i="1"/>
  <c r="D193" i="1"/>
  <c r="D57" i="1"/>
  <c r="AH28" i="1"/>
  <c r="T59" i="1"/>
  <c r="O65" i="1"/>
  <c r="H41" i="1"/>
  <c r="AF45" i="1"/>
  <c r="Y46" i="1"/>
  <c r="J49" i="1"/>
  <c r="J54" i="1"/>
  <c r="L55" i="1"/>
  <c r="AG55" i="1"/>
  <c r="H58" i="1"/>
  <c r="AC58" i="1"/>
  <c r="N61" i="1"/>
  <c r="K64" i="1"/>
  <c r="AA65" i="1"/>
  <c r="AH114" i="1"/>
  <c r="R56" i="1"/>
  <c r="O59" i="1"/>
  <c r="E57" i="1"/>
  <c r="K58" i="1"/>
  <c r="V59" i="1"/>
  <c r="AH30" i="1"/>
  <c r="Q65" i="1"/>
  <c r="AC65" i="1"/>
  <c r="O44" i="1"/>
  <c r="H47" i="1"/>
  <c r="Q48" i="1"/>
  <c r="AB49" i="1"/>
  <c r="AA50" i="1"/>
  <c r="AB51" i="1"/>
  <c r="M54" i="1"/>
  <c r="H57" i="1"/>
  <c r="P59" i="1"/>
  <c r="AA93" i="1"/>
  <c r="M57" i="1"/>
  <c r="X58" i="1"/>
  <c r="D196" i="1"/>
  <c r="D60" i="1"/>
  <c r="V60" i="1"/>
  <c r="AH31" i="1"/>
  <c r="U61" i="1"/>
  <c r="AG61" i="1"/>
  <c r="T62" i="1"/>
  <c r="AF62" i="1"/>
  <c r="S63" i="1"/>
  <c r="AE63" i="1"/>
  <c r="R64" i="1"/>
  <c r="AD64" i="1"/>
  <c r="H65" i="1"/>
  <c r="R65" i="1"/>
  <c r="AD65" i="1"/>
  <c r="AC50" i="1"/>
  <c r="L58" i="1"/>
  <c r="T61" i="1"/>
  <c r="Q64" i="1"/>
  <c r="P93" i="1"/>
  <c r="W87" i="1"/>
  <c r="X86" i="1"/>
  <c r="F60" i="1"/>
  <c r="N60" i="1"/>
  <c r="Z60" i="1"/>
  <c r="M61" i="1"/>
  <c r="Y61" i="1"/>
  <c r="E62" i="1"/>
  <c r="L62" i="1"/>
  <c r="X62" i="1"/>
  <c r="K63" i="1"/>
  <c r="W63" i="1"/>
  <c r="D64" i="1"/>
  <c r="J64" i="1"/>
  <c r="V64" i="1"/>
  <c r="AH35" i="1"/>
  <c r="U65" i="1"/>
  <c r="AG65" i="1"/>
  <c r="W93" i="1"/>
  <c r="Q89" i="1"/>
  <c r="AC89" i="1"/>
  <c r="Y93" i="1"/>
  <c r="AH140" i="1"/>
  <c r="D93" i="1"/>
  <c r="U293" i="1" l="1"/>
  <c r="U297" i="1" s="1"/>
  <c r="W279" i="1"/>
  <c r="W251" i="1"/>
  <c r="X252" i="1"/>
  <c r="X259" i="1" s="1"/>
  <c r="X258" i="1" s="1"/>
  <c r="V285" i="1"/>
  <c r="V284" i="1" s="1"/>
  <c r="V291" i="1" s="1"/>
  <c r="V278" i="1"/>
  <c r="V281" i="1"/>
  <c r="V288" i="1"/>
  <c r="V287" i="1" s="1"/>
  <c r="V292" i="1" s="1"/>
  <c r="W254" i="1"/>
  <c r="W262" i="1"/>
  <c r="W261" i="1" s="1"/>
  <c r="X255" i="1"/>
  <c r="W282" i="1"/>
  <c r="T297" i="1"/>
  <c r="T294" i="1"/>
  <c r="L114" i="6"/>
  <c r="G154" i="6"/>
  <c r="AJ154" i="6" s="1"/>
  <c r="G155" i="6"/>
  <c r="AJ155" i="6" s="1"/>
  <c r="G153" i="6"/>
  <c r="AJ153" i="6" s="1"/>
  <c r="G156" i="6"/>
  <c r="AJ156" i="6" s="1"/>
  <c r="AJ152" i="6"/>
  <c r="G163" i="6"/>
  <c r="AJ163" i="6" s="1"/>
  <c r="G165" i="6"/>
  <c r="AJ165" i="6" s="1"/>
  <c r="G162" i="6"/>
  <c r="AJ162" i="6" s="1"/>
  <c r="AJ161" i="6"/>
  <c r="G164" i="6"/>
  <c r="AJ164" i="6" s="1"/>
  <c r="G120" i="6"/>
  <c r="AJ120" i="6" s="1"/>
  <c r="G118" i="6"/>
  <c r="AJ118" i="6" s="1"/>
  <c r="G117" i="6"/>
  <c r="G119" i="6"/>
  <c r="AJ119" i="6" s="1"/>
  <c r="AJ116" i="6"/>
  <c r="G112" i="6"/>
  <c r="I115" i="6"/>
  <c r="I12" i="10" s="1"/>
  <c r="E199" i="1"/>
  <c r="E227" i="1" s="1"/>
  <c r="O84" i="1"/>
  <c r="D200" i="1"/>
  <c r="D228" i="1" s="1"/>
  <c r="D194" i="1"/>
  <c r="D222" i="1" s="1"/>
  <c r="AA181" i="1"/>
  <c r="AA209" i="1" s="1"/>
  <c r="S178" i="1"/>
  <c r="S206" i="1" s="1"/>
  <c r="W195" i="1"/>
  <c r="W223" i="1" s="1"/>
  <c r="AB84" i="1"/>
  <c r="E194" i="1"/>
  <c r="E222" i="1" s="1"/>
  <c r="U84" i="1"/>
  <c r="Y177" i="1"/>
  <c r="Y205" i="1" s="1"/>
  <c r="Q193" i="1"/>
  <c r="Q221" i="1" s="1"/>
  <c r="J182" i="1"/>
  <c r="J210" i="1" s="1"/>
  <c r="J177" i="1"/>
  <c r="J205" i="1" s="1"/>
  <c r="S84" i="1"/>
  <c r="O180" i="1"/>
  <c r="O208" i="1" s="1"/>
  <c r="AB186" i="1"/>
  <c r="AB214" i="1" s="1"/>
  <c r="P181" i="1"/>
  <c r="P209" i="1" s="1"/>
  <c r="Y84" i="1"/>
  <c r="T84" i="1"/>
  <c r="J84" i="1"/>
  <c r="AB201" i="1"/>
  <c r="AB229" i="1" s="1"/>
  <c r="R84" i="1"/>
  <c r="Y190" i="1"/>
  <c r="Y218" i="1" s="1"/>
  <c r="AB184" i="1"/>
  <c r="AB212" i="1" s="1"/>
  <c r="V84" i="1"/>
  <c r="Q190" i="1"/>
  <c r="Q218" i="1" s="1"/>
  <c r="Y184" i="1"/>
  <c r="Y212" i="1" s="1"/>
  <c r="J184" i="1"/>
  <c r="J212" i="1" s="1"/>
  <c r="I184" i="1"/>
  <c r="I212" i="1" s="1"/>
  <c r="AD190" i="1"/>
  <c r="AD218" i="1" s="1"/>
  <c r="L184" i="1"/>
  <c r="L212" i="1" s="1"/>
  <c r="G185" i="1"/>
  <c r="G213" i="1" s="1"/>
  <c r="AD184" i="1"/>
  <c r="AD212" i="1" s="1"/>
  <c r="X184" i="1"/>
  <c r="X212" i="1" s="1"/>
  <c r="AC184" i="1"/>
  <c r="AC212" i="1" s="1"/>
  <c r="Q184" i="1"/>
  <c r="Q212" i="1" s="1"/>
  <c r="V184" i="1"/>
  <c r="V212" i="1" s="1"/>
  <c r="S184" i="1"/>
  <c r="S212" i="1" s="1"/>
  <c r="X177" i="1"/>
  <c r="X205" i="1" s="1"/>
  <c r="W184" i="1"/>
  <c r="W212" i="1" s="1"/>
  <c r="Z84" i="1"/>
  <c r="K184" i="1"/>
  <c r="K212" i="1" s="1"/>
  <c r="AB195" i="1"/>
  <c r="AB223" i="1" s="1"/>
  <c r="AF184" i="1"/>
  <c r="AF212" i="1" s="1"/>
  <c r="L193" i="1"/>
  <c r="L221" i="1" s="1"/>
  <c r="AE184" i="1"/>
  <c r="AE212" i="1" s="1"/>
  <c r="AD201" i="1"/>
  <c r="AD229" i="1" s="1"/>
  <c r="AA84" i="1"/>
  <c r="F180" i="1"/>
  <c r="F208" i="1" s="1"/>
  <c r="AG184" i="1"/>
  <c r="AG212" i="1" s="1"/>
  <c r="T184" i="1"/>
  <c r="T212" i="1" s="1"/>
  <c r="I84" i="1"/>
  <c r="Y193" i="1"/>
  <c r="Y221" i="1" s="1"/>
  <c r="G195" i="1"/>
  <c r="G223" i="1" s="1"/>
  <c r="AA195" i="1"/>
  <c r="AA223" i="1" s="1"/>
  <c r="Q195" i="1"/>
  <c r="Q223" i="1" s="1"/>
  <c r="AC195" i="1"/>
  <c r="AC223" i="1" s="1"/>
  <c r="O195" i="1"/>
  <c r="O223" i="1" s="1"/>
  <c r="Y195" i="1"/>
  <c r="Y223" i="1" s="1"/>
  <c r="AF182" i="1"/>
  <c r="AF210" i="1" s="1"/>
  <c r="AG84" i="1"/>
  <c r="V195" i="1"/>
  <c r="V223" i="1" s="1"/>
  <c r="T195" i="1"/>
  <c r="T223" i="1" s="1"/>
  <c r="E200" i="1"/>
  <c r="E228" i="1" s="1"/>
  <c r="K195" i="1"/>
  <c r="K223" i="1" s="1"/>
  <c r="R195" i="1"/>
  <c r="R223" i="1" s="1"/>
  <c r="AF84" i="1"/>
  <c r="Y181" i="1"/>
  <c r="Y209" i="1" s="1"/>
  <c r="H191" i="1"/>
  <c r="H219" i="1" s="1"/>
  <c r="F200" i="1"/>
  <c r="F228" i="1" s="1"/>
  <c r="P84" i="1"/>
  <c r="T181" i="1"/>
  <c r="T209" i="1" s="1"/>
  <c r="O181" i="1"/>
  <c r="O209" i="1" s="1"/>
  <c r="AE177" i="1"/>
  <c r="AE205" i="1" s="1"/>
  <c r="R177" i="1"/>
  <c r="R205" i="1" s="1"/>
  <c r="P193" i="1"/>
  <c r="P221" i="1" s="1"/>
  <c r="U181" i="1"/>
  <c r="U209" i="1" s="1"/>
  <c r="AC84" i="1"/>
  <c r="Q181" i="1"/>
  <c r="Q209" i="1" s="1"/>
  <c r="X84" i="1"/>
  <c r="AE182" i="1"/>
  <c r="AE210" i="1" s="1"/>
  <c r="M181" i="1"/>
  <c r="M209" i="1" s="1"/>
  <c r="O184" i="1"/>
  <c r="O212" i="1" s="1"/>
  <c r="AC181" i="1"/>
  <c r="AC209" i="1" s="1"/>
  <c r="K200" i="1"/>
  <c r="K228" i="1" s="1"/>
  <c r="Z181" i="1"/>
  <c r="Z209" i="1" s="1"/>
  <c r="N190" i="1"/>
  <c r="N218" i="1" s="1"/>
  <c r="L181" i="1"/>
  <c r="L209" i="1" s="1"/>
  <c r="V181" i="1"/>
  <c r="V209" i="1" s="1"/>
  <c r="G181" i="1"/>
  <c r="G209" i="1" s="1"/>
  <c r="K181" i="1"/>
  <c r="K209" i="1" s="1"/>
  <c r="Q84" i="1"/>
  <c r="J195" i="1"/>
  <c r="J223" i="1" s="1"/>
  <c r="M190" i="1"/>
  <c r="M218" i="1" s="1"/>
  <c r="H195" i="1"/>
  <c r="H223" i="1" s="1"/>
  <c r="N195" i="1"/>
  <c r="N223" i="1" s="1"/>
  <c r="F199" i="1"/>
  <c r="F227" i="1" s="1"/>
  <c r="AC182" i="1"/>
  <c r="AC210" i="1" s="1"/>
  <c r="L177" i="1"/>
  <c r="L205" i="1" s="1"/>
  <c r="R190" i="1"/>
  <c r="R218" i="1" s="1"/>
  <c r="R200" i="1"/>
  <c r="R228" i="1" s="1"/>
  <c r="S190" i="1"/>
  <c r="S218" i="1" s="1"/>
  <c r="H186" i="1"/>
  <c r="H214" i="1" s="1"/>
  <c r="AA184" i="1"/>
  <c r="AA212" i="1" s="1"/>
  <c r="AD181" i="1"/>
  <c r="AD209" i="1" s="1"/>
  <c r="AF177" i="1"/>
  <c r="AF205" i="1" s="1"/>
  <c r="AD177" i="1"/>
  <c r="AD205" i="1" s="1"/>
  <c r="H190" i="1"/>
  <c r="H218" i="1" s="1"/>
  <c r="V190" i="1"/>
  <c r="V218" i="1" s="1"/>
  <c r="I195" i="1"/>
  <c r="I223" i="1" s="1"/>
  <c r="J190" i="1"/>
  <c r="J218" i="1" s="1"/>
  <c r="X195" i="1"/>
  <c r="X223" i="1" s="1"/>
  <c r="AA190" i="1"/>
  <c r="AA218" i="1" s="1"/>
  <c r="AG181" i="1"/>
  <c r="AG209" i="1" s="1"/>
  <c r="R181" i="1"/>
  <c r="R209" i="1" s="1"/>
  <c r="T177" i="1"/>
  <c r="T205" i="1" s="1"/>
  <c r="K177" i="1"/>
  <c r="K205" i="1" s="1"/>
  <c r="M184" i="1"/>
  <c r="M212" i="1" s="1"/>
  <c r="AH85" i="1"/>
  <c r="AE84" i="1"/>
  <c r="W190" i="1"/>
  <c r="W218" i="1" s="1"/>
  <c r="S195" i="1"/>
  <c r="S223" i="1" s="1"/>
  <c r="O190" i="1"/>
  <c r="O218" i="1" s="1"/>
  <c r="Q200" i="1"/>
  <c r="Q228" i="1" s="1"/>
  <c r="K190" i="1"/>
  <c r="K218" i="1" s="1"/>
  <c r="P190" i="1"/>
  <c r="P218" i="1" s="1"/>
  <c r="AC190" i="1"/>
  <c r="AC218" i="1" s="1"/>
  <c r="L190" i="1"/>
  <c r="L218" i="1" s="1"/>
  <c r="G190" i="1"/>
  <c r="G218" i="1" s="1"/>
  <c r="H201" i="1"/>
  <c r="H229" i="1" s="1"/>
  <c r="L195" i="1"/>
  <c r="L223" i="1" s="1"/>
  <c r="W182" i="1"/>
  <c r="W210" i="1" s="1"/>
  <c r="S182" i="1"/>
  <c r="S210" i="1" s="1"/>
  <c r="K182" i="1"/>
  <c r="K210" i="1" s="1"/>
  <c r="I182" i="1"/>
  <c r="I210" i="1" s="1"/>
  <c r="Q182" i="1"/>
  <c r="Q210" i="1" s="1"/>
  <c r="Y182" i="1"/>
  <c r="Y210" i="1" s="1"/>
  <c r="G182" i="1"/>
  <c r="G210" i="1" s="1"/>
  <c r="AD84" i="1"/>
  <c r="M182" i="1"/>
  <c r="M210" i="1" s="1"/>
  <c r="Z182" i="1"/>
  <c r="Z210" i="1" s="1"/>
  <c r="N182" i="1"/>
  <c r="N210" i="1" s="1"/>
  <c r="M199" i="1"/>
  <c r="M227" i="1" s="1"/>
  <c r="X182" i="1"/>
  <c r="X210" i="1" s="1"/>
  <c r="O193" i="1"/>
  <c r="O221" i="1" s="1"/>
  <c r="O182" i="1"/>
  <c r="O210" i="1" s="1"/>
  <c r="H184" i="1"/>
  <c r="H212" i="1" s="1"/>
  <c r="AA201" i="1"/>
  <c r="AA229" i="1" s="1"/>
  <c r="I196" i="1"/>
  <c r="I224" i="1" s="1"/>
  <c r="U184" i="1"/>
  <c r="U212" i="1" s="1"/>
  <c r="L182" i="1"/>
  <c r="L210" i="1" s="1"/>
  <c r="R198" i="1"/>
  <c r="R226" i="1" s="1"/>
  <c r="AD182" i="1"/>
  <c r="AD210" i="1" s="1"/>
  <c r="R182" i="1"/>
  <c r="R210" i="1" s="1"/>
  <c r="Z195" i="1"/>
  <c r="Z223" i="1" s="1"/>
  <c r="AB182" i="1"/>
  <c r="AB210" i="1" s="1"/>
  <c r="V182" i="1"/>
  <c r="V210" i="1" s="1"/>
  <c r="AG182" i="1"/>
  <c r="AG210" i="1" s="1"/>
  <c r="V191" i="1"/>
  <c r="V219" i="1" s="1"/>
  <c r="AD200" i="1"/>
  <c r="AD228" i="1" s="1"/>
  <c r="AC200" i="1"/>
  <c r="AC228" i="1" s="1"/>
  <c r="J53" i="1"/>
  <c r="AB190" i="1"/>
  <c r="AB218" i="1" s="1"/>
  <c r="Y200" i="1"/>
  <c r="Y228" i="1" s="1"/>
  <c r="Z200" i="1"/>
  <c r="Z228" i="1" s="1"/>
  <c r="M84" i="1"/>
  <c r="V200" i="1"/>
  <c r="V228" i="1" s="1"/>
  <c r="S199" i="1"/>
  <c r="S227" i="1" s="1"/>
  <c r="Y194" i="1"/>
  <c r="Y222" i="1" s="1"/>
  <c r="U182" i="1"/>
  <c r="U210" i="1" s="1"/>
  <c r="N184" i="1"/>
  <c r="N212" i="1" s="1"/>
  <c r="J200" i="1"/>
  <c r="J228" i="1" s="1"/>
  <c r="AH95" i="1"/>
  <c r="M200" i="1"/>
  <c r="M228" i="1" s="1"/>
  <c r="U195" i="1"/>
  <c r="U223" i="1" s="1"/>
  <c r="T182" i="1"/>
  <c r="T210" i="1" s="1"/>
  <c r="Z190" i="1"/>
  <c r="Z218" i="1" s="1"/>
  <c r="G200" i="1"/>
  <c r="G228" i="1" s="1"/>
  <c r="AC186" i="1"/>
  <c r="AC214" i="1" s="1"/>
  <c r="Q186" i="1"/>
  <c r="Q214" i="1" s="1"/>
  <c r="X200" i="1"/>
  <c r="X228" i="1" s="1"/>
  <c r="L192" i="1"/>
  <c r="L220" i="1" s="1"/>
  <c r="AE200" i="1"/>
  <c r="AE228" i="1" s="1"/>
  <c r="J185" i="1"/>
  <c r="J213" i="1" s="1"/>
  <c r="V186" i="1"/>
  <c r="V214" i="1" s="1"/>
  <c r="F194" i="1"/>
  <c r="F222" i="1" s="1"/>
  <c r="W39" i="1"/>
  <c r="AH125" i="1"/>
  <c r="F190" i="1"/>
  <c r="F218" i="1" s="1"/>
  <c r="P201" i="1"/>
  <c r="P229" i="1" s="1"/>
  <c r="P182" i="1"/>
  <c r="P210" i="1" s="1"/>
  <c r="W181" i="1"/>
  <c r="W209" i="1" s="1"/>
  <c r="I181" i="1"/>
  <c r="I209" i="1" s="1"/>
  <c r="N186" i="1"/>
  <c r="N214" i="1" s="1"/>
  <c r="AF201" i="1"/>
  <c r="AF229" i="1" s="1"/>
  <c r="J181" i="1"/>
  <c r="J209" i="1" s="1"/>
  <c r="AC198" i="1"/>
  <c r="AC226" i="1" s="1"/>
  <c r="O185" i="1"/>
  <c r="O213" i="1" s="1"/>
  <c r="AB178" i="1"/>
  <c r="AB206" i="1" s="1"/>
  <c r="AD180" i="1"/>
  <c r="AD208" i="1" s="1"/>
  <c r="S192" i="1"/>
  <c r="S220" i="1" s="1"/>
  <c r="Z39" i="1"/>
  <c r="D198" i="1"/>
  <c r="D226" i="1" s="1"/>
  <c r="L185" i="1"/>
  <c r="L213" i="1" s="1"/>
  <c r="L197" i="1"/>
  <c r="L225" i="1" s="1"/>
  <c r="H194" i="1"/>
  <c r="H222" i="1" s="1"/>
  <c r="AG185" i="1"/>
  <c r="AG213" i="1" s="1"/>
  <c r="AA178" i="1"/>
  <c r="AA206" i="1" s="1"/>
  <c r="AE186" i="1"/>
  <c r="AE214" i="1" s="1"/>
  <c r="H180" i="1"/>
  <c r="H208" i="1" s="1"/>
  <c r="R180" i="1"/>
  <c r="R208" i="1" s="1"/>
  <c r="AE181" i="1"/>
  <c r="AE209" i="1" s="1"/>
  <c r="AG201" i="1"/>
  <c r="AG229" i="1" s="1"/>
  <c r="K84" i="1"/>
  <c r="R201" i="1"/>
  <c r="R229" i="1" s="1"/>
  <c r="AD183" i="1"/>
  <c r="AD211" i="1" s="1"/>
  <c r="AA191" i="1"/>
  <c r="AA219" i="1" s="1"/>
  <c r="W53" i="1"/>
  <c r="AG39" i="1"/>
  <c r="S181" i="1"/>
  <c r="S209" i="1" s="1"/>
  <c r="H182" i="1"/>
  <c r="H210" i="1" s="1"/>
  <c r="N84" i="1"/>
  <c r="W185" i="1"/>
  <c r="W213" i="1" s="1"/>
  <c r="AC199" i="1"/>
  <c r="AC227" i="1" s="1"/>
  <c r="AG200" i="1"/>
  <c r="AG228" i="1" s="1"/>
  <c r="AA182" i="1"/>
  <c r="AA210" i="1" s="1"/>
  <c r="P197" i="1"/>
  <c r="P225" i="1" s="1"/>
  <c r="AG191" i="1"/>
  <c r="AG219" i="1" s="1"/>
  <c r="AC194" i="1"/>
  <c r="AC222" i="1" s="1"/>
  <c r="AA192" i="1"/>
  <c r="AA220" i="1" s="1"/>
  <c r="AG186" i="1"/>
  <c r="AG214" i="1" s="1"/>
  <c r="AB179" i="1"/>
  <c r="AB207" i="1" s="1"/>
  <c r="Q39" i="1"/>
  <c r="S197" i="1"/>
  <c r="S225" i="1" s="1"/>
  <c r="AB39" i="1"/>
  <c r="Z178" i="1"/>
  <c r="Z206" i="1" s="1"/>
  <c r="I53" i="1"/>
  <c r="N197" i="1"/>
  <c r="N225" i="1" s="1"/>
  <c r="V183" i="1"/>
  <c r="V211" i="1" s="1"/>
  <c r="X180" i="1"/>
  <c r="X208" i="1" s="1"/>
  <c r="N178" i="1"/>
  <c r="N206" i="1" s="1"/>
  <c r="Y178" i="1"/>
  <c r="Y206" i="1" s="1"/>
  <c r="I200" i="1"/>
  <c r="I228" i="1" s="1"/>
  <c r="P186" i="1"/>
  <c r="P214" i="1" s="1"/>
  <c r="AF178" i="1"/>
  <c r="AF206" i="1" s="1"/>
  <c r="I190" i="1"/>
  <c r="I218" i="1" s="1"/>
  <c r="X181" i="1"/>
  <c r="X209" i="1" s="1"/>
  <c r="M178" i="1"/>
  <c r="M206" i="1" s="1"/>
  <c r="H178" i="1"/>
  <c r="H206" i="1" s="1"/>
  <c r="V53" i="1"/>
  <c r="AF181" i="1"/>
  <c r="AF209" i="1" s="1"/>
  <c r="O194" i="1"/>
  <c r="O222" i="1" s="1"/>
  <c r="S200" i="1"/>
  <c r="S228" i="1" s="1"/>
  <c r="L180" i="1"/>
  <c r="L208" i="1" s="1"/>
  <c r="V192" i="1"/>
  <c r="V220" i="1" s="1"/>
  <c r="N181" i="1"/>
  <c r="N209" i="1" s="1"/>
  <c r="E198" i="1"/>
  <c r="E226" i="1" s="1"/>
  <c r="AA200" i="1"/>
  <c r="AA228" i="1" s="1"/>
  <c r="AD185" i="1"/>
  <c r="AD213" i="1" s="1"/>
  <c r="AA186" i="1"/>
  <c r="AA214" i="1" s="1"/>
  <c r="W200" i="1"/>
  <c r="W228" i="1" s="1"/>
  <c r="V201" i="1"/>
  <c r="V229" i="1" s="1"/>
  <c r="N200" i="1"/>
  <c r="N228" i="1" s="1"/>
  <c r="R39" i="1"/>
  <c r="Y53" i="1"/>
  <c r="M195" i="1"/>
  <c r="M223" i="1" s="1"/>
  <c r="T194" i="1"/>
  <c r="T222" i="1" s="1"/>
  <c r="E192" i="1"/>
  <c r="E220" i="1" s="1"/>
  <c r="K53" i="1"/>
  <c r="O200" i="1"/>
  <c r="O228" i="1" s="1"/>
  <c r="H185" i="1"/>
  <c r="H213" i="1" s="1"/>
  <c r="Z199" i="1"/>
  <c r="Z227" i="1" s="1"/>
  <c r="O186" i="1"/>
  <c r="O214" i="1" s="1"/>
  <c r="J201" i="1"/>
  <c r="J229" i="1" s="1"/>
  <c r="V185" i="1"/>
  <c r="V213" i="1" s="1"/>
  <c r="H181" i="1"/>
  <c r="H209" i="1" s="1"/>
  <c r="AB181" i="1"/>
  <c r="AB209" i="1" s="1"/>
  <c r="P53" i="1"/>
  <c r="H183" i="1"/>
  <c r="H211" i="1" s="1"/>
  <c r="G183" i="1"/>
  <c r="G211" i="1" s="1"/>
  <c r="S183" i="1"/>
  <c r="S211" i="1" s="1"/>
  <c r="N183" i="1"/>
  <c r="N211" i="1" s="1"/>
  <c r="R183" i="1"/>
  <c r="R211" i="1" s="1"/>
  <c r="AA183" i="1"/>
  <c r="AA211" i="1" s="1"/>
  <c r="K183" i="1"/>
  <c r="K211" i="1" s="1"/>
  <c r="J183" i="1"/>
  <c r="J211" i="1" s="1"/>
  <c r="M183" i="1"/>
  <c r="M211" i="1" s="1"/>
  <c r="AE183" i="1"/>
  <c r="AE211" i="1" s="1"/>
  <c r="K204" i="1"/>
  <c r="R53" i="1"/>
  <c r="AE39" i="1"/>
  <c r="AB205" i="1"/>
  <c r="AH64" i="1"/>
  <c r="Q198" i="1"/>
  <c r="Q226" i="1" s="1"/>
  <c r="AB198" i="1"/>
  <c r="AB226" i="1" s="1"/>
  <c r="W198" i="1"/>
  <c r="W226" i="1" s="1"/>
  <c r="U198" i="1"/>
  <c r="U226" i="1" s="1"/>
  <c r="Z198" i="1"/>
  <c r="Z226" i="1" s="1"/>
  <c r="N198" i="1"/>
  <c r="N226" i="1" s="1"/>
  <c r="L194" i="1"/>
  <c r="L222" i="1" s="1"/>
  <c r="V194" i="1"/>
  <c r="V222" i="1" s="1"/>
  <c r="K194" i="1"/>
  <c r="K222" i="1" s="1"/>
  <c r="X194" i="1"/>
  <c r="X222" i="1" s="1"/>
  <c r="U194" i="1"/>
  <c r="U222" i="1" s="1"/>
  <c r="AG194" i="1"/>
  <c r="AG222" i="1" s="1"/>
  <c r="P194" i="1"/>
  <c r="P222" i="1" s="1"/>
  <c r="W194" i="1"/>
  <c r="W222" i="1" s="1"/>
  <c r="AB194" i="1"/>
  <c r="AB222" i="1" s="1"/>
  <c r="S194" i="1"/>
  <c r="S222" i="1" s="1"/>
  <c r="AE194" i="1"/>
  <c r="AE222" i="1" s="1"/>
  <c r="M194" i="1"/>
  <c r="M222" i="1" s="1"/>
  <c r="AD194" i="1"/>
  <c r="AD222" i="1" s="1"/>
  <c r="Q194" i="1"/>
  <c r="Q222" i="1" s="1"/>
  <c r="R179" i="1"/>
  <c r="R207" i="1" s="1"/>
  <c r="K179" i="1"/>
  <c r="K207" i="1" s="1"/>
  <c r="L179" i="1"/>
  <c r="L207" i="1" s="1"/>
  <c r="P179" i="1"/>
  <c r="P207" i="1" s="1"/>
  <c r="F179" i="1"/>
  <c r="F207" i="1" s="1"/>
  <c r="AA179" i="1"/>
  <c r="AA207" i="1" s="1"/>
  <c r="V179" i="1"/>
  <c r="V207" i="1" s="1"/>
  <c r="AD179" i="1"/>
  <c r="AD207" i="1" s="1"/>
  <c r="W179" i="1"/>
  <c r="W207" i="1" s="1"/>
  <c r="X179" i="1"/>
  <c r="X207" i="1" s="1"/>
  <c r="M179" i="1"/>
  <c r="M207" i="1" s="1"/>
  <c r="AC179" i="1"/>
  <c r="AC207" i="1" s="1"/>
  <c r="Z179" i="1"/>
  <c r="Z207" i="1" s="1"/>
  <c r="H179" i="1"/>
  <c r="H207" i="1" s="1"/>
  <c r="AE179" i="1"/>
  <c r="AE207" i="1" s="1"/>
  <c r="I179" i="1"/>
  <c r="I207" i="1" s="1"/>
  <c r="Q179" i="1"/>
  <c r="Q207" i="1" s="1"/>
  <c r="S179" i="1"/>
  <c r="S207" i="1" s="1"/>
  <c r="Y179" i="1"/>
  <c r="Y207" i="1" s="1"/>
  <c r="AG179" i="1"/>
  <c r="AG207" i="1" s="1"/>
  <c r="T179" i="1"/>
  <c r="T207" i="1" s="1"/>
  <c r="U179" i="1"/>
  <c r="U207" i="1" s="1"/>
  <c r="N179" i="1"/>
  <c r="N207" i="1" s="1"/>
  <c r="AF179" i="1"/>
  <c r="AF207" i="1" s="1"/>
  <c r="J179" i="1"/>
  <c r="J207" i="1" s="1"/>
  <c r="O179" i="1"/>
  <c r="O207" i="1" s="1"/>
  <c r="G179" i="1"/>
  <c r="G207" i="1" s="1"/>
  <c r="X204" i="1"/>
  <c r="Q199" i="1"/>
  <c r="Q227" i="1" s="1"/>
  <c r="J191" i="1"/>
  <c r="J219" i="1" s="1"/>
  <c r="D215" i="1"/>
  <c r="AH215" i="1" s="1"/>
  <c r="AH187" i="1"/>
  <c r="Y192" i="1"/>
  <c r="Y220" i="1" s="1"/>
  <c r="AE197" i="1"/>
  <c r="AE225" i="1" s="1"/>
  <c r="X53" i="1"/>
  <c r="Y39" i="1"/>
  <c r="E39" i="1"/>
  <c r="AF39" i="1"/>
  <c r="J192" i="1"/>
  <c r="J220" i="1" s="1"/>
  <c r="U201" i="1"/>
  <c r="U229" i="1" s="1"/>
  <c r="W199" i="1"/>
  <c r="W227" i="1" s="1"/>
  <c r="Y197" i="1"/>
  <c r="Y225" i="1" s="1"/>
  <c r="M193" i="1"/>
  <c r="M221" i="1" s="1"/>
  <c r="R199" i="1"/>
  <c r="R227" i="1" s="1"/>
  <c r="O201" i="1"/>
  <c r="O229" i="1" s="1"/>
  <c r="AD197" i="1"/>
  <c r="AD225" i="1" s="1"/>
  <c r="L191" i="1"/>
  <c r="L219" i="1" s="1"/>
  <c r="R185" i="1"/>
  <c r="R213" i="1" s="1"/>
  <c r="Y201" i="1"/>
  <c r="Y229" i="1" s="1"/>
  <c r="N199" i="1"/>
  <c r="N227" i="1" s="1"/>
  <c r="G197" i="1"/>
  <c r="G225" i="1" s="1"/>
  <c r="AH55" i="1"/>
  <c r="X201" i="1"/>
  <c r="X229" i="1" s="1"/>
  <c r="F198" i="1"/>
  <c r="F226" i="1" s="1"/>
  <c r="R194" i="1"/>
  <c r="R222" i="1" s="1"/>
  <c r="AH54" i="1"/>
  <c r="AH24" i="1"/>
  <c r="AH92" i="1"/>
  <c r="D229" i="1"/>
  <c r="R192" i="1"/>
  <c r="R220" i="1" s="1"/>
  <c r="AC178" i="1"/>
  <c r="AC206" i="1" s="1"/>
  <c r="D53" i="1"/>
  <c r="J186" i="1"/>
  <c r="J214" i="1" s="1"/>
  <c r="G193" i="1"/>
  <c r="G221" i="1" s="1"/>
  <c r="AC39" i="1"/>
  <c r="I178" i="1"/>
  <c r="I206" i="1" s="1"/>
  <c r="AB193" i="1"/>
  <c r="AB221" i="1" s="1"/>
  <c r="AD39" i="1"/>
  <c r="F195" i="1"/>
  <c r="F223" i="1" s="1"/>
  <c r="AF194" i="1"/>
  <c r="AF222" i="1" s="1"/>
  <c r="S53" i="1"/>
  <c r="S186" i="1"/>
  <c r="S214" i="1" s="1"/>
  <c r="W180" i="1"/>
  <c r="W208" i="1" s="1"/>
  <c r="D204" i="1"/>
  <c r="D175" i="1"/>
  <c r="AH176" i="1"/>
  <c r="N191" i="1"/>
  <c r="N219" i="1" s="1"/>
  <c r="U200" i="1"/>
  <c r="U228" i="1" s="1"/>
  <c r="AC185" i="1"/>
  <c r="AC213" i="1" s="1"/>
  <c r="V180" i="1"/>
  <c r="V208" i="1" s="1"/>
  <c r="X178" i="1"/>
  <c r="X206" i="1" s="1"/>
  <c r="N39" i="1"/>
  <c r="W193" i="1"/>
  <c r="W221" i="1" s="1"/>
  <c r="X190" i="1"/>
  <c r="Y204" i="1"/>
  <c r="K191" i="1"/>
  <c r="K219" i="1" s="1"/>
  <c r="E84" i="1"/>
  <c r="Y185" i="1"/>
  <c r="Y213" i="1" s="1"/>
  <c r="AF204" i="1"/>
  <c r="AH56" i="1"/>
  <c r="AE53" i="1"/>
  <c r="G201" i="1"/>
  <c r="G229" i="1" s="1"/>
  <c r="AE178" i="1"/>
  <c r="U39" i="1"/>
  <c r="AF198" i="1"/>
  <c r="AF226" i="1" s="1"/>
  <c r="H199" i="1"/>
  <c r="H227" i="1" s="1"/>
  <c r="R197" i="1"/>
  <c r="R225" i="1" s="1"/>
  <c r="E191" i="1"/>
  <c r="E219" i="1" s="1"/>
  <c r="D219" i="1"/>
  <c r="AA197" i="1"/>
  <c r="AA225" i="1" s="1"/>
  <c r="W201" i="1"/>
  <c r="W229" i="1" s="1"/>
  <c r="AD193" i="1"/>
  <c r="AD221" i="1" s="1"/>
  <c r="Q178" i="1"/>
  <c r="P198" i="1"/>
  <c r="P226" i="1" s="1"/>
  <c r="AC192" i="1"/>
  <c r="AC220" i="1" s="1"/>
  <c r="AC204" i="1"/>
  <c r="AD204" i="1"/>
  <c r="AF186" i="1"/>
  <c r="AF214" i="1" s="1"/>
  <c r="G39" i="1"/>
  <c r="F178" i="1"/>
  <c r="F191" i="1"/>
  <c r="F219" i="1" s="1"/>
  <c r="K198" i="1"/>
  <c r="K226" i="1" s="1"/>
  <c r="M192" i="1"/>
  <c r="M220" i="1" s="1"/>
  <c r="Q185" i="1"/>
  <c r="Q213" i="1" s="1"/>
  <c r="N204" i="1"/>
  <c r="J194" i="1"/>
  <c r="J222" i="1" s="1"/>
  <c r="T201" i="1"/>
  <c r="T229" i="1" s="1"/>
  <c r="U199" i="1"/>
  <c r="U227" i="1" s="1"/>
  <c r="K193" i="1"/>
  <c r="K221" i="1" s="1"/>
  <c r="D207" i="1"/>
  <c r="M39" i="1"/>
  <c r="E204" i="1"/>
  <c r="E203" i="1" s="1"/>
  <c r="E232" i="1" s="1"/>
  <c r="E175" i="1"/>
  <c r="K185" i="1"/>
  <c r="K213" i="1" s="1"/>
  <c r="G84" i="1"/>
  <c r="D220" i="1"/>
  <c r="AE190" i="1"/>
  <c r="AH90" i="1"/>
  <c r="X186" i="1"/>
  <c r="X214" i="1" s="1"/>
  <c r="U204" i="1"/>
  <c r="AE191" i="1"/>
  <c r="AE219" i="1" s="1"/>
  <c r="T204" i="1"/>
  <c r="Z191" i="1"/>
  <c r="Z219" i="1" s="1"/>
  <c r="E193" i="1"/>
  <c r="E221" i="1" s="1"/>
  <c r="K199" i="1"/>
  <c r="K227" i="1" s="1"/>
  <c r="M197" i="1"/>
  <c r="M225" i="1" s="1"/>
  <c r="AH88" i="1"/>
  <c r="AH60" i="1"/>
  <c r="AE198" i="1"/>
  <c r="AE226" i="1" s="1"/>
  <c r="H197" i="1"/>
  <c r="H225" i="1" s="1"/>
  <c r="AH86" i="1"/>
  <c r="M201" i="1"/>
  <c r="M229" i="1" s="1"/>
  <c r="AF193" i="1"/>
  <c r="AF221" i="1" s="1"/>
  <c r="L201" i="1"/>
  <c r="L229" i="1" s="1"/>
  <c r="O197" i="1"/>
  <c r="O225" i="1" s="1"/>
  <c r="AE193" i="1"/>
  <c r="AE221" i="1" s="1"/>
  <c r="AC183" i="1"/>
  <c r="AC211" i="1" s="1"/>
  <c r="K201" i="1"/>
  <c r="K229" i="1" s="1"/>
  <c r="R193" i="1"/>
  <c r="R221" i="1" s="1"/>
  <c r="H192" i="1"/>
  <c r="H220" i="1" s="1"/>
  <c r="AE201" i="1"/>
  <c r="AE229" i="1" s="1"/>
  <c r="AF199" i="1"/>
  <c r="AF227" i="1" s="1"/>
  <c r="V197" i="1"/>
  <c r="V225" i="1" s="1"/>
  <c r="D214" i="1"/>
  <c r="AC191" i="1"/>
  <c r="AC219" i="1" s="1"/>
  <c r="H39" i="1"/>
  <c r="Y180" i="1"/>
  <c r="Y208" i="1" s="1"/>
  <c r="AA194" i="1"/>
  <c r="AA222" i="1" s="1"/>
  <c r="AB192" i="1"/>
  <c r="AB220" i="1" s="1"/>
  <c r="AF185" i="1"/>
  <c r="AF213" i="1" s="1"/>
  <c r="Z194" i="1"/>
  <c r="Z222" i="1" s="1"/>
  <c r="AA53" i="1"/>
  <c r="AF183" i="1"/>
  <c r="AF211" i="1" s="1"/>
  <c r="K180" i="1"/>
  <c r="K208" i="1" s="1"/>
  <c r="I194" i="1"/>
  <c r="I222" i="1" s="1"/>
  <c r="Q197" i="1"/>
  <c r="Q225" i="1" s="1"/>
  <c r="J180" i="1"/>
  <c r="J208" i="1" s="1"/>
  <c r="L178" i="1"/>
  <c r="L206" i="1" s="1"/>
  <c r="AH58" i="1"/>
  <c r="U53" i="1"/>
  <c r="L53" i="1"/>
  <c r="AG180" i="1"/>
  <c r="AG208" i="1" s="1"/>
  <c r="M204" i="1"/>
  <c r="M185" i="1"/>
  <c r="M213" i="1" s="1"/>
  <c r="AG193" i="1"/>
  <c r="AG221" i="1" s="1"/>
  <c r="AB200" i="1"/>
  <c r="AB228" i="1" s="1"/>
  <c r="AD198" i="1"/>
  <c r="AD226" i="1" s="1"/>
  <c r="AF191" i="1"/>
  <c r="AF219" i="1" s="1"/>
  <c r="AC180" i="1"/>
  <c r="AC208" i="1" s="1"/>
  <c r="X191" i="1"/>
  <c r="X219" i="1" s="1"/>
  <c r="R204" i="1"/>
  <c r="F84" i="1"/>
  <c r="T198" i="1"/>
  <c r="T226" i="1" s="1"/>
  <c r="D224" i="1"/>
  <c r="M53" i="1"/>
  <c r="S198" i="1"/>
  <c r="S226" i="1" s="1"/>
  <c r="V193" i="1"/>
  <c r="V221" i="1" s="1"/>
  <c r="AA198" i="1"/>
  <c r="AA226" i="1" s="1"/>
  <c r="T193" i="1"/>
  <c r="T221" i="1" s="1"/>
  <c r="AB185" i="1"/>
  <c r="AB213" i="1" s="1"/>
  <c r="D218" i="1"/>
  <c r="Q183" i="1"/>
  <c r="Q211" i="1" s="1"/>
  <c r="Y198" i="1"/>
  <c r="Y226" i="1" s="1"/>
  <c r="AH59" i="1"/>
  <c r="Z193" i="1"/>
  <c r="Z221" i="1" s="1"/>
  <c r="AB191" i="1"/>
  <c r="AB219" i="1" s="1"/>
  <c r="X183" i="1"/>
  <c r="X211" i="1" s="1"/>
  <c r="G198" i="1"/>
  <c r="G226" i="1" s="1"/>
  <c r="S39" i="1"/>
  <c r="Q192" i="1"/>
  <c r="Q220" i="1" s="1"/>
  <c r="P178" i="1"/>
  <c r="P206" i="1" s="1"/>
  <c r="T186" i="1"/>
  <c r="T214" i="1" s="1"/>
  <c r="G180" i="1"/>
  <c r="G208" i="1" s="1"/>
  <c r="H204" i="1"/>
  <c r="K186" i="1"/>
  <c r="K214" i="1" s="1"/>
  <c r="D210" i="1"/>
  <c r="Z53" i="1"/>
  <c r="N53" i="1"/>
  <c r="T183" i="1"/>
  <c r="T211" i="1" s="1"/>
  <c r="U190" i="1"/>
  <c r="I201" i="1"/>
  <c r="I229" i="1" s="1"/>
  <c r="W178" i="1"/>
  <c r="W206" i="1" s="1"/>
  <c r="Y183" i="1"/>
  <c r="Y211" i="1" s="1"/>
  <c r="T53" i="1"/>
  <c r="Z185" i="1"/>
  <c r="Z213" i="1" s="1"/>
  <c r="AB183" i="1"/>
  <c r="AB211" i="1" s="1"/>
  <c r="T191" i="1"/>
  <c r="T219" i="1" s="1"/>
  <c r="L186" i="1"/>
  <c r="L214" i="1" s="1"/>
  <c r="AD178" i="1"/>
  <c r="AD206" i="1" s="1"/>
  <c r="D227" i="1"/>
  <c r="S191" i="1"/>
  <c r="S219" i="1" s="1"/>
  <c r="P39" i="1"/>
  <c r="AG199" i="1"/>
  <c r="AG227" i="1" s="1"/>
  <c r="AD199" i="1"/>
  <c r="AD227" i="1" s="1"/>
  <c r="L199" i="1"/>
  <c r="L227" i="1" s="1"/>
  <c r="AD192" i="1"/>
  <c r="AD220" i="1" s="1"/>
  <c r="O191" i="1"/>
  <c r="O219" i="1" s="1"/>
  <c r="AG204" i="1"/>
  <c r="AH94" i="1"/>
  <c r="W84" i="1"/>
  <c r="I198" i="1"/>
  <c r="I226" i="1" s="1"/>
  <c r="AC201" i="1"/>
  <c r="AC229" i="1" s="1"/>
  <c r="J193" i="1"/>
  <c r="J221" i="1" s="1"/>
  <c r="D84" i="1"/>
  <c r="AG192" i="1"/>
  <c r="AG220" i="1" s="1"/>
  <c r="P185" i="1"/>
  <c r="P213" i="1" s="1"/>
  <c r="S193" i="1"/>
  <c r="S221" i="1" s="1"/>
  <c r="M198" i="1"/>
  <c r="M226" i="1" s="1"/>
  <c r="S201" i="1"/>
  <c r="S229" i="1" s="1"/>
  <c r="T199" i="1"/>
  <c r="T227" i="1" s="1"/>
  <c r="L183" i="1"/>
  <c r="L211" i="1" s="1"/>
  <c r="O39" i="1"/>
  <c r="AA199" i="1"/>
  <c r="AA227" i="1" s="1"/>
  <c r="H53" i="1"/>
  <c r="S204" i="1"/>
  <c r="J39" i="1"/>
  <c r="D212" i="1"/>
  <c r="M180" i="1"/>
  <c r="M208" i="1" s="1"/>
  <c r="AC197" i="1"/>
  <c r="AC225" i="1" s="1"/>
  <c r="P192" i="1"/>
  <c r="P220" i="1" s="1"/>
  <c r="O53" i="1"/>
  <c r="AE185" i="1"/>
  <c r="AE213" i="1" s="1"/>
  <c r="AG183" i="1"/>
  <c r="AG211" i="1" s="1"/>
  <c r="I183" i="1"/>
  <c r="I211" i="1" s="1"/>
  <c r="F39" i="1"/>
  <c r="Z192" i="1"/>
  <c r="Z220" i="1" s="1"/>
  <c r="V178" i="1"/>
  <c r="D208" i="1"/>
  <c r="U180" i="1"/>
  <c r="U208" i="1" s="1"/>
  <c r="U193" i="1"/>
  <c r="U221" i="1" s="1"/>
  <c r="P200" i="1"/>
  <c r="P228" i="1" s="1"/>
  <c r="Q180" i="1"/>
  <c r="Q208" i="1" s="1"/>
  <c r="H193" i="1"/>
  <c r="H221" i="1" s="1"/>
  <c r="AH93" i="1"/>
  <c r="AF197" i="1"/>
  <c r="AF225" i="1" s="1"/>
  <c r="AH57" i="1"/>
  <c r="O198" i="1"/>
  <c r="O226" i="1" s="1"/>
  <c r="AF192" i="1"/>
  <c r="AF220" i="1" s="1"/>
  <c r="J197" i="1"/>
  <c r="J225" i="1" s="1"/>
  <c r="N193" i="1"/>
  <c r="N221" i="1" s="1"/>
  <c r="P191" i="1"/>
  <c r="P219" i="1" s="1"/>
  <c r="U186" i="1"/>
  <c r="U214" i="1" s="1"/>
  <c r="AD191" i="1"/>
  <c r="AD219" i="1" s="1"/>
  <c r="G178" i="1"/>
  <c r="I185" i="1"/>
  <c r="I213" i="1" s="1"/>
  <c r="Z180" i="1"/>
  <c r="Z208" i="1" s="1"/>
  <c r="I186" i="1"/>
  <c r="I214" i="1" s="1"/>
  <c r="N194" i="1"/>
  <c r="N222" i="1" s="1"/>
  <c r="D206" i="1"/>
  <c r="V199" i="1"/>
  <c r="V227" i="1" s="1"/>
  <c r="W197" i="1"/>
  <c r="W225" i="1" s="1"/>
  <c r="Y191" i="1"/>
  <c r="Y219" i="1" s="1"/>
  <c r="W191" i="1"/>
  <c r="W219" i="1" s="1"/>
  <c r="Y186" i="1"/>
  <c r="Y214" i="1" s="1"/>
  <c r="AF200" i="1"/>
  <c r="AF228" i="1" s="1"/>
  <c r="V198" i="1"/>
  <c r="V226" i="1" s="1"/>
  <c r="X192" i="1"/>
  <c r="X220" i="1" s="1"/>
  <c r="E53" i="1"/>
  <c r="K178" i="1"/>
  <c r="K206" i="1" s="1"/>
  <c r="AE195" i="1"/>
  <c r="AE223" i="1" s="1"/>
  <c r="N185" i="1"/>
  <c r="N213" i="1" s="1"/>
  <c r="P183" i="1"/>
  <c r="P211" i="1" s="1"/>
  <c r="AG178" i="1"/>
  <c r="AG206" i="1" s="1"/>
  <c r="I191" i="1"/>
  <c r="I219" i="1" s="1"/>
  <c r="U191" i="1"/>
  <c r="U219" i="1" s="1"/>
  <c r="Q53" i="1"/>
  <c r="D209" i="1"/>
  <c r="O192" i="1"/>
  <c r="O220" i="1" s="1"/>
  <c r="G53" i="1"/>
  <c r="X198" i="1"/>
  <c r="X226" i="1" s="1"/>
  <c r="H200" i="1"/>
  <c r="H228" i="1" s="1"/>
  <c r="AG197" i="1"/>
  <c r="AG225" i="1" s="1"/>
  <c r="Q201" i="1"/>
  <c r="Q229" i="1" s="1"/>
  <c r="T197" i="1"/>
  <c r="T225" i="1" s="1"/>
  <c r="AB199" i="1"/>
  <c r="AB227" i="1" s="1"/>
  <c r="AF195" i="1"/>
  <c r="AF223" i="1" s="1"/>
  <c r="D221" i="1"/>
  <c r="AH130" i="1"/>
  <c r="AD195" i="1"/>
  <c r="AD223" i="1" s="1"/>
  <c r="U192" i="1"/>
  <c r="U220" i="1" s="1"/>
  <c r="L200" i="1"/>
  <c r="L228" i="1" s="1"/>
  <c r="T192" i="1"/>
  <c r="T220" i="1" s="1"/>
  <c r="Z186" i="1"/>
  <c r="Z214" i="1" s="1"/>
  <c r="P195" i="1"/>
  <c r="P223" i="1" s="1"/>
  <c r="AH89" i="1"/>
  <c r="G194" i="1"/>
  <c r="G222" i="1" s="1"/>
  <c r="I199" i="1"/>
  <c r="I227" i="1" s="1"/>
  <c r="AH61" i="1"/>
  <c r="E195" i="1"/>
  <c r="Z201" i="1"/>
  <c r="Z229" i="1" s="1"/>
  <c r="Q191" i="1"/>
  <c r="Q219" i="1" s="1"/>
  <c r="W183" i="1"/>
  <c r="W211" i="1" s="1"/>
  <c r="M186" i="1"/>
  <c r="M214" i="1" s="1"/>
  <c r="I39" i="1"/>
  <c r="G192" i="1"/>
  <c r="G220" i="1" s="1"/>
  <c r="S185" i="1"/>
  <c r="S213" i="1" s="1"/>
  <c r="U183" i="1"/>
  <c r="U211" i="1" s="1"/>
  <c r="AD186" i="1"/>
  <c r="AD214" i="1" s="1"/>
  <c r="L39" i="1"/>
  <c r="R178" i="1"/>
  <c r="R206" i="1" s="1"/>
  <c r="X197" i="1"/>
  <c r="X225" i="1" s="1"/>
  <c r="N192" i="1"/>
  <c r="N220" i="1" s="1"/>
  <c r="F53" i="1"/>
  <c r="AA39" i="1"/>
  <c r="T200" i="1"/>
  <c r="T228" i="1" s="1"/>
  <c r="E190" i="1"/>
  <c r="J178" i="1"/>
  <c r="V39" i="1"/>
  <c r="H198" i="1"/>
  <c r="H226" i="1" s="1"/>
  <c r="AF53" i="1"/>
  <c r="X199" i="1"/>
  <c r="X227" i="1" s="1"/>
  <c r="D211" i="1"/>
  <c r="D39" i="1"/>
  <c r="I197" i="1"/>
  <c r="I225" i="1" s="1"/>
  <c r="P199" i="1"/>
  <c r="P227" i="1" s="1"/>
  <c r="W192" i="1"/>
  <c r="W220" i="1" s="1"/>
  <c r="Y199" i="1"/>
  <c r="Y227" i="1" s="1"/>
  <c r="AF180" i="1"/>
  <c r="AF208" i="1" s="1"/>
  <c r="AC193" i="1"/>
  <c r="AC221" i="1" s="1"/>
  <c r="AG198" i="1"/>
  <c r="AG226" i="1" s="1"/>
  <c r="D225" i="1"/>
  <c r="F193" i="1"/>
  <c r="F221" i="1" s="1"/>
  <c r="G191" i="1"/>
  <c r="G219" i="1" s="1"/>
  <c r="AA180" i="1"/>
  <c r="AA208" i="1" s="1"/>
  <c r="N201" i="1"/>
  <c r="N229" i="1" s="1"/>
  <c r="O199" i="1"/>
  <c r="O227" i="1" s="1"/>
  <c r="R191" i="1"/>
  <c r="R219" i="1" s="1"/>
  <c r="N180" i="1"/>
  <c r="N208" i="1" s="1"/>
  <c r="O178" i="1"/>
  <c r="I204" i="1"/>
  <c r="U185" i="1"/>
  <c r="U213" i="1" s="1"/>
  <c r="T185" i="1"/>
  <c r="T213" i="1" s="1"/>
  <c r="AE192" i="1"/>
  <c r="AE220" i="1" s="1"/>
  <c r="AB53" i="1"/>
  <c r="L204" i="1"/>
  <c r="AA204" i="1"/>
  <c r="I193" i="1"/>
  <c r="I221" i="1" s="1"/>
  <c r="J199" i="1"/>
  <c r="J227" i="1" s="1"/>
  <c r="K197" i="1"/>
  <c r="K225" i="1" s="1"/>
  <c r="M191" i="1"/>
  <c r="M219" i="1" s="1"/>
  <c r="O183" i="1"/>
  <c r="O211" i="1" s="1"/>
  <c r="AG53" i="1"/>
  <c r="T178" i="1"/>
  <c r="T206" i="1" s="1"/>
  <c r="AE180" i="1"/>
  <c r="AE208" i="1" s="1"/>
  <c r="U178" i="1"/>
  <c r="U206" i="1" s="1"/>
  <c r="P180" i="1"/>
  <c r="P208" i="1" s="1"/>
  <c r="AF190" i="1"/>
  <c r="X185" i="1"/>
  <c r="X213" i="1" s="1"/>
  <c r="Z183" i="1"/>
  <c r="Z211" i="1" s="1"/>
  <c r="W186" i="1"/>
  <c r="W214" i="1" s="1"/>
  <c r="AH10" i="1"/>
  <c r="X39" i="1"/>
  <c r="AH62" i="1"/>
  <c r="AH65" i="1"/>
  <c r="AD53" i="1"/>
  <c r="P204" i="1"/>
  <c r="Z204" i="1"/>
  <c r="L198" i="1"/>
  <c r="L226" i="1" s="1"/>
  <c r="L84" i="1"/>
  <c r="AH87" i="1"/>
  <c r="AE199" i="1"/>
  <c r="AE227" i="1" s="1"/>
  <c r="U197" i="1"/>
  <c r="U225" i="1" s="1"/>
  <c r="X193" i="1"/>
  <c r="X221" i="1" s="1"/>
  <c r="G199" i="1"/>
  <c r="G227" i="1" s="1"/>
  <c r="K192" i="1"/>
  <c r="K220" i="1" s="1"/>
  <c r="AB197" i="1"/>
  <c r="AB225" i="1" s="1"/>
  <c r="I192" i="1"/>
  <c r="I220" i="1" s="1"/>
  <c r="AA185" i="1"/>
  <c r="AA213" i="1" s="1"/>
  <c r="T180" i="1"/>
  <c r="T208" i="1" s="1"/>
  <c r="Z197" i="1"/>
  <c r="Z225" i="1" s="1"/>
  <c r="AC53" i="1"/>
  <c r="AA193" i="1"/>
  <c r="AA221" i="1" s="1"/>
  <c r="R186" i="1"/>
  <c r="R214" i="1" s="1"/>
  <c r="K39" i="1"/>
  <c r="F192" i="1"/>
  <c r="F220" i="1" s="1"/>
  <c r="AH63" i="1"/>
  <c r="AG195" i="1"/>
  <c r="AG223" i="1" s="1"/>
  <c r="I180" i="1"/>
  <c r="I208" i="1" s="1"/>
  <c r="J198" i="1"/>
  <c r="J226" i="1" s="1"/>
  <c r="AG190" i="1"/>
  <c r="AB180" i="1"/>
  <c r="AB208" i="1" s="1"/>
  <c r="AH96" i="1"/>
  <c r="S180" i="1"/>
  <c r="S208" i="1" s="1"/>
  <c r="T39" i="1"/>
  <c r="T190" i="1"/>
  <c r="AH39" i="1"/>
  <c r="U294" i="1" l="1"/>
  <c r="X282" i="1"/>
  <c r="X254" i="1"/>
  <c r="X262" i="1"/>
  <c r="X261" i="1" s="1"/>
  <c r="Y255" i="1"/>
  <c r="V293" i="1"/>
  <c r="Y252" i="1"/>
  <c r="Y259" i="1" s="1"/>
  <c r="Y258" i="1" s="1"/>
  <c r="X279" i="1"/>
  <c r="X251" i="1"/>
  <c r="W278" i="1"/>
  <c r="W285" i="1"/>
  <c r="W284" i="1" s="1"/>
  <c r="W291" i="1" s="1"/>
  <c r="W281" i="1"/>
  <c r="W288" i="1"/>
  <c r="W287" i="1" s="1"/>
  <c r="W292" i="1" s="1"/>
  <c r="G157" i="6"/>
  <c r="G158" i="6" s="1"/>
  <c r="G63" i="3"/>
  <c r="G61" i="6" s="1"/>
  <c r="G61" i="3"/>
  <c r="G59" i="6" s="1"/>
  <c r="G62" i="3"/>
  <c r="G60" i="6" s="1"/>
  <c r="G166" i="6"/>
  <c r="AJ166" i="6" s="1"/>
  <c r="G113" i="6"/>
  <c r="AJ112" i="6"/>
  <c r="G121" i="6"/>
  <c r="AJ117" i="6"/>
  <c r="D189" i="1"/>
  <c r="AH91" i="1"/>
  <c r="L196" i="1"/>
  <c r="L224" i="1" s="1"/>
  <c r="H196" i="1"/>
  <c r="H224" i="1" s="1"/>
  <c r="AF196" i="1"/>
  <c r="AF224" i="1" s="1"/>
  <c r="AH212" i="1"/>
  <c r="D237" i="1"/>
  <c r="D301" i="1" s="1"/>
  <c r="AD196" i="1"/>
  <c r="AD224" i="1" s="1"/>
  <c r="AH205" i="1"/>
  <c r="AH184" i="1"/>
  <c r="I217" i="1"/>
  <c r="I233" i="1" s="1"/>
  <c r="H84" i="1"/>
  <c r="P203" i="1"/>
  <c r="P232" i="1" s="1"/>
  <c r="AH177" i="1"/>
  <c r="AH181" i="1"/>
  <c r="AH209" i="1"/>
  <c r="X196" i="1"/>
  <c r="X224" i="1" s="1"/>
  <c r="O196" i="1"/>
  <c r="O224" i="1" s="1"/>
  <c r="Z196" i="1"/>
  <c r="Z224" i="1" s="1"/>
  <c r="J196" i="1"/>
  <c r="J224" i="1" s="1"/>
  <c r="AA196" i="1"/>
  <c r="AA224" i="1" s="1"/>
  <c r="Q196" i="1"/>
  <c r="Q224" i="1" s="1"/>
  <c r="AG196" i="1"/>
  <c r="AG224" i="1" s="1"/>
  <c r="M196" i="1"/>
  <c r="M224" i="1" s="1"/>
  <c r="AC196" i="1"/>
  <c r="AC224" i="1" s="1"/>
  <c r="Y196" i="1"/>
  <c r="Y224" i="1" s="1"/>
  <c r="K196" i="1"/>
  <c r="K224" i="1" s="1"/>
  <c r="N196" i="1"/>
  <c r="N224" i="1" s="1"/>
  <c r="W196" i="1"/>
  <c r="W224" i="1" s="1"/>
  <c r="G196" i="1"/>
  <c r="G224" i="1" s="1"/>
  <c r="G217" i="1" s="1"/>
  <c r="G233" i="1" s="1"/>
  <c r="T196" i="1"/>
  <c r="T224" i="1" s="1"/>
  <c r="P196" i="1"/>
  <c r="P224" i="1" s="1"/>
  <c r="AB196" i="1"/>
  <c r="AB224" i="1" s="1"/>
  <c r="U196" i="1"/>
  <c r="U224" i="1" s="1"/>
  <c r="S196" i="1"/>
  <c r="S224" i="1" s="1"/>
  <c r="V196" i="1"/>
  <c r="V224" i="1" s="1"/>
  <c r="AE196" i="1"/>
  <c r="AE224" i="1" s="1"/>
  <c r="AH182" i="1"/>
  <c r="AH210" i="1"/>
  <c r="R196" i="1"/>
  <c r="R224" i="1" s="1"/>
  <c r="Z175" i="1"/>
  <c r="AA175" i="1"/>
  <c r="W203" i="1"/>
  <c r="W232" i="1" s="1"/>
  <c r="Z203" i="1"/>
  <c r="Z232" i="1" s="1"/>
  <c r="L203" i="1"/>
  <c r="L232" i="1" s="1"/>
  <c r="H175" i="1"/>
  <c r="H203" i="1"/>
  <c r="H232" i="1" s="1"/>
  <c r="AB203" i="1"/>
  <c r="AB232" i="1" s="1"/>
  <c r="AH228" i="1"/>
  <c r="W175" i="1"/>
  <c r="AH213" i="1"/>
  <c r="AA203" i="1"/>
  <c r="AA232" i="1" s="1"/>
  <c r="P175" i="1"/>
  <c r="AG218" i="1"/>
  <c r="L175" i="1"/>
  <c r="AH200" i="1"/>
  <c r="AH221" i="1"/>
  <c r="AH180" i="1"/>
  <c r="T203" i="1"/>
  <c r="T232" i="1" s="1"/>
  <c r="AD203" i="1"/>
  <c r="AD232" i="1" s="1"/>
  <c r="AH208" i="1"/>
  <c r="AH198" i="1"/>
  <c r="V206" i="1"/>
  <c r="V203" i="1" s="1"/>
  <c r="V232" i="1" s="1"/>
  <c r="V175" i="1"/>
  <c r="U203" i="1"/>
  <c r="U232" i="1" s="1"/>
  <c r="AH207" i="1"/>
  <c r="AE206" i="1"/>
  <c r="AE203" i="1" s="1"/>
  <c r="AE232" i="1" s="1"/>
  <c r="AE175" i="1"/>
  <c r="Y175" i="1"/>
  <c r="AH226" i="1"/>
  <c r="U218" i="1"/>
  <c r="AH214" i="1"/>
  <c r="U175" i="1"/>
  <c r="AH179" i="1"/>
  <c r="Y203" i="1"/>
  <c r="Y232" i="1" s="1"/>
  <c r="AH204" i="1"/>
  <c r="D203" i="1"/>
  <c r="D232" i="1" s="1"/>
  <c r="X203" i="1"/>
  <c r="X232" i="1" s="1"/>
  <c r="AH185" i="1"/>
  <c r="AB175" i="1"/>
  <c r="AH194" i="1"/>
  <c r="AH186" i="1"/>
  <c r="AC175" i="1"/>
  <c r="X218" i="1"/>
  <c r="X175" i="1"/>
  <c r="AD175" i="1"/>
  <c r="M175" i="1"/>
  <c r="F206" i="1"/>
  <c r="F203" i="1" s="1"/>
  <c r="F232" i="1" s="1"/>
  <c r="F175" i="1"/>
  <c r="AC203" i="1"/>
  <c r="AC232" i="1" s="1"/>
  <c r="AH191" i="1"/>
  <c r="AH178" i="1"/>
  <c r="T218" i="1"/>
  <c r="J206" i="1"/>
  <c r="J203" i="1" s="1"/>
  <c r="J232" i="1" s="1"/>
  <c r="J175" i="1"/>
  <c r="R175" i="1"/>
  <c r="M203" i="1"/>
  <c r="M232" i="1" s="1"/>
  <c r="AE218" i="1"/>
  <c r="AH219" i="1"/>
  <c r="AH229" i="1"/>
  <c r="AH197" i="1"/>
  <c r="AH183" i="1"/>
  <c r="AH199" i="1"/>
  <c r="R203" i="1"/>
  <c r="R232" i="1" s="1"/>
  <c r="AH192" i="1"/>
  <c r="AH201" i="1"/>
  <c r="AH225" i="1"/>
  <c r="AH211" i="1"/>
  <c r="E218" i="1"/>
  <c r="E189" i="1"/>
  <c r="S175" i="1"/>
  <c r="AH227" i="1"/>
  <c r="AH220" i="1"/>
  <c r="Q206" i="1"/>
  <c r="Q203" i="1" s="1"/>
  <c r="Q232" i="1" s="1"/>
  <c r="Q175" i="1"/>
  <c r="K175" i="1"/>
  <c r="AF218" i="1"/>
  <c r="I175" i="1"/>
  <c r="E223" i="1"/>
  <c r="AH223" i="1" s="1"/>
  <c r="AH195" i="1"/>
  <c r="S203" i="1"/>
  <c r="S232" i="1" s="1"/>
  <c r="AG203" i="1"/>
  <c r="AG232" i="1" s="1"/>
  <c r="AF175" i="1"/>
  <c r="K203" i="1"/>
  <c r="K232" i="1" s="1"/>
  <c r="F189" i="1"/>
  <c r="I203" i="1"/>
  <c r="I232" i="1" s="1"/>
  <c r="G206" i="1"/>
  <c r="G203" i="1" s="1"/>
  <c r="G232" i="1" s="1"/>
  <c r="G175" i="1"/>
  <c r="AG175" i="1"/>
  <c r="N175" i="1"/>
  <c r="AF203" i="1"/>
  <c r="AF232" i="1" s="1"/>
  <c r="AH53" i="1"/>
  <c r="F217" i="1"/>
  <c r="F233" i="1" s="1"/>
  <c r="O206" i="1"/>
  <c r="O203" i="1" s="1"/>
  <c r="O232" i="1" s="1"/>
  <c r="O175" i="1"/>
  <c r="AH193" i="1"/>
  <c r="AH190" i="1"/>
  <c r="T175" i="1"/>
  <c r="N203" i="1"/>
  <c r="N232" i="1" s="1"/>
  <c r="W293" i="1" l="1"/>
  <c r="V294" i="1"/>
  <c r="V297" i="1"/>
  <c r="Y251" i="1"/>
  <c r="Z252" i="1"/>
  <c r="Z259" i="1" s="1"/>
  <c r="Z258" i="1" s="1"/>
  <c r="Y279" i="1"/>
  <c r="Y254" i="1"/>
  <c r="Y262" i="1"/>
  <c r="Y261" i="1" s="1"/>
  <c r="Z255" i="1"/>
  <c r="Y282" i="1"/>
  <c r="X278" i="1"/>
  <c r="X285" i="1"/>
  <c r="X284" i="1" s="1"/>
  <c r="X291" i="1" s="1"/>
  <c r="X281" i="1"/>
  <c r="X288" i="1"/>
  <c r="X287" i="1" s="1"/>
  <c r="X292" i="1" s="1"/>
  <c r="AJ157" i="6"/>
  <c r="H63" i="3"/>
  <c r="H61" i="6" s="1"/>
  <c r="H62" i="3"/>
  <c r="H60" i="6" s="1"/>
  <c r="H61" i="3"/>
  <c r="H59" i="6" s="1"/>
  <c r="R62" i="3"/>
  <c r="R60" i="6" s="1"/>
  <c r="R61" i="3"/>
  <c r="R59" i="6" s="1"/>
  <c r="R63" i="3"/>
  <c r="R61" i="6" s="1"/>
  <c r="AH61" i="3"/>
  <c r="AH59" i="6" s="1"/>
  <c r="AH63" i="3"/>
  <c r="AH61" i="6" s="1"/>
  <c r="AH62" i="3"/>
  <c r="AH60" i="6" s="1"/>
  <c r="Q61" i="3"/>
  <c r="Q59" i="6" s="1"/>
  <c r="Q62" i="3"/>
  <c r="Q60" i="6" s="1"/>
  <c r="Q63" i="3"/>
  <c r="Q61" i="6" s="1"/>
  <c r="U62" i="3"/>
  <c r="U60" i="6" s="1"/>
  <c r="U61" i="3"/>
  <c r="U59" i="6" s="1"/>
  <c r="U63" i="3"/>
  <c r="U61" i="6" s="1"/>
  <c r="X61" i="3"/>
  <c r="X59" i="6" s="1"/>
  <c r="X63" i="3"/>
  <c r="X61" i="6" s="1"/>
  <c r="X62" i="3"/>
  <c r="X60" i="6" s="1"/>
  <c r="O63" i="3"/>
  <c r="O61" i="6" s="1"/>
  <c r="O61" i="3"/>
  <c r="O59" i="6" s="1"/>
  <c r="O62" i="3"/>
  <c r="O60" i="6" s="1"/>
  <c r="AF63" i="3"/>
  <c r="AF61" i="6" s="1"/>
  <c r="AF62" i="3"/>
  <c r="AF60" i="6" s="1"/>
  <c r="AF61" i="3"/>
  <c r="AF59" i="6" s="1"/>
  <c r="Y62" i="3"/>
  <c r="Y60" i="6" s="1"/>
  <c r="Y63" i="3"/>
  <c r="Y61" i="6" s="1"/>
  <c r="Y61" i="3"/>
  <c r="Y59" i="6" s="1"/>
  <c r="Z63" i="3"/>
  <c r="Z61" i="6" s="1"/>
  <c r="Z62" i="3"/>
  <c r="Z60" i="6" s="1"/>
  <c r="Z61" i="3"/>
  <c r="Z59" i="6" s="1"/>
  <c r="W63" i="3"/>
  <c r="W61" i="6" s="1"/>
  <c r="W62" i="3"/>
  <c r="W60" i="6" s="1"/>
  <c r="W61" i="3"/>
  <c r="W59" i="6" s="1"/>
  <c r="T62" i="3"/>
  <c r="T60" i="6" s="1"/>
  <c r="T63" i="3"/>
  <c r="T61" i="6" s="1"/>
  <c r="T61" i="3"/>
  <c r="T59" i="6" s="1"/>
  <c r="P62" i="3"/>
  <c r="P60" i="6" s="1"/>
  <c r="P61" i="3"/>
  <c r="P59" i="6" s="1"/>
  <c r="P63" i="3"/>
  <c r="P61" i="6" s="1"/>
  <c r="L63" i="3"/>
  <c r="L61" i="6" s="1"/>
  <c r="L61" i="3"/>
  <c r="L59" i="6" s="1"/>
  <c r="L62" i="3"/>
  <c r="L60" i="6" s="1"/>
  <c r="AB63" i="3"/>
  <c r="AB61" i="6" s="1"/>
  <c r="AB61" i="3"/>
  <c r="AB59" i="6" s="1"/>
  <c r="AB62" i="3"/>
  <c r="AB60" i="6" s="1"/>
  <c r="K63" i="3"/>
  <c r="K61" i="6" s="1"/>
  <c r="K62" i="3"/>
  <c r="K60" i="6" s="1"/>
  <c r="K61" i="3"/>
  <c r="K59" i="6" s="1"/>
  <c r="AE61" i="3"/>
  <c r="AE59" i="6" s="1"/>
  <c r="AE63" i="3"/>
  <c r="AE61" i="6" s="1"/>
  <c r="AE62" i="3"/>
  <c r="AE60" i="6" s="1"/>
  <c r="AI63" i="3"/>
  <c r="AI61" i="6" s="1"/>
  <c r="AI62" i="3"/>
  <c r="AI60" i="6" s="1"/>
  <c r="AI61" i="3"/>
  <c r="AI59" i="6" s="1"/>
  <c r="J63" i="3"/>
  <c r="J61" i="6" s="1"/>
  <c r="J61" i="3"/>
  <c r="J59" i="6" s="1"/>
  <c r="J62" i="3"/>
  <c r="J60" i="6" s="1"/>
  <c r="I62" i="3"/>
  <c r="I60" i="6" s="1"/>
  <c r="I63" i="3"/>
  <c r="I61" i="6" s="1"/>
  <c r="I61" i="3"/>
  <c r="I59" i="6" s="1"/>
  <c r="AA61" i="3"/>
  <c r="AA59" i="6" s="1"/>
  <c r="AA62" i="3"/>
  <c r="AA60" i="6" s="1"/>
  <c r="AA63" i="3"/>
  <c r="AA61" i="6" s="1"/>
  <c r="S62" i="3"/>
  <c r="S60" i="6" s="1"/>
  <c r="S61" i="3"/>
  <c r="S59" i="6" s="1"/>
  <c r="S63" i="3"/>
  <c r="S61" i="6" s="1"/>
  <c r="AD61" i="3"/>
  <c r="AD59" i="6" s="1"/>
  <c r="AD62" i="3"/>
  <c r="AD60" i="6" s="1"/>
  <c r="AD63" i="3"/>
  <c r="AD61" i="6" s="1"/>
  <c r="AG62" i="3"/>
  <c r="AG60" i="6" s="1"/>
  <c r="AG61" i="3"/>
  <c r="AG59" i="6" s="1"/>
  <c r="AG63" i="3"/>
  <c r="AG61" i="6" s="1"/>
  <c r="M61" i="3"/>
  <c r="M59" i="6" s="1"/>
  <c r="M62" i="3"/>
  <c r="M60" i="6" s="1"/>
  <c r="M63" i="3"/>
  <c r="M61" i="6" s="1"/>
  <c r="V61" i="3"/>
  <c r="V59" i="6" s="1"/>
  <c r="V63" i="3"/>
  <c r="V61" i="6" s="1"/>
  <c r="V62" i="3"/>
  <c r="V60" i="6" s="1"/>
  <c r="N63" i="3"/>
  <c r="N61" i="6" s="1"/>
  <c r="N62" i="3"/>
  <c r="N60" i="6" s="1"/>
  <c r="N61" i="3"/>
  <c r="N59" i="6" s="1"/>
  <c r="AC61" i="3"/>
  <c r="AC59" i="6" s="1"/>
  <c r="AC62" i="3"/>
  <c r="AC60" i="6" s="1"/>
  <c r="AC63" i="3"/>
  <c r="AC61" i="6" s="1"/>
  <c r="G167" i="6"/>
  <c r="G159" i="6"/>
  <c r="AJ158" i="6"/>
  <c r="G122" i="6"/>
  <c r="AJ122" i="6" s="1"/>
  <c r="AJ121" i="6"/>
  <c r="G114" i="6"/>
  <c r="AJ114" i="6" s="1"/>
  <c r="AJ113" i="6"/>
  <c r="J217" i="1"/>
  <c r="J233" i="1" s="1"/>
  <c r="J234" i="1" s="1"/>
  <c r="L14" i="3" s="1"/>
  <c r="AI57" i="3"/>
  <c r="W57" i="3"/>
  <c r="K57" i="3"/>
  <c r="R57" i="3"/>
  <c r="AA57" i="3"/>
  <c r="Y57" i="3"/>
  <c r="L57" i="3"/>
  <c r="AH57" i="3"/>
  <c r="V57" i="3"/>
  <c r="J57" i="3"/>
  <c r="AD57" i="3"/>
  <c r="M57" i="3"/>
  <c r="AG57" i="3"/>
  <c r="U57" i="3"/>
  <c r="I57" i="3"/>
  <c r="X57" i="3"/>
  <c r="AF57" i="3"/>
  <c r="T57" i="3"/>
  <c r="H57" i="3"/>
  <c r="O57" i="3"/>
  <c r="AE57" i="3"/>
  <c r="S57" i="3"/>
  <c r="G57" i="3"/>
  <c r="Z57" i="3"/>
  <c r="AC57" i="3"/>
  <c r="Q57" i="3"/>
  <c r="AB57" i="3"/>
  <c r="P57" i="3"/>
  <c r="N57" i="3"/>
  <c r="AH222" i="1"/>
  <c r="L217" i="1"/>
  <c r="L233" i="1" s="1"/>
  <c r="L234" i="1" s="1"/>
  <c r="N14" i="3" s="1"/>
  <c r="AA217" i="1"/>
  <c r="AA233" i="1" s="1"/>
  <c r="AA234" i="1" s="1"/>
  <c r="AC14" i="3" s="1"/>
  <c r="H217" i="1"/>
  <c r="H233" i="1" s="1"/>
  <c r="H234" i="1" s="1"/>
  <c r="AF217" i="1"/>
  <c r="AF233" i="1" s="1"/>
  <c r="AF234" i="1" s="1"/>
  <c r="AH14" i="3" s="1"/>
  <c r="AF189" i="1"/>
  <c r="AC217" i="1"/>
  <c r="AC233" i="1" s="1"/>
  <c r="AC234" i="1" s="1"/>
  <c r="AE14" i="3" s="1"/>
  <c r="Q217" i="1"/>
  <c r="Q233" i="1" s="1"/>
  <c r="Q234" i="1" s="1"/>
  <c r="S14" i="3" s="1"/>
  <c r="S217" i="1"/>
  <c r="S233" i="1" s="1"/>
  <c r="S234" i="1" s="1"/>
  <c r="U14" i="3" s="1"/>
  <c r="M217" i="1"/>
  <c r="M233" i="1" s="1"/>
  <c r="M234" i="1" s="1"/>
  <c r="O14" i="3" s="1"/>
  <c r="M189" i="1"/>
  <c r="U189" i="1"/>
  <c r="U217" i="1"/>
  <c r="U233" i="1" s="1"/>
  <c r="U234" i="1" s="1"/>
  <c r="W14" i="3" s="1"/>
  <c r="R217" i="1"/>
  <c r="R233" i="1" s="1"/>
  <c r="R234" i="1" s="1"/>
  <c r="T14" i="3" s="1"/>
  <c r="N217" i="1"/>
  <c r="N233" i="1" s="1"/>
  <c r="N234" i="1" s="1"/>
  <c r="P14" i="3" s="1"/>
  <c r="AD189" i="1"/>
  <c r="L189" i="1"/>
  <c r="P217" i="1"/>
  <c r="P233" i="1" s="1"/>
  <c r="P234" i="1" s="1"/>
  <c r="R14" i="3" s="1"/>
  <c r="Y217" i="1"/>
  <c r="Y233" i="1" s="1"/>
  <c r="Y234" i="1" s="1"/>
  <c r="AA14" i="3" s="1"/>
  <c r="Q189" i="1"/>
  <c r="Z217" i="1"/>
  <c r="Z233" i="1" s="1"/>
  <c r="Z234" i="1" s="1"/>
  <c r="AB14" i="3" s="1"/>
  <c r="V217" i="1"/>
  <c r="V233" i="1" s="1"/>
  <c r="V234" i="1" s="1"/>
  <c r="X14" i="3" s="1"/>
  <c r="X189" i="1"/>
  <c r="O217" i="1"/>
  <c r="O233" i="1" s="1"/>
  <c r="O234" i="1" s="1"/>
  <c r="Q14" i="3" s="1"/>
  <c r="AD217" i="1"/>
  <c r="AD233" i="1" s="1"/>
  <c r="AD234" i="1" s="1"/>
  <c r="AF14" i="3" s="1"/>
  <c r="I189" i="1"/>
  <c r="K217" i="1"/>
  <c r="K233" i="1" s="1"/>
  <c r="K234" i="1" s="1"/>
  <c r="M14" i="3" s="1"/>
  <c r="Y189" i="1"/>
  <c r="T217" i="1"/>
  <c r="T233" i="1" s="1"/>
  <c r="T234" i="1" s="1"/>
  <c r="V14" i="3" s="1"/>
  <c r="X217" i="1"/>
  <c r="X233" i="1" s="1"/>
  <c r="X234" i="1" s="1"/>
  <c r="Z14" i="3" s="1"/>
  <c r="H189" i="1"/>
  <c r="W217" i="1"/>
  <c r="W233" i="1" s="1"/>
  <c r="W234" i="1" s="1"/>
  <c r="Y14" i="3" s="1"/>
  <c r="AE217" i="1"/>
  <c r="AE233" i="1" s="1"/>
  <c r="AE234" i="1" s="1"/>
  <c r="AG14" i="3" s="1"/>
  <c r="Z189" i="1"/>
  <c r="R189" i="1"/>
  <c r="J189" i="1"/>
  <c r="AC189" i="1"/>
  <c r="G189" i="1"/>
  <c r="S189" i="1"/>
  <c r="O189" i="1"/>
  <c r="P189" i="1"/>
  <c r="AH224" i="1"/>
  <c r="AA189" i="1"/>
  <c r="K189" i="1"/>
  <c r="V189" i="1"/>
  <c r="T189" i="1"/>
  <c r="AG189" i="1"/>
  <c r="AE189" i="1"/>
  <c r="N189" i="1"/>
  <c r="AB217" i="1"/>
  <c r="AB233" i="1" s="1"/>
  <c r="AB234" i="1" s="1"/>
  <c r="AD14" i="3" s="1"/>
  <c r="AG217" i="1"/>
  <c r="AG233" i="1" s="1"/>
  <c r="AG234" i="1" s="1"/>
  <c r="AI14" i="3" s="1"/>
  <c r="W189" i="1"/>
  <c r="AH196" i="1"/>
  <c r="AB189" i="1"/>
  <c r="E217" i="1"/>
  <c r="E233" i="1" s="1"/>
  <c r="E234" i="1" s="1"/>
  <c r="G234" i="1"/>
  <c r="AH175" i="1"/>
  <c r="F234" i="1"/>
  <c r="AH206" i="1"/>
  <c r="AH203" i="1" s="1"/>
  <c r="I234" i="1"/>
  <c r="AH218" i="1"/>
  <c r="D217" i="1"/>
  <c r="D233" i="1" s="1"/>
  <c r="D234" i="1" s="1"/>
  <c r="G14" i="3" l="1"/>
  <c r="E302" i="1"/>
  <c r="K14" i="3"/>
  <c r="I302" i="1"/>
  <c r="H14" i="3"/>
  <c r="F302" i="1"/>
  <c r="J14" i="3"/>
  <c r="H302" i="1"/>
  <c r="I14" i="3"/>
  <c r="G302" i="1"/>
  <c r="X293" i="1"/>
  <c r="X297" i="1" s="1"/>
  <c r="Z279" i="1"/>
  <c r="AA252" i="1"/>
  <c r="AA259" i="1" s="1"/>
  <c r="AA258" i="1" s="1"/>
  <c r="Z251" i="1"/>
  <c r="Y281" i="1"/>
  <c r="Y288" i="1"/>
  <c r="Y287" i="1" s="1"/>
  <c r="Y292" i="1" s="1"/>
  <c r="Y278" i="1"/>
  <c r="Y285" i="1"/>
  <c r="Y284" i="1" s="1"/>
  <c r="Y291" i="1" s="1"/>
  <c r="Z262" i="1"/>
  <c r="Z261" i="1" s="1"/>
  <c r="AA255" i="1"/>
  <c r="Z282" i="1"/>
  <c r="Z254" i="1"/>
  <c r="W294" i="1"/>
  <c r="W297" i="1"/>
  <c r="Q58" i="3"/>
  <c r="Q56" i="6" s="1"/>
  <c r="Q59" i="3"/>
  <c r="Q57" i="6" s="1"/>
  <c r="U59" i="3"/>
  <c r="U57" i="6" s="1"/>
  <c r="U58" i="3"/>
  <c r="U56" i="6" s="1"/>
  <c r="W59" i="3"/>
  <c r="W57" i="6" s="1"/>
  <c r="W58" i="3"/>
  <c r="W56" i="6" s="1"/>
  <c r="AC58" i="3"/>
  <c r="AC56" i="6" s="1"/>
  <c r="AC59" i="3"/>
  <c r="AC57" i="6" s="1"/>
  <c r="AG59" i="3"/>
  <c r="AG57" i="6" s="1"/>
  <c r="AG58" i="3"/>
  <c r="AG56" i="6" s="1"/>
  <c r="AI59" i="3"/>
  <c r="AI57" i="6" s="1"/>
  <c r="AI58" i="3"/>
  <c r="AI56" i="6" s="1"/>
  <c r="Z58" i="3"/>
  <c r="Z56" i="6" s="1"/>
  <c r="Z59" i="3"/>
  <c r="Z57" i="6" s="1"/>
  <c r="M59" i="3"/>
  <c r="M57" i="6" s="1"/>
  <c r="M58" i="3"/>
  <c r="M56" i="6" s="1"/>
  <c r="G59" i="3"/>
  <c r="G57" i="6" s="1"/>
  <c r="G58" i="3"/>
  <c r="G56" i="6" s="1"/>
  <c r="AD59" i="3"/>
  <c r="AD57" i="6" s="1"/>
  <c r="AD58" i="3"/>
  <c r="AD56" i="6" s="1"/>
  <c r="S59" i="3"/>
  <c r="S57" i="6" s="1"/>
  <c r="S58" i="3"/>
  <c r="S56" i="6" s="1"/>
  <c r="J59" i="3"/>
  <c r="J57" i="6" s="1"/>
  <c r="J58" i="3"/>
  <c r="J56" i="6" s="1"/>
  <c r="AE59" i="3"/>
  <c r="AE57" i="6" s="1"/>
  <c r="AE58" i="3"/>
  <c r="AE56" i="6" s="1"/>
  <c r="V59" i="3"/>
  <c r="V57" i="6" s="1"/>
  <c r="V58" i="3"/>
  <c r="V56" i="6" s="1"/>
  <c r="O58" i="3"/>
  <c r="O56" i="6" s="1"/>
  <c r="O59" i="3"/>
  <c r="O57" i="6" s="1"/>
  <c r="AH58" i="3"/>
  <c r="AH56" i="6" s="1"/>
  <c r="AH59" i="3"/>
  <c r="AH57" i="6" s="1"/>
  <c r="H59" i="3"/>
  <c r="H57" i="6" s="1"/>
  <c r="H58" i="3"/>
  <c r="H56" i="6" s="1"/>
  <c r="L59" i="3"/>
  <c r="L57" i="6" s="1"/>
  <c r="L58" i="3"/>
  <c r="L56" i="6" s="1"/>
  <c r="T59" i="3"/>
  <c r="T57" i="6" s="1"/>
  <c r="T58" i="3"/>
  <c r="T56" i="6" s="1"/>
  <c r="Y59" i="3"/>
  <c r="Y57" i="6" s="1"/>
  <c r="Y58" i="3"/>
  <c r="Y56" i="6" s="1"/>
  <c r="N58" i="3"/>
  <c r="N56" i="6" s="1"/>
  <c r="N59" i="3"/>
  <c r="N57" i="6" s="1"/>
  <c r="AF59" i="3"/>
  <c r="AF57" i="6" s="1"/>
  <c r="AF58" i="3"/>
  <c r="AF56" i="6" s="1"/>
  <c r="AA58" i="3"/>
  <c r="AA56" i="6" s="1"/>
  <c r="AA59" i="3"/>
  <c r="AA57" i="6" s="1"/>
  <c r="P58" i="3"/>
  <c r="P56" i="6" s="1"/>
  <c r="P59" i="3"/>
  <c r="P57" i="6" s="1"/>
  <c r="X59" i="3"/>
  <c r="X57" i="6" s="1"/>
  <c r="X58" i="3"/>
  <c r="X56" i="6" s="1"/>
  <c r="R59" i="3"/>
  <c r="R57" i="6" s="1"/>
  <c r="R58" i="3"/>
  <c r="R56" i="6" s="1"/>
  <c r="AB58" i="3"/>
  <c r="AB56" i="6" s="1"/>
  <c r="AB59" i="3"/>
  <c r="AB57" i="6" s="1"/>
  <c r="I59" i="3"/>
  <c r="I57" i="6" s="1"/>
  <c r="I58" i="3"/>
  <c r="I56" i="6" s="1"/>
  <c r="K59" i="3"/>
  <c r="K57" i="6" s="1"/>
  <c r="K58" i="3"/>
  <c r="K56" i="6" s="1"/>
  <c r="AJ167" i="6"/>
  <c r="G168" i="6"/>
  <c r="G151" i="6"/>
  <c r="G20" i="10" s="1"/>
  <c r="AJ159" i="6"/>
  <c r="AJ151" i="6" s="1"/>
  <c r="D19" i="10" s="1"/>
  <c r="AJ59" i="6"/>
  <c r="AJ60" i="6"/>
  <c r="AJ61" i="6"/>
  <c r="G123" i="6"/>
  <c r="G115" i="6" s="1"/>
  <c r="G12" i="10" s="1"/>
  <c r="AJ62" i="3"/>
  <c r="J235" i="1"/>
  <c r="H235" i="1"/>
  <c r="J238" i="1"/>
  <c r="J302" i="1" s="1"/>
  <c r="P235" i="1"/>
  <c r="P238" i="1"/>
  <c r="P302" i="1" s="1"/>
  <c r="AH189" i="1"/>
  <c r="AA235" i="1"/>
  <c r="AA238" i="1"/>
  <c r="R238" i="1"/>
  <c r="R302" i="1" s="1"/>
  <c r="AH217" i="1"/>
  <c r="AE235" i="1"/>
  <c r="AE238" i="1"/>
  <c r="V238" i="1"/>
  <c r="V302" i="1" s="1"/>
  <c r="R235" i="1"/>
  <c r="V235" i="1"/>
  <c r="Q235" i="1"/>
  <c r="Q238" i="1"/>
  <c r="Q302" i="1" s="1"/>
  <c r="AF238" i="1"/>
  <c r="K235" i="1"/>
  <c r="AF235" i="1"/>
  <c r="L235" i="1"/>
  <c r="E235" i="1"/>
  <c r="AB238" i="1"/>
  <c r="W235" i="1"/>
  <c r="W238" i="1"/>
  <c r="X238" i="1"/>
  <c r="F235" i="1"/>
  <c r="AJ61" i="3"/>
  <c r="AJ63" i="3"/>
  <c r="AB235" i="1"/>
  <c r="O235" i="1"/>
  <c r="N235" i="1"/>
  <c r="N238" i="1"/>
  <c r="N302" i="1" s="1"/>
  <c r="AD238" i="1"/>
  <c r="AD235" i="1"/>
  <c r="Z238" i="1"/>
  <c r="M238" i="1"/>
  <c r="M302" i="1" s="1"/>
  <c r="M235" i="1"/>
  <c r="X235" i="1"/>
  <c r="O238" i="1"/>
  <c r="O302" i="1" s="1"/>
  <c r="Z235" i="1"/>
  <c r="K238" i="1"/>
  <c r="K302" i="1" s="1"/>
  <c r="G235" i="1"/>
  <c r="L238" i="1"/>
  <c r="L302" i="1" s="1"/>
  <c r="U235" i="1"/>
  <c r="U238" i="1"/>
  <c r="U302" i="1" s="1"/>
  <c r="D235" i="1"/>
  <c r="AC238" i="1"/>
  <c r="AC235" i="1"/>
  <c r="AG235" i="1"/>
  <c r="AG238" i="1"/>
  <c r="S235" i="1"/>
  <c r="S238" i="1"/>
  <c r="S302" i="1" s="1"/>
  <c r="I235" i="1"/>
  <c r="T238" i="1"/>
  <c r="T302" i="1" s="1"/>
  <c r="T235" i="1"/>
  <c r="Y235" i="1"/>
  <c r="Y238" i="1"/>
  <c r="X294" i="1" l="1"/>
  <c r="W302" i="1"/>
  <c r="Y293" i="1"/>
  <c r="X302" i="1"/>
  <c r="V9" i="3"/>
  <c r="V19" i="3" s="1"/>
  <c r="V13" i="3"/>
  <c r="V52" i="3"/>
  <c r="V51" i="6" s="1"/>
  <c r="V54" i="3"/>
  <c r="V53" i="6" s="1"/>
  <c r="V25" i="3"/>
  <c r="V24" i="6" s="1"/>
  <c r="V45" i="3"/>
  <c r="V12" i="3"/>
  <c r="V29" i="3"/>
  <c r="V28" i="6" s="1"/>
  <c r="V53" i="3"/>
  <c r="V52" i="6" s="1"/>
  <c r="V27" i="3"/>
  <c r="V26" i="6" s="1"/>
  <c r="V47" i="3"/>
  <c r="V46" i="6" s="1"/>
  <c r="V30" i="3"/>
  <c r="V29" i="6" s="1"/>
  <c r="V11" i="3"/>
  <c r="V18" i="3" s="1"/>
  <c r="V46" i="3"/>
  <c r="V10" i="3"/>
  <c r="V49" i="3"/>
  <c r="V24" i="3"/>
  <c r="V23" i="6" s="1"/>
  <c r="V26" i="3"/>
  <c r="V25" i="6" s="1"/>
  <c r="T9" i="3"/>
  <c r="T19" i="3" s="1"/>
  <c r="T47" i="3"/>
  <c r="T46" i="6" s="1"/>
  <c r="T11" i="3"/>
  <c r="T18" i="3" s="1"/>
  <c r="T12" i="3"/>
  <c r="T53" i="3"/>
  <c r="T52" i="6" s="1"/>
  <c r="T46" i="3"/>
  <c r="T45" i="6" s="1"/>
  <c r="T24" i="3"/>
  <c r="T23" i="6" s="1"/>
  <c r="T10" i="3"/>
  <c r="T49" i="3"/>
  <c r="T48" i="6" s="1"/>
  <c r="T30" i="3"/>
  <c r="T29" i="6" s="1"/>
  <c r="T26" i="3"/>
  <c r="T25" i="6" s="1"/>
  <c r="T13" i="3"/>
  <c r="T52" i="3"/>
  <c r="T51" i="6" s="1"/>
  <c r="T54" i="3"/>
  <c r="T53" i="6" s="1"/>
  <c r="T45" i="3"/>
  <c r="T44" i="6" s="1"/>
  <c r="T25" i="3"/>
  <c r="T24" i="6" s="1"/>
  <c r="T29" i="3"/>
  <c r="T28" i="6" s="1"/>
  <c r="T27" i="3"/>
  <c r="T26" i="6" s="1"/>
  <c r="I9" i="3"/>
  <c r="I19" i="3" s="1"/>
  <c r="I53" i="3"/>
  <c r="I11" i="3"/>
  <c r="I18" i="3" s="1"/>
  <c r="I46" i="3"/>
  <c r="I45" i="6" s="1"/>
  <c r="I30" i="3"/>
  <c r="I29" i="6" s="1"/>
  <c r="I24" i="3"/>
  <c r="I23" i="6" s="1"/>
  <c r="I10" i="3"/>
  <c r="I49" i="3"/>
  <c r="I48" i="6" s="1"/>
  <c r="I26" i="3"/>
  <c r="I25" i="6" s="1"/>
  <c r="I13" i="3"/>
  <c r="I54" i="3"/>
  <c r="I53" i="6" s="1"/>
  <c r="I25" i="3"/>
  <c r="I24" i="6" s="1"/>
  <c r="I52" i="3"/>
  <c r="I51" i="6" s="1"/>
  <c r="I45" i="3"/>
  <c r="I44" i="6" s="1"/>
  <c r="I12" i="3"/>
  <c r="I29" i="3"/>
  <c r="I28" i="6" s="1"/>
  <c r="I27" i="3"/>
  <c r="I26" i="6" s="1"/>
  <c r="I47" i="3"/>
  <c r="M9" i="3"/>
  <c r="M19" i="3" s="1"/>
  <c r="M54" i="3"/>
  <c r="M53" i="6" s="1"/>
  <c r="M46" i="3"/>
  <c r="M45" i="6" s="1"/>
  <c r="M49" i="3"/>
  <c r="M48" i="6" s="1"/>
  <c r="M45" i="3"/>
  <c r="M44" i="6" s="1"/>
  <c r="M10" i="3"/>
  <c r="M13" i="3"/>
  <c r="M47" i="3"/>
  <c r="M52" i="3"/>
  <c r="M51" i="6" s="1"/>
  <c r="M25" i="3"/>
  <c r="M29" i="3"/>
  <c r="M28" i="6" s="1"/>
  <c r="M12" i="3"/>
  <c r="M53" i="3"/>
  <c r="M52" i="6" s="1"/>
  <c r="M11" i="3"/>
  <c r="M18" i="3" s="1"/>
  <c r="M17" i="6" s="1"/>
  <c r="M27" i="3"/>
  <c r="M26" i="6" s="1"/>
  <c r="M24" i="3"/>
  <c r="M23" i="6" s="1"/>
  <c r="M26" i="3"/>
  <c r="M25" i="6" s="1"/>
  <c r="M30" i="3"/>
  <c r="M29" i="6" s="1"/>
  <c r="K9" i="3"/>
  <c r="K19" i="3" s="1"/>
  <c r="K12" i="3"/>
  <c r="K29" i="3"/>
  <c r="K28" i="6" s="1"/>
  <c r="K53" i="3"/>
  <c r="K52" i="6" s="1"/>
  <c r="K27" i="3"/>
  <c r="K26" i="6" s="1"/>
  <c r="K24" i="3"/>
  <c r="K23" i="6" s="1"/>
  <c r="K47" i="3"/>
  <c r="K46" i="6" s="1"/>
  <c r="K30" i="3"/>
  <c r="K29" i="6" s="1"/>
  <c r="K10" i="3"/>
  <c r="K11" i="3"/>
  <c r="K18" i="3" s="1"/>
  <c r="K46" i="3"/>
  <c r="K45" i="6" s="1"/>
  <c r="K49" i="3"/>
  <c r="K48" i="6" s="1"/>
  <c r="K45" i="3"/>
  <c r="K44" i="6" s="1"/>
  <c r="K26" i="3"/>
  <c r="K13" i="3"/>
  <c r="K52" i="3"/>
  <c r="K51" i="6" s="1"/>
  <c r="K54" i="3"/>
  <c r="K53" i="6" s="1"/>
  <c r="K25" i="3"/>
  <c r="K24" i="6" s="1"/>
  <c r="H9" i="3"/>
  <c r="H19" i="3" s="1"/>
  <c r="H27" i="3"/>
  <c r="H26" i="6" s="1"/>
  <c r="H47" i="3"/>
  <c r="H46" i="6" s="1"/>
  <c r="H11" i="3"/>
  <c r="H18" i="3" s="1"/>
  <c r="H53" i="3"/>
  <c r="H52" i="6" s="1"/>
  <c r="H46" i="3"/>
  <c r="H45" i="6" s="1"/>
  <c r="H24" i="3"/>
  <c r="H23" i="6" s="1"/>
  <c r="H10" i="3"/>
  <c r="H49" i="3"/>
  <c r="H48" i="6" s="1"/>
  <c r="H30" i="3"/>
  <c r="H29" i="6" s="1"/>
  <c r="H26" i="3"/>
  <c r="H25" i="6" s="1"/>
  <c r="H13" i="3"/>
  <c r="H52" i="3"/>
  <c r="H51" i="6" s="1"/>
  <c r="H54" i="3"/>
  <c r="H53" i="6" s="1"/>
  <c r="H45" i="3"/>
  <c r="H44" i="6" s="1"/>
  <c r="H25" i="3"/>
  <c r="H24" i="6" s="1"/>
  <c r="H12" i="3"/>
  <c r="H29" i="3"/>
  <c r="H28" i="6" s="1"/>
  <c r="S9" i="3"/>
  <c r="S19" i="3" s="1"/>
  <c r="S18" i="6" s="1"/>
  <c r="S29" i="3"/>
  <c r="S47" i="3"/>
  <c r="S46" i="6" s="1"/>
  <c r="S12" i="3"/>
  <c r="S11" i="3"/>
  <c r="S18" i="3" s="1"/>
  <c r="S53" i="3"/>
  <c r="S52" i="6" s="1"/>
  <c r="S24" i="3"/>
  <c r="S23" i="6" s="1"/>
  <c r="S46" i="3"/>
  <c r="S45" i="6" s="1"/>
  <c r="S27" i="3"/>
  <c r="S26" i="6" s="1"/>
  <c r="S49" i="3"/>
  <c r="S48" i="6" s="1"/>
  <c r="S10" i="3"/>
  <c r="S30" i="3"/>
  <c r="S29" i="6" s="1"/>
  <c r="S26" i="3"/>
  <c r="S13" i="3"/>
  <c r="S52" i="3"/>
  <c r="S51" i="6" s="1"/>
  <c r="S54" i="3"/>
  <c r="S53" i="6" s="1"/>
  <c r="S45" i="3"/>
  <c r="S44" i="6" s="1"/>
  <c r="S25" i="3"/>
  <c r="S24" i="6" s="1"/>
  <c r="R9" i="3"/>
  <c r="R19" i="3" s="1"/>
  <c r="R26" i="3"/>
  <c r="R25" i="6" s="1"/>
  <c r="R13" i="3"/>
  <c r="R30" i="3"/>
  <c r="R29" i="6" s="1"/>
  <c r="R52" i="3"/>
  <c r="R51" i="6" s="1"/>
  <c r="R54" i="3"/>
  <c r="R53" i="6" s="1"/>
  <c r="R25" i="3"/>
  <c r="R24" i="6" s="1"/>
  <c r="R46" i="3"/>
  <c r="R45" i="3"/>
  <c r="R44" i="6" s="1"/>
  <c r="R29" i="3"/>
  <c r="R47" i="3"/>
  <c r="R46" i="6" s="1"/>
  <c r="R11" i="3"/>
  <c r="R18" i="3" s="1"/>
  <c r="R12" i="3"/>
  <c r="R27" i="3"/>
  <c r="R26" i="6" s="1"/>
  <c r="R53" i="3"/>
  <c r="R52" i="6" s="1"/>
  <c r="R24" i="3"/>
  <c r="R23" i="6" s="1"/>
  <c r="R10" i="3"/>
  <c r="R49" i="3"/>
  <c r="R48" i="6" s="1"/>
  <c r="N9" i="3"/>
  <c r="N19" i="3" s="1"/>
  <c r="N45" i="3"/>
  <c r="N44" i="6" s="1"/>
  <c r="N49" i="3"/>
  <c r="N48" i="6" s="1"/>
  <c r="N10" i="3"/>
  <c r="N13" i="3"/>
  <c r="N52" i="3"/>
  <c r="N51" i="6" s="1"/>
  <c r="N25" i="3"/>
  <c r="N24" i="6" s="1"/>
  <c r="N47" i="3"/>
  <c r="N46" i="6" s="1"/>
  <c r="N11" i="3"/>
  <c r="N18" i="3" s="1"/>
  <c r="N12" i="3"/>
  <c r="N27" i="3"/>
  <c r="N26" i="6" s="1"/>
  <c r="N29" i="3"/>
  <c r="N28" i="6" s="1"/>
  <c r="N53" i="3"/>
  <c r="N52" i="6" s="1"/>
  <c r="N24" i="3"/>
  <c r="N23" i="6" s="1"/>
  <c r="N26" i="3"/>
  <c r="N25" i="6" s="1"/>
  <c r="N30" i="3"/>
  <c r="N29" i="6" s="1"/>
  <c r="N54" i="3"/>
  <c r="N53" i="6" s="1"/>
  <c r="N46" i="3"/>
  <c r="N45" i="6" s="1"/>
  <c r="O9" i="3"/>
  <c r="O19" i="3" s="1"/>
  <c r="O52" i="3"/>
  <c r="O51" i="6" s="1"/>
  <c r="O25" i="3"/>
  <c r="O24" i="6" s="1"/>
  <c r="O47" i="3"/>
  <c r="O46" i="6" s="1"/>
  <c r="O27" i="3"/>
  <c r="O26" i="6" s="1"/>
  <c r="O49" i="3"/>
  <c r="O48" i="6" s="1"/>
  <c r="O11" i="3"/>
  <c r="O18" i="3" s="1"/>
  <c r="O12" i="3"/>
  <c r="O53" i="3"/>
  <c r="O52" i="6" s="1"/>
  <c r="O24" i="3"/>
  <c r="O23" i="6" s="1"/>
  <c r="O26" i="3"/>
  <c r="O25" i="6" s="1"/>
  <c r="O13" i="3"/>
  <c r="O30" i="3"/>
  <c r="O29" i="6" s="1"/>
  <c r="O54" i="3"/>
  <c r="O53" i="6" s="1"/>
  <c r="O46" i="3"/>
  <c r="O45" i="6" s="1"/>
  <c r="O45" i="3"/>
  <c r="O44" i="6" s="1"/>
  <c r="O29" i="3"/>
  <c r="O28" i="6" s="1"/>
  <c r="O10" i="3"/>
  <c r="G9" i="3"/>
  <c r="G19" i="3" s="1"/>
  <c r="G54" i="3"/>
  <c r="G53" i="6" s="1"/>
  <c r="G45" i="3"/>
  <c r="G44" i="6" s="1"/>
  <c r="G25" i="3"/>
  <c r="G24" i="6" s="1"/>
  <c r="G27" i="3"/>
  <c r="G26" i="6" s="1"/>
  <c r="G29" i="3"/>
  <c r="G28" i="6" s="1"/>
  <c r="G52" i="3"/>
  <c r="G51" i="6" s="1"/>
  <c r="G47" i="3"/>
  <c r="G46" i="6" s="1"/>
  <c r="G12" i="3"/>
  <c r="G20" i="3" s="1"/>
  <c r="G11" i="3"/>
  <c r="G18" i="3" s="1"/>
  <c r="G53" i="3"/>
  <c r="G52" i="6" s="1"/>
  <c r="G24" i="3"/>
  <c r="G23" i="6" s="1"/>
  <c r="G46" i="3"/>
  <c r="G45" i="6" s="1"/>
  <c r="G49" i="3"/>
  <c r="G48" i="6" s="1"/>
  <c r="G10" i="3"/>
  <c r="G30" i="3"/>
  <c r="G29" i="6" s="1"/>
  <c r="G26" i="3"/>
  <c r="G25" i="6" s="1"/>
  <c r="G13" i="3"/>
  <c r="J9" i="3"/>
  <c r="J19" i="3" s="1"/>
  <c r="J26" i="3"/>
  <c r="J25" i="6" s="1"/>
  <c r="J13" i="3"/>
  <c r="J52" i="3"/>
  <c r="J51" i="6" s="1"/>
  <c r="J54" i="3"/>
  <c r="J53" i="6" s="1"/>
  <c r="J24" i="3"/>
  <c r="J23" i="6" s="1"/>
  <c r="J25" i="3"/>
  <c r="J24" i="6" s="1"/>
  <c r="J45" i="3"/>
  <c r="J12" i="3"/>
  <c r="J29" i="3"/>
  <c r="J28" i="6" s="1"/>
  <c r="J53" i="3"/>
  <c r="J52" i="6" s="1"/>
  <c r="J27" i="3"/>
  <c r="J26" i="6" s="1"/>
  <c r="J47" i="3"/>
  <c r="J46" i="6" s="1"/>
  <c r="J30" i="3"/>
  <c r="J29" i="6" s="1"/>
  <c r="J11" i="3"/>
  <c r="J18" i="3" s="1"/>
  <c r="J46" i="3"/>
  <c r="J45" i="6" s="1"/>
  <c r="J10" i="3"/>
  <c r="J49" i="3"/>
  <c r="J48" i="6" s="1"/>
  <c r="P9" i="3"/>
  <c r="P19" i="3" s="1"/>
  <c r="P25" i="3"/>
  <c r="P24" i="6" s="1"/>
  <c r="P47" i="3"/>
  <c r="P46" i="6" s="1"/>
  <c r="P12" i="3"/>
  <c r="P27" i="3"/>
  <c r="P26" i="6" s="1"/>
  <c r="P53" i="3"/>
  <c r="P52" i="6" s="1"/>
  <c r="P11" i="3"/>
  <c r="P18" i="3" s="1"/>
  <c r="P49" i="3"/>
  <c r="P48" i="6" s="1"/>
  <c r="P24" i="3"/>
  <c r="P23" i="6" s="1"/>
  <c r="P26" i="3"/>
  <c r="P25" i="6" s="1"/>
  <c r="P13" i="3"/>
  <c r="P30" i="3"/>
  <c r="P29" i="6" s="1"/>
  <c r="P54" i="3"/>
  <c r="P53" i="6" s="1"/>
  <c r="P45" i="3"/>
  <c r="P44" i="6" s="1"/>
  <c r="P46" i="3"/>
  <c r="P45" i="6" s="1"/>
  <c r="P29" i="3"/>
  <c r="P28" i="6" s="1"/>
  <c r="P52" i="3"/>
  <c r="P51" i="6" s="1"/>
  <c r="P10" i="3"/>
  <c r="Q9" i="3"/>
  <c r="Q19" i="3" s="1"/>
  <c r="Q53" i="3"/>
  <c r="Q52" i="6" s="1"/>
  <c r="Q49" i="3"/>
  <c r="Q48" i="6" s="1"/>
  <c r="Q24" i="3"/>
  <c r="Q23" i="6" s="1"/>
  <c r="Q26" i="3"/>
  <c r="Q25" i="6" s="1"/>
  <c r="Q13" i="3"/>
  <c r="Q52" i="3"/>
  <c r="Q51" i="6" s="1"/>
  <c r="Q25" i="3"/>
  <c r="Q24" i="6" s="1"/>
  <c r="Q30" i="3"/>
  <c r="Q29" i="6" s="1"/>
  <c r="Q54" i="3"/>
  <c r="Q53" i="6" s="1"/>
  <c r="Q45" i="3"/>
  <c r="Q44" i="6" s="1"/>
  <c r="Q46" i="3"/>
  <c r="Q45" i="6" s="1"/>
  <c r="Q29" i="3"/>
  <c r="Q28" i="6" s="1"/>
  <c r="Q10" i="3"/>
  <c r="Q47" i="3"/>
  <c r="Q46" i="6" s="1"/>
  <c r="Q11" i="3"/>
  <c r="Q18" i="3" s="1"/>
  <c r="Q12" i="3"/>
  <c r="Q27" i="3"/>
  <c r="Q26" i="6" s="1"/>
  <c r="F26" i="10"/>
  <c r="D302" i="1"/>
  <c r="Z9" i="3"/>
  <c r="Z19" i="3" s="1"/>
  <c r="Z10" i="3"/>
  <c r="Z13" i="3"/>
  <c r="Z52" i="3"/>
  <c r="Z51" i="6" s="1"/>
  <c r="Z25" i="3"/>
  <c r="Z24" i="6" s="1"/>
  <c r="Z47" i="3"/>
  <c r="Z46" i="6" s="1"/>
  <c r="Z11" i="3"/>
  <c r="Z18" i="3" s="1"/>
  <c r="Z12" i="3"/>
  <c r="Z27" i="3"/>
  <c r="Z26" i="6" s="1"/>
  <c r="Z53" i="3"/>
  <c r="Z52" i="6" s="1"/>
  <c r="Z24" i="3"/>
  <c r="Z23" i="6" s="1"/>
  <c r="Z26" i="3"/>
  <c r="Z25" i="6" s="1"/>
  <c r="Z29" i="3"/>
  <c r="Z28" i="6" s="1"/>
  <c r="Z30" i="3"/>
  <c r="Z29" i="6" s="1"/>
  <c r="Z54" i="3"/>
  <c r="Z53" i="6" s="1"/>
  <c r="Z46" i="3"/>
  <c r="Z45" i="6" s="1"/>
  <c r="Z45" i="3"/>
  <c r="Z44" i="6" s="1"/>
  <c r="Z49" i="3"/>
  <c r="Z48" i="6" s="1"/>
  <c r="L9" i="3"/>
  <c r="L19" i="3" s="1"/>
  <c r="L24" i="3"/>
  <c r="L23" i="6" s="1"/>
  <c r="L26" i="3"/>
  <c r="L25" i="6" s="1"/>
  <c r="L47" i="3"/>
  <c r="L46" i="6" s="1"/>
  <c r="L30" i="3"/>
  <c r="L29" i="6" s="1"/>
  <c r="L11" i="3"/>
  <c r="L18" i="3" s="1"/>
  <c r="L17" i="6" s="1"/>
  <c r="L46" i="3"/>
  <c r="L45" i="6" s="1"/>
  <c r="L49" i="3"/>
  <c r="L48" i="6" s="1"/>
  <c r="L45" i="3"/>
  <c r="L44" i="6" s="1"/>
  <c r="L10" i="3"/>
  <c r="L13" i="3"/>
  <c r="L54" i="3"/>
  <c r="L53" i="6" s="1"/>
  <c r="L52" i="3"/>
  <c r="L51" i="6" s="1"/>
  <c r="L25" i="3"/>
  <c r="L24" i="6" s="1"/>
  <c r="L12" i="3"/>
  <c r="L29" i="3"/>
  <c r="L28" i="6" s="1"/>
  <c r="L53" i="3"/>
  <c r="L52" i="6" s="1"/>
  <c r="L27" i="3"/>
  <c r="L26" i="6" s="1"/>
  <c r="U9" i="3"/>
  <c r="U19" i="3" s="1"/>
  <c r="U46" i="3"/>
  <c r="U45" i="6" s="1"/>
  <c r="U24" i="3"/>
  <c r="U23" i="6" s="1"/>
  <c r="U10" i="3"/>
  <c r="U49" i="3"/>
  <c r="U48" i="6" s="1"/>
  <c r="U26" i="3"/>
  <c r="U25" i="6" s="1"/>
  <c r="U13" i="3"/>
  <c r="U54" i="3"/>
  <c r="U53" i="6" s="1"/>
  <c r="U25" i="3"/>
  <c r="U24" i="6" s="1"/>
  <c r="U52" i="3"/>
  <c r="U51" i="6" s="1"/>
  <c r="U45" i="3"/>
  <c r="U44" i="6" s="1"/>
  <c r="U30" i="3"/>
  <c r="U29" i="6" s="1"/>
  <c r="U12" i="3"/>
  <c r="U29" i="3"/>
  <c r="U53" i="3"/>
  <c r="U52" i="6" s="1"/>
  <c r="U27" i="3"/>
  <c r="U26" i="6" s="1"/>
  <c r="U47" i="3"/>
  <c r="U46" i="6" s="1"/>
  <c r="U11" i="3"/>
  <c r="U18" i="3" s="1"/>
  <c r="W9" i="3"/>
  <c r="W19" i="3" s="1"/>
  <c r="W12" i="3"/>
  <c r="W29" i="3"/>
  <c r="W28" i="6" s="1"/>
  <c r="W45" i="3"/>
  <c r="W44" i="6" s="1"/>
  <c r="W53" i="3"/>
  <c r="W52" i="6" s="1"/>
  <c r="W27" i="3"/>
  <c r="W26" i="6" s="1"/>
  <c r="W24" i="3"/>
  <c r="W23" i="6" s="1"/>
  <c r="W47" i="3"/>
  <c r="W46" i="6" s="1"/>
  <c r="W30" i="3"/>
  <c r="W29" i="6" s="1"/>
  <c r="W11" i="3"/>
  <c r="W18" i="3" s="1"/>
  <c r="W46" i="3"/>
  <c r="W45" i="6" s="1"/>
  <c r="W49" i="3"/>
  <c r="W48" i="6" s="1"/>
  <c r="W10" i="3"/>
  <c r="W26" i="3"/>
  <c r="W25" i="6" s="1"/>
  <c r="W13" i="3"/>
  <c r="W52" i="3"/>
  <c r="W51" i="6" s="1"/>
  <c r="W54" i="3"/>
  <c r="W53" i="6" s="1"/>
  <c r="W25" i="3"/>
  <c r="W24" i="6" s="1"/>
  <c r="Y9" i="3"/>
  <c r="Y19" i="3" s="1"/>
  <c r="Y54" i="3"/>
  <c r="Y53" i="6" s="1"/>
  <c r="Y46" i="3"/>
  <c r="Y45" i="6" s="1"/>
  <c r="Y11" i="3"/>
  <c r="Y18" i="3" s="1"/>
  <c r="Y17" i="6" s="1"/>
  <c r="Y49" i="3"/>
  <c r="Y48" i="6" s="1"/>
  <c r="Y45" i="3"/>
  <c r="Y44" i="6" s="1"/>
  <c r="Y10" i="3"/>
  <c r="Y13" i="3"/>
  <c r="Y52" i="3"/>
  <c r="Y51" i="6" s="1"/>
  <c r="Y25" i="3"/>
  <c r="Y24" i="6" s="1"/>
  <c r="Y29" i="3"/>
  <c r="Y28" i="6" s="1"/>
  <c r="Y12" i="3"/>
  <c r="Y53" i="3"/>
  <c r="Y52" i="6" s="1"/>
  <c r="Y27" i="3"/>
  <c r="Y26" i="6" s="1"/>
  <c r="Y24" i="3"/>
  <c r="Y23" i="6" s="1"/>
  <c r="Y30" i="3"/>
  <c r="Y29" i="6" s="1"/>
  <c r="Y26" i="3"/>
  <c r="Y25" i="6" s="1"/>
  <c r="Y47" i="3"/>
  <c r="Y46" i="6" s="1"/>
  <c r="X9" i="3"/>
  <c r="X19" i="3" s="1"/>
  <c r="X24" i="3"/>
  <c r="X23" i="6" s="1"/>
  <c r="X47" i="3"/>
  <c r="X46" i="6" s="1"/>
  <c r="X30" i="3"/>
  <c r="X29" i="6" s="1"/>
  <c r="X11" i="3"/>
  <c r="X18" i="3" s="1"/>
  <c r="X17" i="6" s="1"/>
  <c r="X46" i="3"/>
  <c r="X45" i="6" s="1"/>
  <c r="X49" i="3"/>
  <c r="X48" i="6" s="1"/>
  <c r="X45" i="3"/>
  <c r="X44" i="6" s="1"/>
  <c r="X10" i="3"/>
  <c r="X13" i="3"/>
  <c r="X54" i="3"/>
  <c r="X53" i="6" s="1"/>
  <c r="X52" i="3"/>
  <c r="X51" i="6" s="1"/>
  <c r="X25" i="3"/>
  <c r="X24" i="6" s="1"/>
  <c r="X26" i="3"/>
  <c r="X25" i="6" s="1"/>
  <c r="X12" i="3"/>
  <c r="X29" i="3"/>
  <c r="X28" i="6" s="1"/>
  <c r="X53" i="3"/>
  <c r="X52" i="6" s="1"/>
  <c r="X27" i="3"/>
  <c r="X26" i="6" s="1"/>
  <c r="AA262" i="1"/>
  <c r="AA261" i="1" s="1"/>
  <c r="AB255" i="1"/>
  <c r="AA282" i="1"/>
  <c r="AA254" i="1"/>
  <c r="AB252" i="1"/>
  <c r="AB259" i="1" s="1"/>
  <c r="AB258" i="1" s="1"/>
  <c r="AA279" i="1"/>
  <c r="AA251" i="1"/>
  <c r="Z281" i="1"/>
  <c r="Z288" i="1"/>
  <c r="Z287" i="1" s="1"/>
  <c r="Z292" i="1" s="1"/>
  <c r="Z278" i="1"/>
  <c r="Z285" i="1"/>
  <c r="Z284" i="1" s="1"/>
  <c r="Z291" i="1" s="1"/>
  <c r="Y294" i="1"/>
  <c r="Y297" i="1"/>
  <c r="Y302" i="1" s="1"/>
  <c r="R28" i="6"/>
  <c r="R45" i="6"/>
  <c r="V44" i="6"/>
  <c r="V45" i="6"/>
  <c r="K25" i="6"/>
  <c r="I46" i="6"/>
  <c r="I52" i="6"/>
  <c r="AJ168" i="6"/>
  <c r="AJ160" i="6" s="1"/>
  <c r="D21" i="10" s="1"/>
  <c r="G160" i="6"/>
  <c r="G22" i="10" s="1"/>
  <c r="R19" i="10"/>
  <c r="F19" i="10"/>
  <c r="N19" i="10"/>
  <c r="K19" i="10"/>
  <c r="M19" i="10"/>
  <c r="L19" i="10"/>
  <c r="AA19" i="10"/>
  <c r="U19" i="10"/>
  <c r="AE19" i="10"/>
  <c r="AB19" i="10"/>
  <c r="AH19" i="10"/>
  <c r="W19" i="10"/>
  <c r="AC19" i="10"/>
  <c r="I19" i="10"/>
  <c r="AD19" i="10"/>
  <c r="AI19" i="10"/>
  <c r="Y19" i="10"/>
  <c r="AG19" i="10"/>
  <c r="S19" i="10"/>
  <c r="J19" i="10"/>
  <c r="Q19" i="10"/>
  <c r="H19" i="10"/>
  <c r="AF19" i="10"/>
  <c r="O19" i="10"/>
  <c r="T19" i="10"/>
  <c r="V19" i="10"/>
  <c r="X19" i="10"/>
  <c r="Z19" i="10"/>
  <c r="P19" i="10"/>
  <c r="AJ20" i="10"/>
  <c r="G19" i="10"/>
  <c r="AH55" i="6"/>
  <c r="AH54" i="6" s="1"/>
  <c r="AH143" i="6" s="1"/>
  <c r="AH146" i="6" s="1"/>
  <c r="S55" i="6"/>
  <c r="S54" i="6" s="1"/>
  <c r="S143" i="6" s="1"/>
  <c r="S146" i="6" s="1"/>
  <c r="U55" i="6"/>
  <c r="U54" i="6" s="1"/>
  <c r="U143" i="6" s="1"/>
  <c r="U147" i="6" s="1"/>
  <c r="T55" i="6"/>
  <c r="T54" i="6" s="1"/>
  <c r="T143" i="6" s="1"/>
  <c r="T147" i="6" s="1"/>
  <c r="V55" i="6"/>
  <c r="V54" i="6" s="1"/>
  <c r="V143" i="6" s="1"/>
  <c r="V144" i="6" s="1"/>
  <c r="Z55" i="6"/>
  <c r="Z54" i="6" s="1"/>
  <c r="Z143" i="6" s="1"/>
  <c r="Z146" i="6" s="1"/>
  <c r="Q55" i="6"/>
  <c r="Q54" i="6" s="1"/>
  <c r="Q143" i="6" s="1"/>
  <c r="Q146" i="6" s="1"/>
  <c r="P55" i="6"/>
  <c r="P54" i="6" s="1"/>
  <c r="P143" i="6" s="1"/>
  <c r="P147" i="6" s="1"/>
  <c r="AE55" i="6"/>
  <c r="AE54" i="6" s="1"/>
  <c r="AE143" i="6" s="1"/>
  <c r="AE146" i="6" s="1"/>
  <c r="AG55" i="6"/>
  <c r="AG54" i="6" s="1"/>
  <c r="AG143" i="6" s="1"/>
  <c r="AG147" i="6" s="1"/>
  <c r="J55" i="6"/>
  <c r="J54" i="6" s="1"/>
  <c r="J143" i="6" s="1"/>
  <c r="J145" i="6" s="1"/>
  <c r="AI55" i="6"/>
  <c r="AI54" i="6" s="1"/>
  <c r="AI143" i="6" s="1"/>
  <c r="AI144" i="6" s="1"/>
  <c r="H55" i="6"/>
  <c r="H54" i="6" s="1"/>
  <c r="H143" i="6" s="1"/>
  <c r="H147" i="6" s="1"/>
  <c r="R55" i="6"/>
  <c r="R54" i="6" s="1"/>
  <c r="R143" i="6" s="1"/>
  <c r="R146" i="6" s="1"/>
  <c r="O55" i="6"/>
  <c r="O54" i="6" s="1"/>
  <c r="O143" i="6" s="1"/>
  <c r="O146" i="6" s="1"/>
  <c r="M55" i="6"/>
  <c r="M54" i="6" s="1"/>
  <c r="M143" i="6" s="1"/>
  <c r="M145" i="6" s="1"/>
  <c r="K55" i="6"/>
  <c r="K54" i="6" s="1"/>
  <c r="K143" i="6" s="1"/>
  <c r="K147" i="6" s="1"/>
  <c r="AA55" i="6"/>
  <c r="AA54" i="6" s="1"/>
  <c r="AA143" i="6" s="1"/>
  <c r="AA146" i="6" s="1"/>
  <c r="AD55" i="6"/>
  <c r="AD54" i="6" s="1"/>
  <c r="AD143" i="6" s="1"/>
  <c r="AD145" i="6" s="1"/>
  <c r="I55" i="6"/>
  <c r="I54" i="6" s="1"/>
  <c r="I143" i="6" s="1"/>
  <c r="I145" i="6" s="1"/>
  <c r="AF55" i="6"/>
  <c r="AF54" i="6" s="1"/>
  <c r="AF143" i="6" s="1"/>
  <c r="AF146" i="6" s="1"/>
  <c r="AJ57" i="6"/>
  <c r="L55" i="6"/>
  <c r="L54" i="6" s="1"/>
  <c r="L143" i="6" s="1"/>
  <c r="L145" i="6" s="1"/>
  <c r="AC55" i="6"/>
  <c r="AC54" i="6" s="1"/>
  <c r="AC143" i="6" s="1"/>
  <c r="AC147" i="6" s="1"/>
  <c r="AB55" i="6"/>
  <c r="AB54" i="6" s="1"/>
  <c r="AB143" i="6" s="1"/>
  <c r="AB145" i="6" s="1"/>
  <c r="N55" i="6"/>
  <c r="N54" i="6" s="1"/>
  <c r="N143" i="6" s="1"/>
  <c r="N147" i="6" s="1"/>
  <c r="W55" i="6"/>
  <c r="W54" i="6" s="1"/>
  <c r="W143" i="6" s="1"/>
  <c r="W145" i="6" s="1"/>
  <c r="Y55" i="6"/>
  <c r="Y54" i="6" s="1"/>
  <c r="Y143" i="6" s="1"/>
  <c r="Y147" i="6" s="1"/>
  <c r="X55" i="6"/>
  <c r="X54" i="6" s="1"/>
  <c r="X143" i="6" s="1"/>
  <c r="X147" i="6" s="1"/>
  <c r="AJ12" i="10"/>
  <c r="AJ123" i="6"/>
  <c r="AJ115" i="6" s="1"/>
  <c r="D11" i="10" s="1"/>
  <c r="AJ56" i="6"/>
  <c r="G55" i="6"/>
  <c r="AJ59" i="3"/>
  <c r="AJ58" i="3"/>
  <c r="J44" i="6"/>
  <c r="AJ14" i="3"/>
  <c r="S28" i="6"/>
  <c r="M24" i="6"/>
  <c r="S25" i="6"/>
  <c r="M46" i="6"/>
  <c r="V48" i="6"/>
  <c r="U28" i="6"/>
  <c r="Z293" i="1" l="1"/>
  <c r="Z294" i="1" s="1"/>
  <c r="AA9" i="3"/>
  <c r="AA19" i="3" s="1"/>
  <c r="AA18" i="6" s="1"/>
  <c r="AA25" i="3"/>
  <c r="AA24" i="6" s="1"/>
  <c r="AA47" i="3"/>
  <c r="AA46" i="6" s="1"/>
  <c r="AA27" i="3"/>
  <c r="AA26" i="6" s="1"/>
  <c r="AA11" i="3"/>
  <c r="AA18" i="3" s="1"/>
  <c r="AA17" i="6" s="1"/>
  <c r="AA12" i="3"/>
  <c r="AA21" i="3" s="1"/>
  <c r="AA20" i="6" s="1"/>
  <c r="AA13" i="3"/>
  <c r="AA53" i="3"/>
  <c r="AA52" i="6" s="1"/>
  <c r="AA24" i="3"/>
  <c r="AA23" i="6" s="1"/>
  <c r="AA26" i="3"/>
  <c r="AA25" i="6" s="1"/>
  <c r="AA30" i="3"/>
  <c r="AA29" i="6" s="1"/>
  <c r="AA54" i="3"/>
  <c r="AA53" i="6" s="1"/>
  <c r="AA46" i="3"/>
  <c r="AA45" i="6" s="1"/>
  <c r="AA49" i="3"/>
  <c r="AA48" i="6" s="1"/>
  <c r="AA45" i="3"/>
  <c r="AA44" i="6" s="1"/>
  <c r="AA29" i="3"/>
  <c r="AA28" i="6" s="1"/>
  <c r="AA10" i="3"/>
  <c r="AA52" i="3"/>
  <c r="AA51" i="6" s="1"/>
  <c r="AA278" i="1"/>
  <c r="AA285" i="1"/>
  <c r="AA284" i="1" s="1"/>
  <c r="AA291" i="1" s="1"/>
  <c r="AC252" i="1"/>
  <c r="AC259" i="1" s="1"/>
  <c r="AC258" i="1" s="1"/>
  <c r="AB279" i="1"/>
  <c r="AB251" i="1"/>
  <c r="AA281" i="1"/>
  <c r="AA288" i="1"/>
  <c r="AA287" i="1" s="1"/>
  <c r="AA292" i="1" s="1"/>
  <c r="AB262" i="1"/>
  <c r="AB261" i="1" s="1"/>
  <c r="AC255" i="1"/>
  <c r="AB282" i="1"/>
  <c r="AB254" i="1"/>
  <c r="Q27" i="6"/>
  <c r="Q99" i="6" s="1"/>
  <c r="Q101" i="6" s="1"/>
  <c r="O20" i="3"/>
  <c r="O19" i="6" s="1"/>
  <c r="O21" i="3"/>
  <c r="O20" i="6" s="1"/>
  <c r="T21" i="3"/>
  <c r="T20" i="6" s="1"/>
  <c r="T20" i="3"/>
  <c r="T19" i="6" s="1"/>
  <c r="Q20" i="3"/>
  <c r="Q19" i="6" s="1"/>
  <c r="Q21" i="3"/>
  <c r="Q20" i="6" s="1"/>
  <c r="X21" i="3"/>
  <c r="X20" i="6" s="1"/>
  <c r="X20" i="3"/>
  <c r="X19" i="6" s="1"/>
  <c r="U20" i="3"/>
  <c r="U19" i="6" s="1"/>
  <c r="U21" i="3"/>
  <c r="U20" i="6" s="1"/>
  <c r="Y21" i="3"/>
  <c r="Y20" i="6" s="1"/>
  <c r="Y20" i="3"/>
  <c r="Y19" i="6" s="1"/>
  <c r="L21" i="3"/>
  <c r="L20" i="6" s="1"/>
  <c r="L20" i="3"/>
  <c r="L19" i="6" s="1"/>
  <c r="V20" i="3"/>
  <c r="V19" i="6" s="1"/>
  <c r="V21" i="3"/>
  <c r="V20" i="6" s="1"/>
  <c r="G19" i="6"/>
  <c r="G21" i="3"/>
  <c r="G20" i="6" s="1"/>
  <c r="S20" i="3"/>
  <c r="S19" i="6" s="1"/>
  <c r="S21" i="3"/>
  <c r="S20" i="6" s="1"/>
  <c r="H21" i="3"/>
  <c r="H20" i="6" s="1"/>
  <c r="H20" i="3"/>
  <c r="H19" i="6" s="1"/>
  <c r="N21" i="3"/>
  <c r="N20" i="6" s="1"/>
  <c r="N20" i="3"/>
  <c r="N19" i="6" s="1"/>
  <c r="R20" i="3"/>
  <c r="R19" i="6" s="1"/>
  <c r="R21" i="3"/>
  <c r="R20" i="6" s="1"/>
  <c r="W21" i="3"/>
  <c r="W20" i="6" s="1"/>
  <c r="W20" i="3"/>
  <c r="W19" i="6" s="1"/>
  <c r="Z20" i="3"/>
  <c r="Z19" i="6" s="1"/>
  <c r="Z21" i="3"/>
  <c r="Z20" i="6" s="1"/>
  <c r="K21" i="3"/>
  <c r="K20" i="6" s="1"/>
  <c r="K20" i="3"/>
  <c r="K19" i="6" s="1"/>
  <c r="J20" i="3"/>
  <c r="J19" i="6" s="1"/>
  <c r="J21" i="3"/>
  <c r="J20" i="6" s="1"/>
  <c r="M21" i="3"/>
  <c r="M20" i="6" s="1"/>
  <c r="M20" i="3"/>
  <c r="M19" i="6" s="1"/>
  <c r="I21" i="3"/>
  <c r="I20" i="6" s="1"/>
  <c r="I20" i="3"/>
  <c r="I19" i="6" s="1"/>
  <c r="P20" i="3"/>
  <c r="P19" i="6" s="1"/>
  <c r="P21" i="3"/>
  <c r="P20" i="6" s="1"/>
  <c r="AJ22" i="10"/>
  <c r="G21" i="10"/>
  <c r="AF21" i="10"/>
  <c r="Q21" i="10"/>
  <c r="O21" i="10"/>
  <c r="AC21" i="10"/>
  <c r="T21" i="10"/>
  <c r="AE21" i="10"/>
  <c r="U21" i="10"/>
  <c r="F21" i="10"/>
  <c r="AD21" i="10"/>
  <c r="AA21" i="10"/>
  <c r="S21" i="10"/>
  <c r="AG21" i="10"/>
  <c r="W21" i="10"/>
  <c r="P21" i="10"/>
  <c r="H21" i="10"/>
  <c r="J21" i="10"/>
  <c r="N21" i="10"/>
  <c r="R21" i="10"/>
  <c r="Z21" i="10"/>
  <c r="X21" i="10"/>
  <c r="Y21" i="10"/>
  <c r="V21" i="10"/>
  <c r="AB21" i="10"/>
  <c r="AI21" i="10"/>
  <c r="K21" i="10"/>
  <c r="AH21" i="10"/>
  <c r="M21" i="10"/>
  <c r="L21" i="10"/>
  <c r="I21" i="10"/>
  <c r="AJ19" i="10"/>
  <c r="Y27" i="6"/>
  <c r="Y99" i="6" s="1"/>
  <c r="Y103" i="6" s="1"/>
  <c r="F11" i="10"/>
  <c r="K11" i="10"/>
  <c r="Q11" i="10"/>
  <c r="Z11" i="10"/>
  <c r="M11" i="10"/>
  <c r="AB11" i="10"/>
  <c r="X11" i="10"/>
  <c r="Y11" i="10"/>
  <c r="W11" i="10"/>
  <c r="AE11" i="10"/>
  <c r="U11" i="10"/>
  <c r="S11" i="10"/>
  <c r="AG11" i="10"/>
  <c r="AD11" i="10"/>
  <c r="AC11" i="10"/>
  <c r="J11" i="10"/>
  <c r="N11" i="10"/>
  <c r="H11" i="10"/>
  <c r="O11" i="10"/>
  <c r="T11" i="10"/>
  <c r="V11" i="10"/>
  <c r="AA11" i="10"/>
  <c r="L11" i="10"/>
  <c r="AH11" i="10"/>
  <c r="P11" i="10"/>
  <c r="AF11" i="10"/>
  <c r="R11" i="10"/>
  <c r="AI11" i="10"/>
  <c r="I11" i="10"/>
  <c r="G11" i="10"/>
  <c r="I146" i="6"/>
  <c r="T144" i="6"/>
  <c r="T146" i="6"/>
  <c r="AG146" i="6"/>
  <c r="AG145" i="6"/>
  <c r="AG144" i="6"/>
  <c r="J146" i="6"/>
  <c r="P145" i="6"/>
  <c r="AD146" i="6"/>
  <c r="AB144" i="6"/>
  <c r="X145" i="6"/>
  <c r="R145" i="6"/>
  <c r="X144" i="6"/>
  <c r="X146" i="6"/>
  <c r="AI145" i="6"/>
  <c r="Z144" i="6"/>
  <c r="P144" i="6"/>
  <c r="S144" i="6"/>
  <c r="AD144" i="6"/>
  <c r="AD147" i="6"/>
  <c r="L146" i="6"/>
  <c r="AI147" i="6"/>
  <c r="AB146" i="6"/>
  <c r="P43" i="6"/>
  <c r="P42" i="6" s="1"/>
  <c r="P125" i="6" s="1"/>
  <c r="P128" i="6" s="1"/>
  <c r="Q22" i="6"/>
  <c r="Q91" i="6" s="1"/>
  <c r="T50" i="6"/>
  <c r="T49" i="6" s="1"/>
  <c r="T134" i="6" s="1"/>
  <c r="T138" i="6" s="1"/>
  <c r="V43" i="6"/>
  <c r="V42" i="6" s="1"/>
  <c r="V125" i="6" s="1"/>
  <c r="V126" i="6" s="1"/>
  <c r="P22" i="6"/>
  <c r="P91" i="6" s="1"/>
  <c r="P146" i="6"/>
  <c r="AH145" i="6"/>
  <c r="J147" i="6"/>
  <c r="I147" i="6"/>
  <c r="AB147" i="6"/>
  <c r="I144" i="6"/>
  <c r="AH147" i="6"/>
  <c r="AH144" i="6"/>
  <c r="R147" i="6"/>
  <c r="R144" i="6"/>
  <c r="Y146" i="6"/>
  <c r="W144" i="6"/>
  <c r="V145" i="6"/>
  <c r="W146" i="6"/>
  <c r="V147" i="6"/>
  <c r="H146" i="6"/>
  <c r="W147" i="6"/>
  <c r="J144" i="6"/>
  <c r="U145" i="6"/>
  <c r="T145" i="6"/>
  <c r="AF145" i="6"/>
  <c r="AF144" i="6"/>
  <c r="W50" i="6"/>
  <c r="W49" i="6" s="1"/>
  <c r="W134" i="6" s="1"/>
  <c r="W136" i="6" s="1"/>
  <c r="M146" i="6"/>
  <c r="Q145" i="6"/>
  <c r="X27" i="6"/>
  <c r="X99" i="6" s="1"/>
  <c r="X102" i="6" s="1"/>
  <c r="Q147" i="6"/>
  <c r="O43" i="6"/>
  <c r="O42" i="6" s="1"/>
  <c r="O125" i="6" s="1"/>
  <c r="O126" i="6" s="1"/>
  <c r="S43" i="6"/>
  <c r="S42" i="6" s="1"/>
  <c r="S125" i="6" s="1"/>
  <c r="S126" i="6" s="1"/>
  <c r="T27" i="6"/>
  <c r="T99" i="6" s="1"/>
  <c r="T101" i="6" s="1"/>
  <c r="Q144" i="6"/>
  <c r="O145" i="6"/>
  <c r="L147" i="6"/>
  <c r="U144" i="6"/>
  <c r="O144" i="6"/>
  <c r="N144" i="6"/>
  <c r="L144" i="6"/>
  <c r="U146" i="6"/>
  <c r="O147" i="6"/>
  <c r="N146" i="6"/>
  <c r="L43" i="6"/>
  <c r="L42" i="6" s="1"/>
  <c r="L125" i="6" s="1"/>
  <c r="L129" i="6" s="1"/>
  <c r="I27" i="6"/>
  <c r="I99" i="6" s="1"/>
  <c r="I102" i="6" s="1"/>
  <c r="K27" i="6"/>
  <c r="K99" i="6" s="1"/>
  <c r="K103" i="6" s="1"/>
  <c r="Z147" i="6"/>
  <c r="M144" i="6"/>
  <c r="Y145" i="6"/>
  <c r="N145" i="6"/>
  <c r="M27" i="6"/>
  <c r="M99" i="6" s="1"/>
  <c r="M103" i="6" s="1"/>
  <c r="X50" i="6"/>
  <c r="X49" i="6" s="1"/>
  <c r="X134" i="6" s="1"/>
  <c r="X137" i="6" s="1"/>
  <c r="Z145" i="6"/>
  <c r="M147" i="6"/>
  <c r="Y144" i="6"/>
  <c r="T22" i="6"/>
  <c r="R27" i="6"/>
  <c r="R99" i="6" s="1"/>
  <c r="R103" i="6" s="1"/>
  <c r="V146" i="6"/>
  <c r="S145" i="6"/>
  <c r="K144" i="6"/>
  <c r="K145" i="6"/>
  <c r="X43" i="6"/>
  <c r="X42" i="6" s="1"/>
  <c r="X125" i="6" s="1"/>
  <c r="X126" i="6" s="1"/>
  <c r="N27" i="6"/>
  <c r="N99" i="6" s="1"/>
  <c r="N102" i="6" s="1"/>
  <c r="K146" i="6"/>
  <c r="AE145" i="6"/>
  <c r="U27" i="6"/>
  <c r="U99" i="6" s="1"/>
  <c r="U103" i="6" s="1"/>
  <c r="AE147" i="6"/>
  <c r="N50" i="6"/>
  <c r="N49" i="6" s="1"/>
  <c r="AE144" i="6"/>
  <c r="AC145" i="6"/>
  <c r="V50" i="6"/>
  <c r="V49" i="6" s="1"/>
  <c r="N22" i="6"/>
  <c r="Z43" i="6"/>
  <c r="Z42" i="6" s="1"/>
  <c r="Z125" i="6" s="1"/>
  <c r="Z129" i="6" s="1"/>
  <c r="K43" i="6"/>
  <c r="K42" i="6" s="1"/>
  <c r="K125" i="6" s="1"/>
  <c r="K129" i="6" s="1"/>
  <c r="AC146" i="6"/>
  <c r="AC144" i="6"/>
  <c r="AA145" i="6"/>
  <c r="W27" i="6"/>
  <c r="W99" i="6" s="1"/>
  <c r="W102" i="6" s="1"/>
  <c r="Z50" i="6"/>
  <c r="Z49" i="6" s="1"/>
  <c r="H144" i="6"/>
  <c r="AA144" i="6"/>
  <c r="I50" i="6"/>
  <c r="I49" i="6" s="1"/>
  <c r="H145" i="6"/>
  <c r="AI146" i="6"/>
  <c r="AF147" i="6"/>
  <c r="S147" i="6"/>
  <c r="AA147" i="6"/>
  <c r="M22" i="6"/>
  <c r="M91" i="6" s="1"/>
  <c r="P17" i="6"/>
  <c r="Z17" i="6"/>
  <c r="M43" i="6"/>
  <c r="M42" i="6" s="1"/>
  <c r="M125" i="6" s="1"/>
  <c r="M127" i="6" s="1"/>
  <c r="S22" i="6"/>
  <c r="Y18" i="6"/>
  <c r="O17" i="6"/>
  <c r="H17" i="6"/>
  <c r="O18" i="6"/>
  <c r="T18" i="6"/>
  <c r="X18" i="6"/>
  <c r="H27" i="6"/>
  <c r="H99" i="6" s="1"/>
  <c r="J43" i="6"/>
  <c r="J42" i="6" s="1"/>
  <c r="J125" i="6" s="1"/>
  <c r="J129" i="6" s="1"/>
  <c r="G22" i="6"/>
  <c r="Q18" i="6"/>
  <c r="T17" i="6"/>
  <c r="G54" i="6"/>
  <c r="AJ55" i="6"/>
  <c r="V17" i="6"/>
  <c r="P50" i="6"/>
  <c r="P49" i="6" s="1"/>
  <c r="N17" i="6"/>
  <c r="I43" i="6"/>
  <c r="I42" i="6" s="1"/>
  <c r="I125" i="6" s="1"/>
  <c r="I126" i="6" s="1"/>
  <c r="J22" i="6"/>
  <c r="J50" i="6"/>
  <c r="J49" i="6" s="1"/>
  <c r="G50" i="6"/>
  <c r="Q43" i="6"/>
  <c r="Q42" i="6" s="1"/>
  <c r="Q125" i="6" s="1"/>
  <c r="Q126" i="6" s="1"/>
  <c r="Y43" i="6"/>
  <c r="Y42" i="6" s="1"/>
  <c r="Y125" i="6" s="1"/>
  <c r="Y127" i="6" s="1"/>
  <c r="L50" i="6"/>
  <c r="L49" i="6" s="1"/>
  <c r="J17" i="6"/>
  <c r="K22" i="6"/>
  <c r="X22" i="6"/>
  <c r="O50" i="6"/>
  <c r="O49" i="6" s="1"/>
  <c r="R43" i="6"/>
  <c r="R42" i="6" s="1"/>
  <c r="R125" i="6" s="1"/>
  <c r="R126" i="6" s="1"/>
  <c r="H43" i="6"/>
  <c r="H42" i="6" s="1"/>
  <c r="H125" i="6" s="1"/>
  <c r="H128" i="6" s="1"/>
  <c r="G18" i="6"/>
  <c r="K50" i="6"/>
  <c r="K49" i="6" s="1"/>
  <c r="V18" i="6"/>
  <c r="V22" i="6"/>
  <c r="U22" i="6"/>
  <c r="W17" i="6"/>
  <c r="O27" i="6"/>
  <c r="O99" i="6" s="1"/>
  <c r="Y22" i="6"/>
  <c r="Q50" i="6"/>
  <c r="Q49" i="6" s="1"/>
  <c r="Z22" i="6"/>
  <c r="L27" i="6"/>
  <c r="L99" i="6" s="1"/>
  <c r="I22" i="6"/>
  <c r="J18" i="6"/>
  <c r="G17" i="6"/>
  <c r="G27" i="6"/>
  <c r="K17" i="6"/>
  <c r="U18" i="6"/>
  <c r="W43" i="6"/>
  <c r="W42" i="6" s="1"/>
  <c r="W125" i="6" s="1"/>
  <c r="W127" i="6" s="1"/>
  <c r="U17" i="6"/>
  <c r="R50" i="6"/>
  <c r="R49" i="6" s="1"/>
  <c r="H50" i="6"/>
  <c r="H49" i="6" s="1"/>
  <c r="I17" i="6"/>
  <c r="U43" i="6"/>
  <c r="U42" i="6" s="1"/>
  <c r="U125" i="6" s="1"/>
  <c r="U127" i="6" s="1"/>
  <c r="U50" i="6"/>
  <c r="U49" i="6" s="1"/>
  <c r="V27" i="6"/>
  <c r="V99" i="6" s="1"/>
  <c r="Y50" i="6"/>
  <c r="Y49" i="6" s="1"/>
  <c r="T43" i="6"/>
  <c r="T42" i="6" s="1"/>
  <c r="T125" i="6" s="1"/>
  <c r="T127" i="6" s="1"/>
  <c r="Z27" i="6"/>
  <c r="Z99" i="6" s="1"/>
  <c r="P27" i="6"/>
  <c r="P99" i="6" s="1"/>
  <c r="H22" i="6"/>
  <c r="I18" i="6"/>
  <c r="K18" i="6"/>
  <c r="N43" i="6"/>
  <c r="N42" i="6" s="1"/>
  <c r="N125" i="6" s="1"/>
  <c r="N129" i="6" s="1"/>
  <c r="W22" i="6"/>
  <c r="M50" i="6"/>
  <c r="M49" i="6" s="1"/>
  <c r="Z18" i="6"/>
  <c r="S17" i="6"/>
  <c r="S50" i="6"/>
  <c r="S49" i="6" s="1"/>
  <c r="L22" i="6"/>
  <c r="S27" i="6"/>
  <c r="S99" i="6" s="1"/>
  <c r="R18" i="6"/>
  <c r="J27" i="6"/>
  <c r="J99" i="6" s="1"/>
  <c r="W18" i="6"/>
  <c r="Q17" i="6"/>
  <c r="R22" i="6"/>
  <c r="P18" i="6"/>
  <c r="L18" i="6"/>
  <c r="M18" i="6"/>
  <c r="O22" i="6"/>
  <c r="R17" i="6"/>
  <c r="N18" i="6"/>
  <c r="H18" i="6"/>
  <c r="G43" i="6"/>
  <c r="AA20" i="3" l="1"/>
  <c r="AA19" i="6" s="1"/>
  <c r="AA16" i="6" s="1"/>
  <c r="AA82" i="6" s="1"/>
  <c r="AA43" i="6"/>
  <c r="AA42" i="6" s="1"/>
  <c r="AA125" i="6" s="1"/>
  <c r="AA127" i="6" s="1"/>
  <c r="AA27" i="6"/>
  <c r="AA99" i="6" s="1"/>
  <c r="AA103" i="6" s="1"/>
  <c r="AA50" i="6"/>
  <c r="AA49" i="6" s="1"/>
  <c r="AA134" i="6" s="1"/>
  <c r="Z297" i="1"/>
  <c r="Z302" i="1" s="1"/>
  <c r="AB13" i="3" s="1"/>
  <c r="AA22" i="6"/>
  <c r="AB281" i="1"/>
  <c r="AB288" i="1"/>
  <c r="AB287" i="1" s="1"/>
  <c r="AB292" i="1" s="1"/>
  <c r="AD255" i="1"/>
  <c r="AC282" i="1"/>
  <c r="AC254" i="1"/>
  <c r="AC262" i="1"/>
  <c r="AC261" i="1" s="1"/>
  <c r="AB278" i="1"/>
  <c r="AB285" i="1"/>
  <c r="AB284" i="1" s="1"/>
  <c r="AB291" i="1" s="1"/>
  <c r="AD252" i="1"/>
  <c r="AD259" i="1" s="1"/>
  <c r="AD258" i="1" s="1"/>
  <c r="AC251" i="1"/>
  <c r="AC279" i="1"/>
  <c r="AA293" i="1"/>
  <c r="Q103" i="6"/>
  <c r="Q102" i="6"/>
  <c r="Q100" i="6"/>
  <c r="AJ21" i="10"/>
  <c r="Y101" i="6"/>
  <c r="M129" i="6"/>
  <c r="Y126" i="6"/>
  <c r="Y102" i="6"/>
  <c r="P126" i="6"/>
  <c r="Y100" i="6"/>
  <c r="K127" i="6"/>
  <c r="J128" i="6"/>
  <c r="Y128" i="6"/>
  <c r="I101" i="6"/>
  <c r="I100" i="6"/>
  <c r="AG148" i="6"/>
  <c r="AG149" i="6" s="1"/>
  <c r="AG150" i="6" s="1"/>
  <c r="AG142" i="6" s="1"/>
  <c r="AG18" i="10" s="1"/>
  <c r="J126" i="6"/>
  <c r="Y129" i="6"/>
  <c r="AJ11" i="10"/>
  <c r="T148" i="6"/>
  <c r="T149" i="6" s="1"/>
  <c r="T103" i="6"/>
  <c r="T100" i="6"/>
  <c r="T102" i="6"/>
  <c r="AI148" i="6"/>
  <c r="AI149" i="6" s="1"/>
  <c r="AI150" i="6" s="1"/>
  <c r="AI142" i="6" s="1"/>
  <c r="AI18" i="10" s="1"/>
  <c r="I148" i="6"/>
  <c r="I149" i="6" s="1"/>
  <c r="I150" i="6" s="1"/>
  <c r="I142" i="6" s="1"/>
  <c r="I18" i="10" s="1"/>
  <c r="X148" i="6"/>
  <c r="X149" i="6" s="1"/>
  <c r="X150" i="6" s="1"/>
  <c r="X142" i="6" s="1"/>
  <c r="X18" i="10" s="1"/>
  <c r="P148" i="6"/>
  <c r="P149" i="6" s="1"/>
  <c r="P150" i="6" s="1"/>
  <c r="P142" i="6" s="1"/>
  <c r="P18" i="10" s="1"/>
  <c r="AD148" i="6"/>
  <c r="AD149" i="6" s="1"/>
  <c r="AD150" i="6" s="1"/>
  <c r="AD142" i="6" s="1"/>
  <c r="AD18" i="10" s="1"/>
  <c r="Q21" i="6"/>
  <c r="O129" i="6"/>
  <c r="M102" i="6"/>
  <c r="M101" i="6"/>
  <c r="M148" i="6"/>
  <c r="M149" i="6" s="1"/>
  <c r="M150" i="6" s="1"/>
  <c r="M142" i="6" s="1"/>
  <c r="M18" i="10" s="1"/>
  <c r="N101" i="6"/>
  <c r="Z126" i="6"/>
  <c r="W101" i="6"/>
  <c r="K128" i="6"/>
  <c r="K126" i="6"/>
  <c r="N21" i="6"/>
  <c r="S129" i="6"/>
  <c r="J148" i="6"/>
  <c r="J149" i="6" s="1"/>
  <c r="J150" i="6" s="1"/>
  <c r="J142" i="6" s="1"/>
  <c r="J18" i="10" s="1"/>
  <c r="S128" i="6"/>
  <c r="U148" i="6"/>
  <c r="U149" i="6" s="1"/>
  <c r="AH148" i="6"/>
  <c r="AH149" i="6" s="1"/>
  <c r="AH150" i="6" s="1"/>
  <c r="AH142" i="6" s="1"/>
  <c r="AH18" i="10" s="1"/>
  <c r="S127" i="6"/>
  <c r="V128" i="6"/>
  <c r="V127" i="6"/>
  <c r="V129" i="6"/>
  <c r="R100" i="6"/>
  <c r="R148" i="6"/>
  <c r="R149" i="6" s="1"/>
  <c r="R150" i="6" s="1"/>
  <c r="R142" i="6" s="1"/>
  <c r="R18" i="10" s="1"/>
  <c r="AF148" i="6"/>
  <c r="AF149" i="6" s="1"/>
  <c r="AF150" i="6" s="1"/>
  <c r="AF142" i="6" s="1"/>
  <c r="AF18" i="10" s="1"/>
  <c r="AB148" i="6"/>
  <c r="AB149" i="6" s="1"/>
  <c r="AB150" i="6" s="1"/>
  <c r="AB142" i="6" s="1"/>
  <c r="AB18" i="10" s="1"/>
  <c r="Z148" i="6"/>
  <c r="Z149" i="6" s="1"/>
  <c r="Z150" i="6" s="1"/>
  <c r="Z142" i="6" s="1"/>
  <c r="Z18" i="10" s="1"/>
  <c r="W148" i="6"/>
  <c r="W149" i="6" s="1"/>
  <c r="W150" i="6" s="1"/>
  <c r="W142" i="6" s="1"/>
  <c r="W18" i="10" s="1"/>
  <c r="W135" i="6"/>
  <c r="P127" i="6"/>
  <c r="J127" i="6"/>
  <c r="Q127" i="6"/>
  <c r="Q128" i="6"/>
  <c r="Q129" i="6"/>
  <c r="W138" i="6"/>
  <c r="X101" i="6"/>
  <c r="N127" i="6"/>
  <c r="N126" i="6"/>
  <c r="P129" i="6"/>
  <c r="X129" i="6"/>
  <c r="U126" i="6"/>
  <c r="W129" i="6"/>
  <c r="X138" i="6"/>
  <c r="R102" i="6"/>
  <c r="T136" i="6"/>
  <c r="U129" i="6"/>
  <c r="I127" i="6"/>
  <c r="T137" i="6"/>
  <c r="X127" i="6"/>
  <c r="U128" i="6"/>
  <c r="R129" i="6"/>
  <c r="X128" i="6"/>
  <c r="R128" i="6"/>
  <c r="I129" i="6"/>
  <c r="I128" i="6"/>
  <c r="U102" i="6"/>
  <c r="N91" i="6"/>
  <c r="N92" i="6" s="1"/>
  <c r="N128" i="6"/>
  <c r="R127" i="6"/>
  <c r="T135" i="6"/>
  <c r="X135" i="6"/>
  <c r="W126" i="6"/>
  <c r="X136" i="6"/>
  <c r="K101" i="6"/>
  <c r="Z128" i="6"/>
  <c r="X100" i="6"/>
  <c r="U101" i="6"/>
  <c r="X103" i="6"/>
  <c r="U100" i="6"/>
  <c r="Z127" i="6"/>
  <c r="H126" i="6"/>
  <c r="T21" i="6"/>
  <c r="H129" i="6"/>
  <c r="H127" i="6"/>
  <c r="M126" i="6"/>
  <c r="N100" i="6"/>
  <c r="N103" i="6"/>
  <c r="M128" i="6"/>
  <c r="M100" i="6"/>
  <c r="W103" i="6"/>
  <c r="K102" i="6"/>
  <c r="K100" i="6"/>
  <c r="W128" i="6"/>
  <c r="W100" i="6"/>
  <c r="I103" i="6"/>
  <c r="M21" i="6"/>
  <c r="W137" i="6"/>
  <c r="R101" i="6"/>
  <c r="M16" i="6"/>
  <c r="M82" i="6" s="1"/>
  <c r="M83" i="6" s="1"/>
  <c r="L16" i="6"/>
  <c r="L82" i="6" s="1"/>
  <c r="L83" i="6" s="1"/>
  <c r="O128" i="6"/>
  <c r="O148" i="6"/>
  <c r="O149" i="6" s="1"/>
  <c r="O150" i="6" s="1"/>
  <c r="O142" i="6" s="1"/>
  <c r="O18" i="10" s="1"/>
  <c r="V148" i="6"/>
  <c r="V149" i="6" s="1"/>
  <c r="V150" i="6" s="1"/>
  <c r="V142" i="6" s="1"/>
  <c r="V18" i="10" s="1"/>
  <c r="AC148" i="6"/>
  <c r="AC149" i="6" s="1"/>
  <c r="AC150" i="6" s="1"/>
  <c r="AC142" i="6" s="1"/>
  <c r="AC18" i="10" s="1"/>
  <c r="Q148" i="6"/>
  <c r="Q149" i="6" s="1"/>
  <c r="Q150" i="6" s="1"/>
  <c r="Q142" i="6" s="1"/>
  <c r="Q18" i="10" s="1"/>
  <c r="S148" i="6"/>
  <c r="S149" i="6" s="1"/>
  <c r="S150" i="6" s="1"/>
  <c r="S142" i="6" s="1"/>
  <c r="S18" i="10" s="1"/>
  <c r="Y148" i="6"/>
  <c r="Y149" i="6" s="1"/>
  <c r="Y150" i="6" s="1"/>
  <c r="Y142" i="6" s="1"/>
  <c r="Y18" i="10" s="1"/>
  <c r="N148" i="6"/>
  <c r="N149" i="6" s="1"/>
  <c r="N150" i="6" s="1"/>
  <c r="N142" i="6" s="1"/>
  <c r="N18" i="10" s="1"/>
  <c r="H148" i="6"/>
  <c r="H149" i="6" s="1"/>
  <c r="H150" i="6" s="1"/>
  <c r="H142" i="6" s="1"/>
  <c r="H18" i="10" s="1"/>
  <c r="K148" i="6"/>
  <c r="K149" i="6" s="1"/>
  <c r="K150" i="6" s="1"/>
  <c r="K142" i="6" s="1"/>
  <c r="K18" i="10" s="1"/>
  <c r="L148" i="6"/>
  <c r="L149" i="6" s="1"/>
  <c r="L150" i="6" s="1"/>
  <c r="L142" i="6" s="1"/>
  <c r="L18" i="10" s="1"/>
  <c r="L127" i="6"/>
  <c r="T91" i="6"/>
  <c r="T95" i="6" s="1"/>
  <c r="L128" i="6"/>
  <c r="L126" i="6"/>
  <c r="O127" i="6"/>
  <c r="AE148" i="6"/>
  <c r="AE149" i="6" s="1"/>
  <c r="AE150" i="6" s="1"/>
  <c r="AE142" i="6" s="1"/>
  <c r="AE18" i="10" s="1"/>
  <c r="X16" i="6"/>
  <c r="X82" i="6" s="1"/>
  <c r="X84" i="6" s="1"/>
  <c r="AA148" i="6"/>
  <c r="AA149" i="6" s="1"/>
  <c r="AA150" i="6" s="1"/>
  <c r="AA142" i="6" s="1"/>
  <c r="AA18" i="10" s="1"/>
  <c r="M134" i="6"/>
  <c r="M135" i="6" s="1"/>
  <c r="Y134" i="6"/>
  <c r="Y135" i="6" s="1"/>
  <c r="Q134" i="6"/>
  <c r="Q137" i="6" s="1"/>
  <c r="K134" i="6"/>
  <c r="K135" i="6" s="1"/>
  <c r="N134" i="6"/>
  <c r="H134" i="6"/>
  <c r="H137" i="6" s="1"/>
  <c r="P134" i="6"/>
  <c r="P137" i="6" s="1"/>
  <c r="S134" i="6"/>
  <c r="S138" i="6" s="1"/>
  <c r="T129" i="6"/>
  <c r="R134" i="6"/>
  <c r="R135" i="6" s="1"/>
  <c r="L134" i="6"/>
  <c r="L138" i="6" s="1"/>
  <c r="J134" i="6"/>
  <c r="J138" i="6" s="1"/>
  <c r="T128" i="6"/>
  <c r="I134" i="6"/>
  <c r="T126" i="6"/>
  <c r="U134" i="6"/>
  <c r="U138" i="6" s="1"/>
  <c r="Y16" i="6"/>
  <c r="Y82" i="6" s="1"/>
  <c r="Y83" i="6" s="1"/>
  <c r="Z134" i="6"/>
  <c r="V134" i="6"/>
  <c r="O134" i="6"/>
  <c r="O138" i="6" s="1"/>
  <c r="P103" i="6"/>
  <c r="P100" i="6"/>
  <c r="P101" i="6"/>
  <c r="P102" i="6"/>
  <c r="I91" i="6"/>
  <c r="I21" i="6"/>
  <c r="J16" i="6"/>
  <c r="J82" i="6" s="1"/>
  <c r="O91" i="6"/>
  <c r="O21" i="6"/>
  <c r="S101" i="6"/>
  <c r="S103" i="6"/>
  <c r="S102" i="6"/>
  <c r="S100" i="6"/>
  <c r="X91" i="6"/>
  <c r="X21" i="6"/>
  <c r="AJ54" i="6"/>
  <c r="G143" i="6"/>
  <c r="G21" i="6"/>
  <c r="G91" i="6"/>
  <c r="O16" i="6"/>
  <c r="O82" i="6" s="1"/>
  <c r="L91" i="6"/>
  <c r="L21" i="6"/>
  <c r="M95" i="6"/>
  <c r="M92" i="6"/>
  <c r="M93" i="6"/>
  <c r="M94" i="6"/>
  <c r="T16" i="6"/>
  <c r="T82" i="6" s="1"/>
  <c r="Z16" i="6"/>
  <c r="Z82" i="6" s="1"/>
  <c r="R16" i="6"/>
  <c r="R82" i="6" s="1"/>
  <c r="Z101" i="6"/>
  <c r="Z102" i="6"/>
  <c r="Z100" i="6"/>
  <c r="Z103" i="6"/>
  <c r="L103" i="6"/>
  <c r="L100" i="6"/>
  <c r="L102" i="6"/>
  <c r="L101" i="6"/>
  <c r="N16" i="6"/>
  <c r="N82" i="6" s="1"/>
  <c r="H100" i="6"/>
  <c r="H102" i="6"/>
  <c r="H101" i="6"/>
  <c r="H103" i="6"/>
  <c r="Z21" i="6"/>
  <c r="Z91" i="6"/>
  <c r="V91" i="6"/>
  <c r="V21" i="6"/>
  <c r="P16" i="6"/>
  <c r="P82" i="6" s="1"/>
  <c r="R91" i="6"/>
  <c r="R21" i="6"/>
  <c r="K16" i="6"/>
  <c r="K82" i="6" s="1"/>
  <c r="I16" i="6"/>
  <c r="I82" i="6" s="1"/>
  <c r="G99" i="6"/>
  <c r="Q94" i="6"/>
  <c r="Q95" i="6"/>
  <c r="Q92" i="6"/>
  <c r="Q93" i="6"/>
  <c r="W16" i="6"/>
  <c r="W82" i="6" s="1"/>
  <c r="G49" i="6"/>
  <c r="Y91" i="6"/>
  <c r="Y21" i="6"/>
  <c r="U91" i="6"/>
  <c r="U21" i="6"/>
  <c r="V100" i="6"/>
  <c r="V101" i="6"/>
  <c r="V102" i="6"/>
  <c r="V103" i="6"/>
  <c r="G16" i="6"/>
  <c r="O100" i="6"/>
  <c r="O103" i="6"/>
  <c r="O101" i="6"/>
  <c r="O102" i="6"/>
  <c r="K91" i="6"/>
  <c r="K21" i="6"/>
  <c r="J91" i="6"/>
  <c r="J21" i="6"/>
  <c r="P21" i="6"/>
  <c r="J103" i="6"/>
  <c r="J100" i="6"/>
  <c r="J102" i="6"/>
  <c r="J101" i="6"/>
  <c r="U16" i="6"/>
  <c r="U82" i="6" s="1"/>
  <c r="P95" i="6"/>
  <c r="P92" i="6"/>
  <c r="P93" i="6"/>
  <c r="P94" i="6"/>
  <c r="Q16" i="6"/>
  <c r="Q82" i="6" s="1"/>
  <c r="S16" i="6"/>
  <c r="S82" i="6" s="1"/>
  <c r="W91" i="6"/>
  <c r="W21" i="6"/>
  <c r="H91" i="6"/>
  <c r="H21" i="6"/>
  <c r="V16" i="6"/>
  <c r="V82" i="6" s="1"/>
  <c r="H16" i="6"/>
  <c r="H82" i="6" s="1"/>
  <c r="S21" i="6"/>
  <c r="S91" i="6"/>
  <c r="G42" i="6"/>
  <c r="AB27" i="3" l="1"/>
  <c r="AB26" i="6" s="1"/>
  <c r="AB9" i="3"/>
  <c r="AB19" i="3" s="1"/>
  <c r="AB12" i="3"/>
  <c r="AB21" i="3" s="1"/>
  <c r="AB49" i="3"/>
  <c r="AB48" i="6" s="1"/>
  <c r="AB11" i="3"/>
  <c r="AB18" i="3" s="1"/>
  <c r="AB53" i="3"/>
  <c r="AB52" i="6" s="1"/>
  <c r="AA21" i="6"/>
  <c r="AB47" i="3"/>
  <c r="AB46" i="6" s="1"/>
  <c r="AB25" i="3"/>
  <c r="AB24" i="6" s="1"/>
  <c r="AB52" i="3"/>
  <c r="AB51" i="6" s="1"/>
  <c r="AB10" i="3"/>
  <c r="AB24" i="3"/>
  <c r="AB23" i="6" s="1"/>
  <c r="AB29" i="3"/>
  <c r="AB28" i="6" s="1"/>
  <c r="AB26" i="3"/>
  <c r="AB25" i="6" s="1"/>
  <c r="AA129" i="6"/>
  <c r="AA128" i="6"/>
  <c r="AA126" i="6"/>
  <c r="AB46" i="3"/>
  <c r="AB45" i="6" s="1"/>
  <c r="AB45" i="3"/>
  <c r="AB44" i="6" s="1"/>
  <c r="AA91" i="6"/>
  <c r="AA92" i="6" s="1"/>
  <c r="AB54" i="3"/>
  <c r="AB53" i="6" s="1"/>
  <c r="AB30" i="3"/>
  <c r="AB29" i="6" s="1"/>
  <c r="AA101" i="6"/>
  <c r="AA100" i="6"/>
  <c r="AA102" i="6"/>
  <c r="AB293" i="1"/>
  <c r="AB297" i="1" s="1"/>
  <c r="AB302" i="1" s="1"/>
  <c r="AA294" i="1"/>
  <c r="AA297" i="1"/>
  <c r="AA302" i="1" s="1"/>
  <c r="AC278" i="1"/>
  <c r="AC285" i="1"/>
  <c r="AC284" i="1" s="1"/>
  <c r="AC291" i="1" s="1"/>
  <c r="AD279" i="1"/>
  <c r="AD251" i="1"/>
  <c r="AE252" i="1"/>
  <c r="AE259" i="1" s="1"/>
  <c r="AE258" i="1" s="1"/>
  <c r="AC281" i="1"/>
  <c r="AC288" i="1"/>
  <c r="AC287" i="1" s="1"/>
  <c r="AC292" i="1" s="1"/>
  <c r="AD282" i="1"/>
  <c r="AD254" i="1"/>
  <c r="AD262" i="1"/>
  <c r="AD261" i="1" s="1"/>
  <c r="AE255" i="1"/>
  <c r="Q104" i="6"/>
  <c r="Q105" i="6" s="1"/>
  <c r="Q106" i="6" s="1"/>
  <c r="Y104" i="6"/>
  <c r="Y105" i="6" s="1"/>
  <c r="Y106" i="6" s="1"/>
  <c r="L84" i="6"/>
  <c r="I104" i="6"/>
  <c r="I105" i="6" s="1"/>
  <c r="I106" i="6" s="1"/>
  <c r="T104" i="6"/>
  <c r="T105" i="6" s="1"/>
  <c r="T106" i="6" s="1"/>
  <c r="Y130" i="6"/>
  <c r="Y131" i="6" s="1"/>
  <c r="Y132" i="6" s="1"/>
  <c r="Y124" i="6" s="1"/>
  <c r="Y14" i="10" s="1"/>
  <c r="J130" i="6"/>
  <c r="J131" i="6" s="1"/>
  <c r="J132" i="6" s="1"/>
  <c r="J124" i="6" s="1"/>
  <c r="J14" i="10" s="1"/>
  <c r="U150" i="6"/>
  <c r="U142" i="6" s="1"/>
  <c r="U18" i="10" s="1"/>
  <c r="T150" i="6"/>
  <c r="T142" i="6" s="1"/>
  <c r="T18" i="10" s="1"/>
  <c r="V130" i="6"/>
  <c r="V131" i="6" s="1"/>
  <c r="V132" i="6" s="1"/>
  <c r="V124" i="6" s="1"/>
  <c r="V14" i="10" s="1"/>
  <c r="R138" i="6"/>
  <c r="S130" i="6"/>
  <c r="S131" i="6" s="1"/>
  <c r="S132" i="6" s="1"/>
  <c r="S124" i="6" s="1"/>
  <c r="S14" i="10" s="1"/>
  <c r="M104" i="6"/>
  <c r="M105" i="6" s="1"/>
  <c r="M106" i="6" s="1"/>
  <c r="K138" i="6"/>
  <c r="K136" i="6"/>
  <c r="P130" i="6"/>
  <c r="P131" i="6" s="1"/>
  <c r="P132" i="6" s="1"/>
  <c r="P124" i="6" s="1"/>
  <c r="P14" i="10" s="1"/>
  <c r="K130" i="6"/>
  <c r="K131" i="6" s="1"/>
  <c r="K132" i="6" s="1"/>
  <c r="K124" i="6" s="1"/>
  <c r="K14" i="10" s="1"/>
  <c r="Z130" i="6"/>
  <c r="Z131" i="6" s="1"/>
  <c r="Z132" i="6" s="1"/>
  <c r="Z124" i="6" s="1"/>
  <c r="Z14" i="10" s="1"/>
  <c r="P135" i="6"/>
  <c r="P136" i="6"/>
  <c r="M138" i="6"/>
  <c r="P138" i="6"/>
  <c r="M137" i="6"/>
  <c r="M130" i="6"/>
  <c r="M131" i="6" s="1"/>
  <c r="M132" i="6" s="1"/>
  <c r="M124" i="6" s="1"/>
  <c r="M14" i="10" s="1"/>
  <c r="M136" i="6"/>
  <c r="H138" i="6"/>
  <c r="Q130" i="6"/>
  <c r="Q131" i="6" s="1"/>
  <c r="Q132" i="6" s="1"/>
  <c r="Q124" i="6" s="1"/>
  <c r="Q14" i="10" s="1"/>
  <c r="Q138" i="6"/>
  <c r="Q136" i="6"/>
  <c r="Q135" i="6"/>
  <c r="W139" i="6"/>
  <c r="W140" i="6" s="1"/>
  <c r="W141" i="6" s="1"/>
  <c r="W133" i="6" s="1"/>
  <c r="W16" i="10" s="1"/>
  <c r="R130" i="6"/>
  <c r="R131" i="6" s="1"/>
  <c r="R132" i="6" s="1"/>
  <c r="R124" i="6" s="1"/>
  <c r="R14" i="10" s="1"/>
  <c r="K104" i="6"/>
  <c r="K105" i="6" s="1"/>
  <c r="K106" i="6" s="1"/>
  <c r="W104" i="6"/>
  <c r="W105" i="6" s="1"/>
  <c r="W106" i="6" s="1"/>
  <c r="H130" i="6"/>
  <c r="H131" i="6" s="1"/>
  <c r="H132" i="6" s="1"/>
  <c r="H124" i="6" s="1"/>
  <c r="H14" i="10" s="1"/>
  <c r="X104" i="6"/>
  <c r="X105" i="6" s="1"/>
  <c r="X106" i="6" s="1"/>
  <c r="N130" i="6"/>
  <c r="N131" i="6" s="1"/>
  <c r="N132" i="6" s="1"/>
  <c r="N124" i="6" s="1"/>
  <c r="N14" i="10" s="1"/>
  <c r="X130" i="6"/>
  <c r="X131" i="6" s="1"/>
  <c r="X132" i="6" s="1"/>
  <c r="X124" i="6" s="1"/>
  <c r="X14" i="10" s="1"/>
  <c r="N104" i="6"/>
  <c r="N105" i="6" s="1"/>
  <c r="N106" i="6" s="1"/>
  <c r="T92" i="6"/>
  <c r="R137" i="6"/>
  <c r="T93" i="6"/>
  <c r="J137" i="6"/>
  <c r="X86" i="6"/>
  <c r="R104" i="6"/>
  <c r="R105" i="6" s="1"/>
  <c r="R106" i="6" s="1"/>
  <c r="J136" i="6"/>
  <c r="X85" i="6"/>
  <c r="U104" i="6"/>
  <c r="U105" i="6" s="1"/>
  <c r="U106" i="6" s="1"/>
  <c r="I130" i="6"/>
  <c r="I131" i="6" s="1"/>
  <c r="I132" i="6" s="1"/>
  <c r="I124" i="6" s="1"/>
  <c r="I14" i="10" s="1"/>
  <c r="M85" i="6"/>
  <c r="U130" i="6"/>
  <c r="U131" i="6" s="1"/>
  <c r="U132" i="6" s="1"/>
  <c r="U124" i="6" s="1"/>
  <c r="U14" i="10" s="1"/>
  <c r="Q96" i="6"/>
  <c r="Q97" i="6" s="1"/>
  <c r="Q98" i="6" s="1"/>
  <c r="N93" i="6"/>
  <c r="T130" i="6"/>
  <c r="T131" i="6" s="1"/>
  <c r="T132" i="6" s="1"/>
  <c r="T124" i="6" s="1"/>
  <c r="T14" i="10" s="1"/>
  <c r="R136" i="6"/>
  <c r="K137" i="6"/>
  <c r="S136" i="6"/>
  <c r="X83" i="6"/>
  <c r="L130" i="6"/>
  <c r="L131" i="6" s="1"/>
  <c r="L132" i="6" s="1"/>
  <c r="L124" i="6" s="1"/>
  <c r="L14" i="10" s="1"/>
  <c r="W130" i="6"/>
  <c r="W131" i="6" s="1"/>
  <c r="W132" i="6" s="1"/>
  <c r="W124" i="6" s="1"/>
  <c r="W14" i="10" s="1"/>
  <c r="X139" i="6"/>
  <c r="X140" i="6" s="1"/>
  <c r="X141" i="6" s="1"/>
  <c r="X133" i="6" s="1"/>
  <c r="X16" i="10" s="1"/>
  <c r="N94" i="6"/>
  <c r="N95" i="6"/>
  <c r="T139" i="6"/>
  <c r="T140" i="6" s="1"/>
  <c r="T141" i="6" s="1"/>
  <c r="T133" i="6" s="1"/>
  <c r="T16" i="10" s="1"/>
  <c r="L135" i="6"/>
  <c r="T94" i="6"/>
  <c r="Y136" i="6"/>
  <c r="O130" i="6"/>
  <c r="O131" i="6" s="1"/>
  <c r="O132" i="6" s="1"/>
  <c r="O124" i="6" s="1"/>
  <c r="O14" i="10" s="1"/>
  <c r="Y137" i="6"/>
  <c r="Y138" i="6"/>
  <c r="O137" i="6"/>
  <c r="L136" i="6"/>
  <c r="O136" i="6"/>
  <c r="O135" i="6"/>
  <c r="L137" i="6"/>
  <c r="V104" i="6"/>
  <c r="V105" i="6" s="1"/>
  <c r="V106" i="6" s="1"/>
  <c r="P104" i="6"/>
  <c r="P105" i="6" s="1"/>
  <c r="P106" i="6" s="1"/>
  <c r="L86" i="6"/>
  <c r="H136" i="6"/>
  <c r="M84" i="6"/>
  <c r="J135" i="6"/>
  <c r="H135" i="6"/>
  <c r="S137" i="6"/>
  <c r="M86" i="6"/>
  <c r="S135" i="6"/>
  <c r="Y85" i="6"/>
  <c r="Z104" i="6"/>
  <c r="Z105" i="6" s="1"/>
  <c r="Z106" i="6" s="1"/>
  <c r="L85" i="6"/>
  <c r="O104" i="6"/>
  <c r="O105" i="6" s="1"/>
  <c r="O106" i="6" s="1"/>
  <c r="Y84" i="6"/>
  <c r="Y86" i="6"/>
  <c r="L104" i="6"/>
  <c r="L105" i="6" s="1"/>
  <c r="L106" i="6" s="1"/>
  <c r="U135" i="6"/>
  <c r="S104" i="6"/>
  <c r="S105" i="6" s="1"/>
  <c r="S106" i="6" s="1"/>
  <c r="P96" i="6"/>
  <c r="P97" i="6" s="1"/>
  <c r="P98" i="6" s="1"/>
  <c r="J104" i="6"/>
  <c r="J105" i="6" s="1"/>
  <c r="J106" i="6" s="1"/>
  <c r="H104" i="6"/>
  <c r="H105" i="6" s="1"/>
  <c r="H106" i="6" s="1"/>
  <c r="N135" i="6"/>
  <c r="N137" i="6"/>
  <c r="N136" i="6"/>
  <c r="N138" i="6"/>
  <c r="I138" i="6"/>
  <c r="I136" i="6"/>
  <c r="I137" i="6"/>
  <c r="I135" i="6"/>
  <c r="AA135" i="6"/>
  <c r="AA137" i="6"/>
  <c r="AA138" i="6"/>
  <c r="AA136" i="6"/>
  <c r="U137" i="6"/>
  <c r="V135" i="6"/>
  <c r="V136" i="6"/>
  <c r="V137" i="6"/>
  <c r="V138" i="6"/>
  <c r="U136" i="6"/>
  <c r="M96" i="6"/>
  <c r="M97" i="6" s="1"/>
  <c r="M98" i="6" s="1"/>
  <c r="Z135" i="6"/>
  <c r="Z138" i="6"/>
  <c r="Z137" i="6"/>
  <c r="Z136" i="6"/>
  <c r="Y95" i="6"/>
  <c r="Y94" i="6"/>
  <c r="Y93" i="6"/>
  <c r="Y92" i="6"/>
  <c r="I84" i="6"/>
  <c r="I85" i="6"/>
  <c r="I83" i="6"/>
  <c r="I86" i="6"/>
  <c r="R86" i="6"/>
  <c r="R85" i="6"/>
  <c r="R84" i="6"/>
  <c r="R83" i="6"/>
  <c r="O85" i="6"/>
  <c r="O84" i="6"/>
  <c r="O86" i="6"/>
  <c r="O83" i="6"/>
  <c r="R94" i="6"/>
  <c r="R95" i="6"/>
  <c r="R93" i="6"/>
  <c r="R92" i="6"/>
  <c r="H85" i="6"/>
  <c r="H86" i="6"/>
  <c r="H83" i="6"/>
  <c r="H84" i="6"/>
  <c r="H93" i="6"/>
  <c r="H95" i="6"/>
  <c r="H94" i="6"/>
  <c r="H92" i="6"/>
  <c r="P86" i="6"/>
  <c r="P84" i="6"/>
  <c r="P83" i="6"/>
  <c r="P85" i="6"/>
  <c r="N84" i="6"/>
  <c r="N85" i="6"/>
  <c r="N86" i="6"/>
  <c r="N83" i="6"/>
  <c r="U95" i="6"/>
  <c r="U93" i="6"/>
  <c r="U94" i="6"/>
  <c r="U92" i="6"/>
  <c r="Z83" i="6"/>
  <c r="Z84" i="6"/>
  <c r="Z86" i="6"/>
  <c r="Z85" i="6"/>
  <c r="G94" i="6"/>
  <c r="G93" i="6"/>
  <c r="G95" i="6"/>
  <c r="G92" i="6"/>
  <c r="W93" i="6"/>
  <c r="W94" i="6"/>
  <c r="W95" i="6"/>
  <c r="W92" i="6"/>
  <c r="S85" i="6"/>
  <c r="S83" i="6"/>
  <c r="S84" i="6"/>
  <c r="S86" i="6"/>
  <c r="G82" i="6"/>
  <c r="G134" i="6"/>
  <c r="K84" i="6"/>
  <c r="K85" i="6"/>
  <c r="K86" i="6"/>
  <c r="K83" i="6"/>
  <c r="V85" i="6"/>
  <c r="V83" i="6"/>
  <c r="V84" i="6"/>
  <c r="V86" i="6"/>
  <c r="G145" i="6"/>
  <c r="AJ145" i="6" s="1"/>
  <c r="G146" i="6"/>
  <c r="AJ146" i="6" s="1"/>
  <c r="G144" i="6"/>
  <c r="AJ144" i="6" s="1"/>
  <c r="AJ143" i="6"/>
  <c r="G147" i="6"/>
  <c r="AJ147" i="6" s="1"/>
  <c r="S93" i="6"/>
  <c r="S92" i="6"/>
  <c r="S94" i="6"/>
  <c r="S95" i="6"/>
  <c r="Q85" i="6"/>
  <c r="Q84" i="6"/>
  <c r="Q83" i="6"/>
  <c r="Q86" i="6"/>
  <c r="U84" i="6"/>
  <c r="U83" i="6"/>
  <c r="U86" i="6"/>
  <c r="U85" i="6"/>
  <c r="G102" i="6"/>
  <c r="G103" i="6"/>
  <c r="G101" i="6"/>
  <c r="G100" i="6"/>
  <c r="Z93" i="6"/>
  <c r="Z94" i="6"/>
  <c r="Z92" i="6"/>
  <c r="Z95" i="6"/>
  <c r="J83" i="6"/>
  <c r="J85" i="6"/>
  <c r="J86" i="6"/>
  <c r="J84" i="6"/>
  <c r="V93" i="6"/>
  <c r="V94" i="6"/>
  <c r="V95" i="6"/>
  <c r="V92" i="6"/>
  <c r="L94" i="6"/>
  <c r="L92" i="6"/>
  <c r="L95" i="6"/>
  <c r="L93" i="6"/>
  <c r="J93" i="6"/>
  <c r="J94" i="6"/>
  <c r="J92" i="6"/>
  <c r="J95" i="6"/>
  <c r="I95" i="6"/>
  <c r="I93" i="6"/>
  <c r="I92" i="6"/>
  <c r="I94" i="6"/>
  <c r="K94" i="6"/>
  <c r="K92" i="6"/>
  <c r="K93" i="6"/>
  <c r="K95" i="6"/>
  <c r="T84" i="6"/>
  <c r="T85" i="6"/>
  <c r="T83" i="6"/>
  <c r="T86" i="6"/>
  <c r="AA84" i="6"/>
  <c r="AA85" i="6"/>
  <c r="AA86" i="6"/>
  <c r="AA83" i="6"/>
  <c r="O93" i="6"/>
  <c r="O94" i="6"/>
  <c r="O92" i="6"/>
  <c r="O95" i="6"/>
  <c r="W86" i="6"/>
  <c r="W84" i="6"/>
  <c r="W83" i="6"/>
  <c r="W85" i="6"/>
  <c r="X94" i="6"/>
  <c r="X95" i="6"/>
  <c r="X93" i="6"/>
  <c r="X92" i="6"/>
  <c r="G125" i="6"/>
  <c r="AA94" i="6" l="1"/>
  <c r="AB20" i="3"/>
  <c r="AA95" i="6"/>
  <c r="AA93" i="6"/>
  <c r="AA96" i="6" s="1"/>
  <c r="AA97" i="6" s="1"/>
  <c r="AA98" i="6" s="1"/>
  <c r="AA130" i="6"/>
  <c r="AA131" i="6" s="1"/>
  <c r="AA132" i="6" s="1"/>
  <c r="AA124" i="6" s="1"/>
  <c r="AA14" i="10" s="1"/>
  <c r="AA104" i="6"/>
  <c r="AA105" i="6" s="1"/>
  <c r="AA106" i="6" s="1"/>
  <c r="AB294" i="1"/>
  <c r="AB18" i="6"/>
  <c r="AB50" i="6"/>
  <c r="AB19" i="6"/>
  <c r="AB22" i="6"/>
  <c r="AB17" i="6"/>
  <c r="AB27" i="6"/>
  <c r="AB20" i="6"/>
  <c r="AB43" i="6"/>
  <c r="AD9" i="3"/>
  <c r="AD19" i="3" s="1"/>
  <c r="AD18" i="6" s="1"/>
  <c r="AD52" i="3"/>
  <c r="AD51" i="6" s="1"/>
  <c r="AD54" i="3"/>
  <c r="AD53" i="6" s="1"/>
  <c r="AD25" i="3"/>
  <c r="AD24" i="6" s="1"/>
  <c r="AD45" i="3"/>
  <c r="AD44" i="6" s="1"/>
  <c r="AD29" i="3"/>
  <c r="AD28" i="6" s="1"/>
  <c r="AD46" i="3"/>
  <c r="AD45" i="6" s="1"/>
  <c r="AD10" i="3"/>
  <c r="AD47" i="3"/>
  <c r="AD46" i="6" s="1"/>
  <c r="AD11" i="3"/>
  <c r="AD18" i="3" s="1"/>
  <c r="AD17" i="6" s="1"/>
  <c r="AD12" i="3"/>
  <c r="AD27" i="3"/>
  <c r="AD26" i="6" s="1"/>
  <c r="AD53" i="3"/>
  <c r="AD52" i="6" s="1"/>
  <c r="AD24" i="3"/>
  <c r="AD23" i="6" s="1"/>
  <c r="AD49" i="3"/>
  <c r="AD48" i="6" s="1"/>
  <c r="AD26" i="3"/>
  <c r="AD25" i="6" s="1"/>
  <c r="AD13" i="3"/>
  <c r="AD30" i="3"/>
  <c r="AD29" i="6" s="1"/>
  <c r="AC9" i="3"/>
  <c r="AC24" i="3"/>
  <c r="AC26" i="3"/>
  <c r="AC13" i="3"/>
  <c r="AC30" i="3"/>
  <c r="AC54" i="3"/>
  <c r="AC45" i="3"/>
  <c r="AC46" i="3"/>
  <c r="AC29" i="3"/>
  <c r="AC10" i="3"/>
  <c r="AC25" i="3"/>
  <c r="AC47" i="3"/>
  <c r="AC11" i="3"/>
  <c r="AC12" i="3"/>
  <c r="AC27" i="3"/>
  <c r="AC53" i="3"/>
  <c r="AC49" i="3"/>
  <c r="AC52" i="3"/>
  <c r="Q90" i="6"/>
  <c r="Q10" i="10" s="1"/>
  <c r="AD281" i="1"/>
  <c r="AD288" i="1"/>
  <c r="AD287" i="1" s="1"/>
  <c r="AD292" i="1" s="1"/>
  <c r="AE279" i="1"/>
  <c r="AE251" i="1"/>
  <c r="AF252" i="1"/>
  <c r="AF259" i="1" s="1"/>
  <c r="AF258" i="1" s="1"/>
  <c r="AD278" i="1"/>
  <c r="AD285" i="1"/>
  <c r="AD284" i="1" s="1"/>
  <c r="AD291" i="1" s="1"/>
  <c r="AC293" i="1"/>
  <c r="AE282" i="1"/>
  <c r="AE254" i="1"/>
  <c r="AE262" i="1"/>
  <c r="AE261" i="1" s="1"/>
  <c r="AF255" i="1"/>
  <c r="K139" i="6"/>
  <c r="K140" i="6" s="1"/>
  <c r="K141" i="6" s="1"/>
  <c r="K133" i="6" s="1"/>
  <c r="K16" i="10" s="1"/>
  <c r="M90" i="6"/>
  <c r="M10" i="10" s="1"/>
  <c r="P139" i="6"/>
  <c r="P140" i="6" s="1"/>
  <c r="P141" i="6" s="1"/>
  <c r="P133" i="6" s="1"/>
  <c r="P16" i="10" s="1"/>
  <c r="T96" i="6"/>
  <c r="T97" i="6" s="1"/>
  <c r="T98" i="6" s="1"/>
  <c r="T90" i="6" s="1"/>
  <c r="T10" i="10" s="1"/>
  <c r="M139" i="6"/>
  <c r="M140" i="6" s="1"/>
  <c r="M141" i="6" s="1"/>
  <c r="M133" i="6" s="1"/>
  <c r="M16" i="10" s="1"/>
  <c r="Q139" i="6"/>
  <c r="Q140" i="6" s="1"/>
  <c r="Q141" i="6" s="1"/>
  <c r="Q133" i="6" s="1"/>
  <c r="Q16" i="10" s="1"/>
  <c r="R139" i="6"/>
  <c r="R140" i="6" s="1"/>
  <c r="R141" i="6" s="1"/>
  <c r="R133" i="6" s="1"/>
  <c r="R16" i="10" s="1"/>
  <c r="I87" i="6"/>
  <c r="I88" i="6" s="1"/>
  <c r="I176" i="6" s="1"/>
  <c r="N96" i="6"/>
  <c r="N97" i="6" s="1"/>
  <c r="N98" i="6" s="1"/>
  <c r="N90" i="6" s="1"/>
  <c r="N10" i="10" s="1"/>
  <c r="J139" i="6"/>
  <c r="J140" i="6" s="1"/>
  <c r="J141" i="6" s="1"/>
  <c r="J133" i="6" s="1"/>
  <c r="J16" i="10" s="1"/>
  <c r="X87" i="6"/>
  <c r="X88" i="6" s="1"/>
  <c r="X176" i="6" s="1"/>
  <c r="M87" i="6"/>
  <c r="M88" i="6" s="1"/>
  <c r="M176" i="6" s="1"/>
  <c r="L139" i="6"/>
  <c r="L140" i="6" s="1"/>
  <c r="L141" i="6" s="1"/>
  <c r="L133" i="6" s="1"/>
  <c r="L16" i="10" s="1"/>
  <c r="L87" i="6"/>
  <c r="L88" i="6" s="1"/>
  <c r="L176" i="6" s="1"/>
  <c r="Y139" i="6"/>
  <c r="Y140" i="6" s="1"/>
  <c r="Y141" i="6" s="1"/>
  <c r="Y133" i="6" s="1"/>
  <c r="Y16" i="10" s="1"/>
  <c r="P90" i="6"/>
  <c r="P10" i="10" s="1"/>
  <c r="H139" i="6"/>
  <c r="H140" i="6" s="1"/>
  <c r="H141" i="6" s="1"/>
  <c r="H133" i="6" s="1"/>
  <c r="H16" i="10" s="1"/>
  <c r="O139" i="6"/>
  <c r="O140" i="6" s="1"/>
  <c r="O141" i="6" s="1"/>
  <c r="O133" i="6" s="1"/>
  <c r="O16" i="10" s="1"/>
  <c r="Y87" i="6"/>
  <c r="Y88" i="6" s="1"/>
  <c r="Y176" i="6" s="1"/>
  <c r="V96" i="6"/>
  <c r="V97" i="6" s="1"/>
  <c r="V98" i="6" s="1"/>
  <c r="V90" i="6" s="1"/>
  <c r="V10" i="10" s="1"/>
  <c r="S139" i="6"/>
  <c r="S140" i="6" s="1"/>
  <c r="S141" i="6" s="1"/>
  <c r="S133" i="6" s="1"/>
  <c r="S16" i="10" s="1"/>
  <c r="V87" i="6"/>
  <c r="V88" i="6" s="1"/>
  <c r="V176" i="6" s="1"/>
  <c r="O96" i="6"/>
  <c r="O97" i="6" s="1"/>
  <c r="O98" i="6" s="1"/>
  <c r="O90" i="6" s="1"/>
  <c r="O10" i="10" s="1"/>
  <c r="J87" i="6"/>
  <c r="J88" i="6" s="1"/>
  <c r="J176" i="6" s="1"/>
  <c r="Q87" i="6"/>
  <c r="Q88" i="6" s="1"/>
  <c r="Q176" i="6" s="1"/>
  <c r="O87" i="6"/>
  <c r="O88" i="6" s="1"/>
  <c r="O176" i="6" s="1"/>
  <c r="R96" i="6"/>
  <c r="R97" i="6" s="1"/>
  <c r="R98" i="6" s="1"/>
  <c r="R90" i="6" s="1"/>
  <c r="R10" i="10" s="1"/>
  <c r="H96" i="6"/>
  <c r="H97" i="6" s="1"/>
  <c r="H98" i="6" s="1"/>
  <c r="H90" i="6" s="1"/>
  <c r="H10" i="10" s="1"/>
  <c r="K87" i="6"/>
  <c r="K88" i="6" s="1"/>
  <c r="K176" i="6" s="1"/>
  <c r="U96" i="6"/>
  <c r="U97" i="6" s="1"/>
  <c r="U98" i="6" s="1"/>
  <c r="U90" i="6" s="1"/>
  <c r="U10" i="10" s="1"/>
  <c r="H87" i="6"/>
  <c r="H88" i="6" s="1"/>
  <c r="H176" i="6" s="1"/>
  <c r="L96" i="6"/>
  <c r="L97" i="6" s="1"/>
  <c r="L98" i="6" s="1"/>
  <c r="L90" i="6" s="1"/>
  <c r="L10" i="10" s="1"/>
  <c r="P87" i="6"/>
  <c r="P88" i="6" s="1"/>
  <c r="P176" i="6" s="1"/>
  <c r="I139" i="6"/>
  <c r="I140" i="6" s="1"/>
  <c r="I141" i="6" s="1"/>
  <c r="I133" i="6" s="1"/>
  <c r="I16" i="10" s="1"/>
  <c r="I96" i="6"/>
  <c r="I97" i="6" s="1"/>
  <c r="I98" i="6" s="1"/>
  <c r="I90" i="6" s="1"/>
  <c r="I10" i="10" s="1"/>
  <c r="X96" i="6"/>
  <c r="X97" i="6" s="1"/>
  <c r="X98" i="6" s="1"/>
  <c r="X90" i="6" s="1"/>
  <c r="X10" i="10" s="1"/>
  <c r="Z139" i="6"/>
  <c r="Z140" i="6" s="1"/>
  <c r="Z141" i="6" s="1"/>
  <c r="Z133" i="6" s="1"/>
  <c r="Z16" i="10" s="1"/>
  <c r="K96" i="6"/>
  <c r="K97" i="6" s="1"/>
  <c r="K98" i="6" s="1"/>
  <c r="K90" i="6" s="1"/>
  <c r="K10" i="10" s="1"/>
  <c r="J96" i="6"/>
  <c r="J97" i="6" s="1"/>
  <c r="J98" i="6" s="1"/>
  <c r="J90" i="6" s="1"/>
  <c r="J10" i="10" s="1"/>
  <c r="V139" i="6"/>
  <c r="V140" i="6" s="1"/>
  <c r="V141" i="6" s="1"/>
  <c r="V133" i="6" s="1"/>
  <c r="V16" i="10" s="1"/>
  <c r="S87" i="6"/>
  <c r="S88" i="6" s="1"/>
  <c r="S176" i="6" s="1"/>
  <c r="S96" i="6"/>
  <c r="S97" i="6" s="1"/>
  <c r="S98" i="6" s="1"/>
  <c r="S90" i="6" s="1"/>
  <c r="S10" i="10" s="1"/>
  <c r="N139" i="6"/>
  <c r="N140" i="6" s="1"/>
  <c r="N141" i="6" s="1"/>
  <c r="N133" i="6" s="1"/>
  <c r="N16" i="10" s="1"/>
  <c r="U139" i="6"/>
  <c r="U140" i="6" s="1"/>
  <c r="U141" i="6" s="1"/>
  <c r="U133" i="6" s="1"/>
  <c r="U16" i="10" s="1"/>
  <c r="U87" i="6"/>
  <c r="U88" i="6" s="1"/>
  <c r="U176" i="6" s="1"/>
  <c r="W87" i="6"/>
  <c r="W88" i="6" s="1"/>
  <c r="W176" i="6" s="1"/>
  <c r="W96" i="6"/>
  <c r="W97" i="6" s="1"/>
  <c r="W98" i="6" s="1"/>
  <c r="W90" i="6" s="1"/>
  <c r="W10" i="10" s="1"/>
  <c r="T87" i="6"/>
  <c r="T88" i="6" s="1"/>
  <c r="T176" i="6" s="1"/>
  <c r="Y96" i="6"/>
  <c r="Y97" i="6" s="1"/>
  <c r="Y98" i="6" s="1"/>
  <c r="Y90" i="6" s="1"/>
  <c r="Y10" i="10" s="1"/>
  <c r="Z96" i="6"/>
  <c r="Z97" i="6" s="1"/>
  <c r="Z98" i="6" s="1"/>
  <c r="Z90" i="6" s="1"/>
  <c r="Z10" i="10" s="1"/>
  <c r="Z87" i="6"/>
  <c r="Z88" i="6" s="1"/>
  <c r="Z176" i="6" s="1"/>
  <c r="N87" i="6"/>
  <c r="N88" i="6" s="1"/>
  <c r="N176" i="6" s="1"/>
  <c r="R87" i="6"/>
  <c r="R88" i="6" s="1"/>
  <c r="AA139" i="6"/>
  <c r="AA140" i="6" s="1"/>
  <c r="AA141" i="6" s="1"/>
  <c r="AA133" i="6" s="1"/>
  <c r="AA16" i="10" s="1"/>
  <c r="G148" i="6"/>
  <c r="AJ148" i="6" s="1"/>
  <c r="G96" i="6"/>
  <c r="AA87" i="6"/>
  <c r="G104" i="6"/>
  <c r="G135" i="6"/>
  <c r="G136" i="6"/>
  <c r="G137" i="6"/>
  <c r="G138" i="6"/>
  <c r="G85" i="6"/>
  <c r="G86" i="6"/>
  <c r="G84" i="6"/>
  <c r="G83" i="6"/>
  <c r="G129" i="6"/>
  <c r="G127" i="6"/>
  <c r="G126" i="6"/>
  <c r="G128" i="6"/>
  <c r="AA90" i="6" l="1"/>
  <c r="AA10" i="10" s="1"/>
  <c r="AD50" i="6"/>
  <c r="AD49" i="6" s="1"/>
  <c r="AD134" i="6" s="1"/>
  <c r="AD136" i="6" s="1"/>
  <c r="AD293" i="1"/>
  <c r="AD297" i="1" s="1"/>
  <c r="AD302" i="1" s="1"/>
  <c r="AC23" i="6"/>
  <c r="AC46" i="6"/>
  <c r="AD27" i="6"/>
  <c r="AD99" i="6" s="1"/>
  <c r="AD102" i="6" s="1"/>
  <c r="AC18" i="3"/>
  <c r="AC24" i="6"/>
  <c r="AD43" i="6"/>
  <c r="AD42" i="6" s="1"/>
  <c r="AD125" i="6" s="1"/>
  <c r="AD127" i="6" s="1"/>
  <c r="AB91" i="6"/>
  <c r="AB21" i="6"/>
  <c r="AC28" i="6"/>
  <c r="AC45" i="6"/>
  <c r="AD22" i="6"/>
  <c r="AD91" i="6" s="1"/>
  <c r="AC19" i="3"/>
  <c r="AC44" i="6"/>
  <c r="AC51" i="6"/>
  <c r="AC53" i="6"/>
  <c r="AB42" i="6"/>
  <c r="AC48" i="6"/>
  <c r="AC29" i="6"/>
  <c r="AB49" i="6"/>
  <c r="AC52" i="6"/>
  <c r="AB99" i="6"/>
  <c r="AB16" i="6"/>
  <c r="AC26" i="6"/>
  <c r="AC25" i="6"/>
  <c r="AD20" i="3"/>
  <c r="AD19" i="6" s="1"/>
  <c r="AD21" i="3"/>
  <c r="AD20" i="6" s="1"/>
  <c r="AC21" i="3"/>
  <c r="AC20" i="3"/>
  <c r="AE281" i="1"/>
  <c r="AE288" i="1"/>
  <c r="AE287" i="1" s="1"/>
  <c r="AE292" i="1" s="1"/>
  <c r="AF282" i="1"/>
  <c r="AF254" i="1"/>
  <c r="AF262" i="1"/>
  <c r="AF261" i="1" s="1"/>
  <c r="AG255" i="1"/>
  <c r="AE285" i="1"/>
  <c r="AE284" i="1" s="1"/>
  <c r="AE291" i="1" s="1"/>
  <c r="AE278" i="1"/>
  <c r="AC294" i="1"/>
  <c r="AC297" i="1"/>
  <c r="AC302" i="1" s="1"/>
  <c r="AF279" i="1"/>
  <c r="AF251" i="1"/>
  <c r="AG252" i="1"/>
  <c r="AG259" i="1" s="1"/>
  <c r="AG258" i="1" s="1"/>
  <c r="L89" i="6"/>
  <c r="X89" i="6"/>
  <c r="M89" i="6"/>
  <c r="Y89" i="6"/>
  <c r="R176" i="6"/>
  <c r="R89" i="6"/>
  <c r="U89" i="6"/>
  <c r="Z89" i="6"/>
  <c r="S89" i="6"/>
  <c r="G130" i="6"/>
  <c r="W89" i="6"/>
  <c r="P89" i="6"/>
  <c r="J89" i="6"/>
  <c r="O89" i="6"/>
  <c r="G149" i="6"/>
  <c r="AJ149" i="6" s="1"/>
  <c r="G105" i="6"/>
  <c r="AA88" i="6"/>
  <c r="AA176" i="6" s="1"/>
  <c r="Q89" i="6"/>
  <c r="V89" i="6"/>
  <c r="G139" i="6"/>
  <c r="I89" i="6"/>
  <c r="H89" i="6"/>
  <c r="G87" i="6"/>
  <c r="T89" i="6"/>
  <c r="K89" i="6"/>
  <c r="G97" i="6"/>
  <c r="N89" i="6"/>
  <c r="AD294" i="1" l="1"/>
  <c r="AD101" i="6"/>
  <c r="AD100" i="6"/>
  <c r="AD138" i="6"/>
  <c r="AD135" i="6"/>
  <c r="AD137" i="6"/>
  <c r="AD103" i="6"/>
  <c r="AD16" i="6"/>
  <c r="AD82" i="6" s="1"/>
  <c r="AD85" i="6" s="1"/>
  <c r="AC50" i="6"/>
  <c r="AB82" i="6"/>
  <c r="AC17" i="6"/>
  <c r="AD129" i="6"/>
  <c r="AC43" i="6"/>
  <c r="AB134" i="6"/>
  <c r="AD126" i="6"/>
  <c r="AB100" i="6"/>
  <c r="AB102" i="6"/>
  <c r="AB101" i="6"/>
  <c r="AB103" i="6"/>
  <c r="AC27" i="6"/>
  <c r="AD128" i="6"/>
  <c r="AC19" i="6"/>
  <c r="AD21" i="6"/>
  <c r="AC20" i="6"/>
  <c r="AB125" i="6"/>
  <c r="AC18" i="6"/>
  <c r="AB92" i="6"/>
  <c r="AB94" i="6"/>
  <c r="AB93" i="6"/>
  <c r="AB95" i="6"/>
  <c r="AC22" i="6"/>
  <c r="AD94" i="6"/>
  <c r="AD95" i="6"/>
  <c r="AD92" i="6"/>
  <c r="AD93" i="6"/>
  <c r="AE293" i="1"/>
  <c r="AE294" i="1" s="1"/>
  <c r="AF9" i="3"/>
  <c r="AF19" i="3" s="1"/>
  <c r="AF18" i="6" s="1"/>
  <c r="AF47" i="3"/>
  <c r="AF46" i="6" s="1"/>
  <c r="AF11" i="3"/>
  <c r="AF18" i="3" s="1"/>
  <c r="AF17" i="6" s="1"/>
  <c r="AF53" i="3"/>
  <c r="AF52" i="6" s="1"/>
  <c r="AF46" i="3"/>
  <c r="AF45" i="6" s="1"/>
  <c r="AF24" i="3"/>
  <c r="AF23" i="6" s="1"/>
  <c r="AF10" i="3"/>
  <c r="AF49" i="3"/>
  <c r="AF48" i="6" s="1"/>
  <c r="AF30" i="3"/>
  <c r="AF29" i="6" s="1"/>
  <c r="AF26" i="3"/>
  <c r="AF25" i="6" s="1"/>
  <c r="AF13" i="3"/>
  <c r="AF12" i="3"/>
  <c r="AF52" i="3"/>
  <c r="AF51" i="6" s="1"/>
  <c r="AF54" i="3"/>
  <c r="AF53" i="6" s="1"/>
  <c r="AF45" i="3"/>
  <c r="AF44" i="6" s="1"/>
  <c r="AF25" i="3"/>
  <c r="AF24" i="6" s="1"/>
  <c r="AF29" i="3"/>
  <c r="AF28" i="6" s="1"/>
  <c r="AF27" i="3"/>
  <c r="AF26" i="6" s="1"/>
  <c r="AE9" i="3"/>
  <c r="AE47" i="3"/>
  <c r="AE12" i="3"/>
  <c r="AE11" i="3"/>
  <c r="AE27" i="3"/>
  <c r="AE53" i="3"/>
  <c r="AE24" i="3"/>
  <c r="AE46" i="3"/>
  <c r="AE49" i="3"/>
  <c r="AE10" i="3"/>
  <c r="AE30" i="3"/>
  <c r="AE26" i="3"/>
  <c r="AE13" i="3"/>
  <c r="AE52" i="3"/>
  <c r="AE54" i="3"/>
  <c r="AE45" i="3"/>
  <c r="AE25" i="3"/>
  <c r="AE29" i="3"/>
  <c r="AF288" i="1"/>
  <c r="AF287" i="1" s="1"/>
  <c r="AF292" i="1" s="1"/>
  <c r="AF281" i="1"/>
  <c r="AG279" i="1"/>
  <c r="AG251" i="1"/>
  <c r="AH252" i="1"/>
  <c r="AG282" i="1"/>
  <c r="AG254" i="1"/>
  <c r="AG262" i="1"/>
  <c r="AG261" i="1" s="1"/>
  <c r="AH255" i="1"/>
  <c r="AF285" i="1"/>
  <c r="AF284" i="1" s="1"/>
  <c r="AF291" i="1" s="1"/>
  <c r="AF278" i="1"/>
  <c r="G131" i="6"/>
  <c r="G132" i="6" s="1"/>
  <c r="AA89" i="6"/>
  <c r="G150" i="6"/>
  <c r="G88" i="6"/>
  <c r="G89" i="6" s="1"/>
  <c r="G140" i="6"/>
  <c r="G106" i="6"/>
  <c r="G98" i="6"/>
  <c r="AE297" i="1" l="1"/>
  <c r="AE302" i="1" s="1"/>
  <c r="AG13" i="3" s="1"/>
  <c r="AD104" i="6"/>
  <c r="AD105" i="6" s="1"/>
  <c r="AD106" i="6" s="1"/>
  <c r="AD139" i="6"/>
  <c r="AD140" i="6" s="1"/>
  <c r="AD141" i="6" s="1"/>
  <c r="AD133" i="6" s="1"/>
  <c r="AD16" i="10" s="1"/>
  <c r="AD130" i="6"/>
  <c r="AD131" i="6" s="1"/>
  <c r="AD132" i="6" s="1"/>
  <c r="AD124" i="6" s="1"/>
  <c r="AD14" i="10" s="1"/>
  <c r="AF50" i="6"/>
  <c r="AF49" i="6" s="1"/>
  <c r="AF134" i="6" s="1"/>
  <c r="AF135" i="6" s="1"/>
  <c r="AB96" i="6"/>
  <c r="AB97" i="6" s="1"/>
  <c r="AD96" i="6"/>
  <c r="AD97" i="6" s="1"/>
  <c r="AD98" i="6" s="1"/>
  <c r="AF293" i="1"/>
  <c r="AF297" i="1" s="1"/>
  <c r="AF302" i="1" s="1"/>
  <c r="AD86" i="6"/>
  <c r="AD83" i="6"/>
  <c r="AD84" i="6"/>
  <c r="AB84" i="6"/>
  <c r="AB85" i="6"/>
  <c r="AB83" i="6"/>
  <c r="AB86" i="6"/>
  <c r="AF22" i="6"/>
  <c r="AF91" i="6" s="1"/>
  <c r="AB136" i="6"/>
  <c r="AB137" i="6"/>
  <c r="AB138" i="6"/>
  <c r="AB135" i="6"/>
  <c r="AE51" i="6"/>
  <c r="AC91" i="6"/>
  <c r="AC21" i="6"/>
  <c r="AC49" i="6"/>
  <c r="AB129" i="6"/>
  <c r="AB126" i="6"/>
  <c r="AB127" i="6"/>
  <c r="AB128" i="6"/>
  <c r="AC42" i="6"/>
  <c r="AE48" i="6"/>
  <c r="AF43" i="6"/>
  <c r="AF42" i="6" s="1"/>
  <c r="AF125" i="6" s="1"/>
  <c r="AF129" i="6" s="1"/>
  <c r="AC99" i="6"/>
  <c r="AE18" i="3"/>
  <c r="AE46" i="6"/>
  <c r="AE19" i="3"/>
  <c r="AE29" i="6"/>
  <c r="AE45" i="6"/>
  <c r="AE44" i="6"/>
  <c r="AE53" i="6"/>
  <c r="AE23" i="6"/>
  <c r="AB104" i="6"/>
  <c r="AC16" i="6"/>
  <c r="AF27" i="6"/>
  <c r="AF99" i="6" s="1"/>
  <c r="AF101" i="6" s="1"/>
  <c r="AE52" i="6"/>
  <c r="AE25" i="6"/>
  <c r="AE28" i="6"/>
  <c r="AE24" i="6"/>
  <c r="AE26" i="6"/>
  <c r="AG9" i="3"/>
  <c r="AG19" i="3" s="1"/>
  <c r="AG18" i="6" s="1"/>
  <c r="AF20" i="3"/>
  <c r="AF19" i="6" s="1"/>
  <c r="AF21" i="3"/>
  <c r="AF20" i="6" s="1"/>
  <c r="AE21" i="3"/>
  <c r="AE20" i="3"/>
  <c r="AG281" i="1"/>
  <c r="AG288" i="1"/>
  <c r="AH282" i="1"/>
  <c r="AH281" i="1" s="1"/>
  <c r="AH254" i="1"/>
  <c r="AH262" i="1"/>
  <c r="AH261" i="1" s="1"/>
  <c r="AH251" i="1"/>
  <c r="AH259" i="1"/>
  <c r="AH258" i="1" s="1"/>
  <c r="AG278" i="1"/>
  <c r="AG285" i="1"/>
  <c r="AH279" i="1"/>
  <c r="AH278" i="1" s="1"/>
  <c r="G142" i="6"/>
  <c r="G18" i="10" s="1"/>
  <c r="AJ150" i="6"/>
  <c r="AJ142" i="6" s="1"/>
  <c r="D17" i="10" s="1"/>
  <c r="G90" i="6"/>
  <c r="G10" i="10" s="1"/>
  <c r="G141" i="6"/>
  <c r="G176" i="6"/>
  <c r="G124" i="6"/>
  <c r="G14" i="10" s="1"/>
  <c r="AG45" i="3" l="1"/>
  <c r="AG44" i="6" s="1"/>
  <c r="AG52" i="3"/>
  <c r="AG51" i="6" s="1"/>
  <c r="AG25" i="3"/>
  <c r="AG24" i="6" s="1"/>
  <c r="AG46" i="3"/>
  <c r="AG45" i="6" s="1"/>
  <c r="AG54" i="3"/>
  <c r="AG53" i="6" s="1"/>
  <c r="AG30" i="3"/>
  <c r="AG29" i="6" s="1"/>
  <c r="AG26" i="3"/>
  <c r="AG25" i="6" s="1"/>
  <c r="AG47" i="3"/>
  <c r="AG46" i="6" s="1"/>
  <c r="AG29" i="3"/>
  <c r="AG28" i="6" s="1"/>
  <c r="AG10" i="3"/>
  <c r="AG49" i="3"/>
  <c r="AG48" i="6" s="1"/>
  <c r="AG12" i="3"/>
  <c r="AG21" i="3" s="1"/>
  <c r="AG20" i="6" s="1"/>
  <c r="AG24" i="3"/>
  <c r="AG23" i="6" s="1"/>
  <c r="AG11" i="3"/>
  <c r="AG18" i="3" s="1"/>
  <c r="AG17" i="6" s="1"/>
  <c r="AG53" i="3"/>
  <c r="AG52" i="6" s="1"/>
  <c r="AG27" i="3"/>
  <c r="AG26" i="6" s="1"/>
  <c r="AF294" i="1"/>
  <c r="AD90" i="6"/>
  <c r="AD10" i="10" s="1"/>
  <c r="AD87" i="6"/>
  <c r="AD88" i="6" s="1"/>
  <c r="AD176" i="6" s="1"/>
  <c r="AF137" i="6"/>
  <c r="AF136" i="6"/>
  <c r="AF138" i="6"/>
  <c r="AB130" i="6"/>
  <c r="AB131" i="6" s="1"/>
  <c r="AB87" i="6"/>
  <c r="AB88" i="6" s="1"/>
  <c r="AF102" i="6"/>
  <c r="AF126" i="6"/>
  <c r="AF16" i="6"/>
  <c r="AF82" i="6" s="1"/>
  <c r="AF85" i="6" s="1"/>
  <c r="AF128" i="6"/>
  <c r="AF127" i="6"/>
  <c r="AF21" i="6"/>
  <c r="AE18" i="6"/>
  <c r="AE19" i="6"/>
  <c r="AC125" i="6"/>
  <c r="AE22" i="6"/>
  <c r="AE20" i="6"/>
  <c r="AE43" i="6"/>
  <c r="AE17" i="6"/>
  <c r="AC92" i="6"/>
  <c r="AC93" i="6"/>
  <c r="AC94" i="6"/>
  <c r="AC95" i="6"/>
  <c r="AC134" i="6"/>
  <c r="AC103" i="6"/>
  <c r="AC102" i="6"/>
  <c r="AC100" i="6"/>
  <c r="AC101" i="6"/>
  <c r="AE50" i="6"/>
  <c r="AC82" i="6"/>
  <c r="AB139" i="6"/>
  <c r="AF103" i="6"/>
  <c r="AE27" i="6"/>
  <c r="AB105" i="6"/>
  <c r="AB98" i="6"/>
  <c r="AF100" i="6"/>
  <c r="AF94" i="6"/>
  <c r="AF95" i="6"/>
  <c r="AF92" i="6"/>
  <c r="AF93" i="6"/>
  <c r="AH9" i="3"/>
  <c r="AH19" i="3" s="1"/>
  <c r="AH18" i="6" s="1"/>
  <c r="AH54" i="3"/>
  <c r="AH53" i="6" s="1"/>
  <c r="AH25" i="3"/>
  <c r="AH24" i="6" s="1"/>
  <c r="AH45" i="3"/>
  <c r="AH12" i="3"/>
  <c r="AH29" i="3"/>
  <c r="AH28" i="6" s="1"/>
  <c r="AH53" i="3"/>
  <c r="AH27" i="3"/>
  <c r="AH47" i="3"/>
  <c r="AH46" i="6" s="1"/>
  <c r="AH30" i="3"/>
  <c r="AH29" i="6" s="1"/>
  <c r="AH11" i="3"/>
  <c r="AH18" i="3" s="1"/>
  <c r="AH17" i="6" s="1"/>
  <c r="AH46" i="3"/>
  <c r="AH45" i="6" s="1"/>
  <c r="AH10" i="3"/>
  <c r="AH49" i="3"/>
  <c r="AH48" i="6" s="1"/>
  <c r="AH26" i="3"/>
  <c r="AH25" i="6" s="1"/>
  <c r="AH24" i="3"/>
  <c r="AH23" i="6" s="1"/>
  <c r="AH13" i="3"/>
  <c r="AH52" i="3"/>
  <c r="AG284" i="1"/>
  <c r="AG291" i="1" s="1"/>
  <c r="AH285" i="1"/>
  <c r="AH284" i="1" s="1"/>
  <c r="AG287" i="1"/>
  <c r="AG292" i="1" s="1"/>
  <c r="AH288" i="1"/>
  <c r="AH287" i="1" s="1"/>
  <c r="F17" i="10"/>
  <c r="AG17" i="10"/>
  <c r="K17" i="10"/>
  <c r="U17" i="10"/>
  <c r="W17" i="10"/>
  <c r="AD17" i="10"/>
  <c r="AC17" i="10"/>
  <c r="AF17" i="10"/>
  <c r="Z17" i="10"/>
  <c r="AB17" i="10"/>
  <c r="L17" i="10"/>
  <c r="N17" i="10"/>
  <c r="P17" i="10"/>
  <c r="R17" i="10"/>
  <c r="Y17" i="10"/>
  <c r="Q17" i="10"/>
  <c r="AE17" i="10"/>
  <c r="V17" i="10"/>
  <c r="X17" i="10"/>
  <c r="M17" i="10"/>
  <c r="S17" i="10"/>
  <c r="I17" i="10"/>
  <c r="O17" i="10"/>
  <c r="J17" i="10"/>
  <c r="AH17" i="10"/>
  <c r="H17" i="10"/>
  <c r="AI17" i="10"/>
  <c r="AA17" i="10"/>
  <c r="T17" i="10"/>
  <c r="AJ18" i="10"/>
  <c r="G17" i="10"/>
  <c r="G133" i="6"/>
  <c r="G16" i="10" s="1"/>
  <c r="AG50" i="6" l="1"/>
  <c r="AG49" i="6" s="1"/>
  <c r="AG134" i="6" s="1"/>
  <c r="AG135" i="6" s="1"/>
  <c r="AG27" i="6"/>
  <c r="AG99" i="6" s="1"/>
  <c r="AG101" i="6" s="1"/>
  <c r="AG43" i="6"/>
  <c r="AG42" i="6" s="1"/>
  <c r="AG125" i="6" s="1"/>
  <c r="AG127" i="6" s="1"/>
  <c r="AG22" i="6"/>
  <c r="AG91" i="6" s="1"/>
  <c r="AG93" i="6" s="1"/>
  <c r="AG20" i="3"/>
  <c r="AG19" i="6" s="1"/>
  <c r="AG16" i="6" s="1"/>
  <c r="AG82" i="6" s="1"/>
  <c r="AG83" i="6" s="1"/>
  <c r="AD89" i="6"/>
  <c r="AF139" i="6"/>
  <c r="AF140" i="6" s="1"/>
  <c r="AF141" i="6" s="1"/>
  <c r="AF133" i="6" s="1"/>
  <c r="AF16" i="10" s="1"/>
  <c r="AC104" i="6"/>
  <c r="AC105" i="6" s="1"/>
  <c r="AC106" i="6" s="1"/>
  <c r="AF83" i="6"/>
  <c r="AC96" i="6"/>
  <c r="AC97" i="6" s="1"/>
  <c r="AF104" i="6"/>
  <c r="AF105" i="6" s="1"/>
  <c r="AF106" i="6" s="1"/>
  <c r="AF96" i="6"/>
  <c r="AF97" i="6" s="1"/>
  <c r="AF98" i="6" s="1"/>
  <c r="AF130" i="6"/>
  <c r="AF131" i="6" s="1"/>
  <c r="AF132" i="6" s="1"/>
  <c r="AF124" i="6" s="1"/>
  <c r="AF14" i="10" s="1"/>
  <c r="AF84" i="6"/>
  <c r="AF86" i="6"/>
  <c r="AB176" i="6"/>
  <c r="AC126" i="6"/>
  <c r="AC127" i="6"/>
  <c r="AC129" i="6"/>
  <c r="AC128" i="6"/>
  <c r="AB106" i="6"/>
  <c r="AH26" i="6"/>
  <c r="AH22" i="6" s="1"/>
  <c r="AE49" i="6"/>
  <c r="AB132" i="6"/>
  <c r="AE99" i="6"/>
  <c r="AH51" i="6"/>
  <c r="AH27" i="6"/>
  <c r="AH99" i="6" s="1"/>
  <c r="AH102" i="6" s="1"/>
  <c r="AG102" i="6"/>
  <c r="AH44" i="6"/>
  <c r="AB140" i="6"/>
  <c r="AH52" i="6"/>
  <c r="AC138" i="6"/>
  <c r="AC135" i="6"/>
  <c r="AC136" i="6"/>
  <c r="AC137" i="6"/>
  <c r="AE16" i="6"/>
  <c r="AE21" i="6"/>
  <c r="AE91" i="6"/>
  <c r="AC85" i="6"/>
  <c r="AC83" i="6"/>
  <c r="AC86" i="6"/>
  <c r="AC84" i="6"/>
  <c r="AB89" i="6"/>
  <c r="AE42" i="6"/>
  <c r="AH20" i="3"/>
  <c r="AH21" i="3"/>
  <c r="AG293" i="1"/>
  <c r="AJ17" i="10"/>
  <c r="AG103" i="6" l="1"/>
  <c r="AG128" i="6"/>
  <c r="AG136" i="6"/>
  <c r="AG100" i="6"/>
  <c r="AG95" i="6"/>
  <c r="AG138" i="6"/>
  <c r="AG137" i="6"/>
  <c r="AG94" i="6"/>
  <c r="AG92" i="6"/>
  <c r="AG129" i="6"/>
  <c r="AG21" i="6"/>
  <c r="AG126" i="6"/>
  <c r="AG130" i="6" s="1"/>
  <c r="AG131" i="6" s="1"/>
  <c r="AG132" i="6" s="1"/>
  <c r="AG124" i="6" s="1"/>
  <c r="AG14" i="10" s="1"/>
  <c r="AG86" i="6"/>
  <c r="AG84" i="6"/>
  <c r="AG85" i="6"/>
  <c r="AF87" i="6"/>
  <c r="AF88" i="6" s="1"/>
  <c r="AF176" i="6" s="1"/>
  <c r="AF90" i="6"/>
  <c r="AF10" i="10" s="1"/>
  <c r="AH100" i="6"/>
  <c r="AH101" i="6"/>
  <c r="AG104" i="6"/>
  <c r="AG105" i="6" s="1"/>
  <c r="AG106" i="6" s="1"/>
  <c r="AH91" i="6"/>
  <c r="AH92" i="6" s="1"/>
  <c r="AH21" i="6"/>
  <c r="AE134" i="6"/>
  <c r="AE125" i="6"/>
  <c r="AE94" i="6"/>
  <c r="AE95" i="6"/>
  <c r="AE93" i="6"/>
  <c r="AE92" i="6"/>
  <c r="AE101" i="6"/>
  <c r="AE102" i="6"/>
  <c r="AE100" i="6"/>
  <c r="AE103" i="6"/>
  <c r="AE82" i="6"/>
  <c r="AB141" i="6"/>
  <c r="AH103" i="6"/>
  <c r="AC87" i="6"/>
  <c r="AH50" i="6"/>
  <c r="AB124" i="6"/>
  <c r="AB14" i="10" s="1"/>
  <c r="AH43" i="6"/>
  <c r="AH20" i="6"/>
  <c r="AB90" i="6"/>
  <c r="AB10" i="10" s="1"/>
  <c r="AC98" i="6"/>
  <c r="AH19" i="6"/>
  <c r="AC139" i="6"/>
  <c r="AC130" i="6"/>
  <c r="AG297" i="1"/>
  <c r="AG294" i="1"/>
  <c r="AG139" i="6" l="1"/>
  <c r="AG140" i="6" s="1"/>
  <c r="AG141" i="6" s="1"/>
  <c r="AG133" i="6" s="1"/>
  <c r="AG16" i="10" s="1"/>
  <c r="AG96" i="6"/>
  <c r="AG97" i="6" s="1"/>
  <c r="AG98" i="6" s="1"/>
  <c r="AG90" i="6" s="1"/>
  <c r="AG10" i="10" s="1"/>
  <c r="AG87" i="6"/>
  <c r="AG88" i="6" s="1"/>
  <c r="AG176" i="6" s="1"/>
  <c r="AH16" i="6"/>
  <c r="AH82" i="6" s="1"/>
  <c r="AH85" i="6" s="1"/>
  <c r="AH95" i="6"/>
  <c r="AE96" i="6"/>
  <c r="AE97" i="6" s="1"/>
  <c r="AH94" i="6"/>
  <c r="AH93" i="6"/>
  <c r="AH104" i="6"/>
  <c r="AH105" i="6" s="1"/>
  <c r="AH106" i="6" s="1"/>
  <c r="AF89" i="6"/>
  <c r="AE104" i="6"/>
  <c r="AE105" i="6" s="1"/>
  <c r="AE128" i="6"/>
  <c r="AE127" i="6"/>
  <c r="AE126" i="6"/>
  <c r="AE129" i="6"/>
  <c r="AC131" i="6"/>
  <c r="AE135" i="6"/>
  <c r="AE136" i="6"/>
  <c r="AE138" i="6"/>
  <c r="AE137" i="6"/>
  <c r="AC140" i="6"/>
  <c r="AB133" i="6"/>
  <c r="AB16" i="10" s="1"/>
  <c r="AH49" i="6"/>
  <c r="AE86" i="6"/>
  <c r="AE84" i="6"/>
  <c r="AE83" i="6"/>
  <c r="AE85" i="6"/>
  <c r="AC90" i="6"/>
  <c r="AC10" i="10" s="1"/>
  <c r="AC88" i="6"/>
  <c r="AC89" i="6" s="1"/>
  <c r="AH42" i="6"/>
  <c r="AH297" i="1"/>
  <c r="AG302" i="1"/>
  <c r="AB8" i="6"/>
  <c r="Q8" i="6"/>
  <c r="AA8" i="6"/>
  <c r="AH8" i="6"/>
  <c r="G8" i="6"/>
  <c r="AF8" i="6"/>
  <c r="S8" i="6"/>
  <c r="T8" i="6"/>
  <c r="V8" i="6"/>
  <c r="AC8" i="6"/>
  <c r="L8" i="6"/>
  <c r="I8" i="6"/>
  <c r="O8" i="6"/>
  <c r="Y8" i="6"/>
  <c r="X8" i="6"/>
  <c r="AG8" i="6"/>
  <c r="J8" i="6"/>
  <c r="U8" i="6"/>
  <c r="H8" i="6"/>
  <c r="N8" i="6"/>
  <c r="W8" i="6"/>
  <c r="R8" i="6"/>
  <c r="M8" i="6"/>
  <c r="AD8" i="6"/>
  <c r="Z8" i="6"/>
  <c r="AE8" i="6"/>
  <c r="P8" i="6"/>
  <c r="K8" i="6"/>
  <c r="F7" i="6"/>
  <c r="M9" i="6"/>
  <c r="L9" i="6"/>
  <c r="U9" i="6"/>
  <c r="AC9" i="6"/>
  <c r="AA9" i="6"/>
  <c r="Z9" i="6"/>
  <c r="AD9" i="6"/>
  <c r="N9" i="6"/>
  <c r="AH9" i="6"/>
  <c r="J9" i="6"/>
  <c r="S9" i="6"/>
  <c r="K9" i="6"/>
  <c r="V9" i="6"/>
  <c r="AF9" i="6"/>
  <c r="AE9" i="6"/>
  <c r="G9" i="6"/>
  <c r="AB9" i="6"/>
  <c r="T9" i="6"/>
  <c r="I9" i="6"/>
  <c r="AG9" i="6"/>
  <c r="Q9" i="6"/>
  <c r="H9" i="6"/>
  <c r="O9" i="6"/>
  <c r="P9" i="6"/>
  <c r="R9" i="6"/>
  <c r="W9" i="6"/>
  <c r="X9" i="6"/>
  <c r="Y9" i="6"/>
  <c r="AB15" i="6"/>
  <c r="AI15" i="6"/>
  <c r="G15" i="6"/>
  <c r="AF15" i="6"/>
  <c r="U15" i="6"/>
  <c r="R15" i="6"/>
  <c r="Q15" i="6"/>
  <c r="Y15" i="6"/>
  <c r="H15" i="6"/>
  <c r="I15" i="6"/>
  <c r="S15" i="6"/>
  <c r="AA15" i="6"/>
  <c r="AH15" i="6"/>
  <c r="L15" i="6"/>
  <c r="O15" i="6"/>
  <c r="AD15" i="6"/>
  <c r="X15" i="6"/>
  <c r="N15" i="6"/>
  <c r="M15" i="6"/>
  <c r="V15" i="6"/>
  <c r="AG15" i="6"/>
  <c r="T15" i="6"/>
  <c r="AE15" i="6"/>
  <c r="K15" i="6"/>
  <c r="Z15" i="6"/>
  <c r="J15" i="6"/>
  <c r="P15" i="6"/>
  <c r="AC15" i="6"/>
  <c r="W15" i="6"/>
  <c r="R10" i="6"/>
  <c r="AD10" i="6"/>
  <c r="G10" i="6"/>
  <c r="N10" i="6"/>
  <c r="U10" i="6"/>
  <c r="T10" i="6"/>
  <c r="Z10" i="6"/>
  <c r="AC10" i="6"/>
  <c r="J10" i="6"/>
  <c r="Q10" i="6"/>
  <c r="AH10" i="6"/>
  <c r="AG10" i="6"/>
  <c r="O10" i="6"/>
  <c r="P10" i="6"/>
  <c r="AF10" i="6"/>
  <c r="AB10" i="6"/>
  <c r="K10" i="6"/>
  <c r="AE10" i="6"/>
  <c r="V10" i="6"/>
  <c r="H10" i="6"/>
  <c r="AA10" i="6"/>
  <c r="S10" i="6"/>
  <c r="W10" i="6"/>
  <c r="I10" i="6"/>
  <c r="M10" i="6"/>
  <c r="L10" i="6"/>
  <c r="X10" i="6"/>
  <c r="Y10" i="6"/>
  <c r="G11" i="6"/>
  <c r="U11" i="6"/>
  <c r="S11" i="6"/>
  <c r="L11" i="6"/>
  <c r="W11" i="6"/>
  <c r="K11" i="6"/>
  <c r="AG11" i="6"/>
  <c r="AE11" i="6"/>
  <c r="AC11" i="6"/>
  <c r="J11" i="6"/>
  <c r="AD11" i="6"/>
  <c r="X11" i="6"/>
  <c r="N11" i="6"/>
  <c r="AA11" i="6"/>
  <c r="M11" i="6"/>
  <c r="V11" i="6"/>
  <c r="AF11" i="6"/>
  <c r="P11" i="6"/>
  <c r="I11" i="6"/>
  <c r="Q11" i="6"/>
  <c r="Y11" i="6"/>
  <c r="AH11" i="6"/>
  <c r="AB11" i="6"/>
  <c r="H11" i="6"/>
  <c r="O11" i="6"/>
  <c r="Z11" i="6"/>
  <c r="R11" i="6"/>
  <c r="T11" i="6"/>
  <c r="W12" i="6"/>
  <c r="Y12" i="6"/>
  <c r="Q12" i="6"/>
  <c r="P12" i="6"/>
  <c r="AD12" i="6"/>
  <c r="AA12" i="6"/>
  <c r="AB12" i="6"/>
  <c r="N12" i="6"/>
  <c r="M12" i="6"/>
  <c r="L12" i="6"/>
  <c r="R12" i="6"/>
  <c r="I12" i="6"/>
  <c r="U12" i="6"/>
  <c r="V12" i="6"/>
  <c r="G12" i="6"/>
  <c r="AC12" i="6"/>
  <c r="Z12" i="6"/>
  <c r="S12" i="6"/>
  <c r="K12" i="6"/>
  <c r="AG12" i="6"/>
  <c r="J12" i="6"/>
  <c r="O12" i="6"/>
  <c r="T12" i="6"/>
  <c r="X12" i="6"/>
  <c r="H12" i="6"/>
  <c r="AF12" i="6"/>
  <c r="AE12" i="6"/>
  <c r="AH12" i="6"/>
  <c r="AD13" i="6"/>
  <c r="AG13" i="6"/>
  <c r="V13" i="6"/>
  <c r="AF13" i="6"/>
  <c r="X13" i="6"/>
  <c r="AE13" i="6"/>
  <c r="AB13" i="6"/>
  <c r="S13" i="6"/>
  <c r="T13" i="6"/>
  <c r="U13" i="6"/>
  <c r="Y13" i="6"/>
  <c r="P13" i="6"/>
  <c r="J13" i="6"/>
  <c r="H13" i="6"/>
  <c r="N13" i="6"/>
  <c r="AA13" i="6"/>
  <c r="Z13" i="6"/>
  <c r="Q13" i="6"/>
  <c r="I13" i="6"/>
  <c r="K13" i="6"/>
  <c r="AI13" i="6"/>
  <c r="R13" i="6"/>
  <c r="O13" i="6"/>
  <c r="G13" i="6"/>
  <c r="AH13" i="6"/>
  <c r="M13" i="6"/>
  <c r="AC13" i="6"/>
  <c r="L13" i="6"/>
  <c r="W13" i="6"/>
  <c r="L14" i="6"/>
  <c r="N14" i="6"/>
  <c r="T14" i="6"/>
  <c r="AA14" i="6"/>
  <c r="V14" i="6"/>
  <c r="AG14" i="6"/>
  <c r="R14" i="6"/>
  <c r="I14" i="6"/>
  <c r="Y14" i="6"/>
  <c r="J14" i="6"/>
  <c r="U14" i="6"/>
  <c r="G14" i="6"/>
  <c r="AH14" i="6"/>
  <c r="S14" i="6"/>
  <c r="Z14" i="6"/>
  <c r="O14" i="6"/>
  <c r="K14" i="6"/>
  <c r="X14" i="6"/>
  <c r="AD14" i="6"/>
  <c r="W14" i="6"/>
  <c r="AF14" i="6"/>
  <c r="M14" i="6"/>
  <c r="P14" i="6"/>
  <c r="AC14" i="6"/>
  <c r="AE14" i="6"/>
  <c r="H14" i="6"/>
  <c r="AB14" i="6"/>
  <c r="AI14" i="6"/>
  <c r="Q14" i="6"/>
  <c r="AH86" i="6" l="1"/>
  <c r="AH83" i="6"/>
  <c r="AH84" i="6"/>
  <c r="AH96" i="6"/>
  <c r="AH97" i="6" s="1"/>
  <c r="AH98" i="6" s="1"/>
  <c r="AH90" i="6" s="1"/>
  <c r="AH10" i="10" s="1"/>
  <c r="AE130" i="6"/>
  <c r="AE131" i="6" s="1"/>
  <c r="AE132" i="6" s="1"/>
  <c r="AE124" i="6" s="1"/>
  <c r="AE14" i="10" s="1"/>
  <c r="AE139" i="6"/>
  <c r="AE140" i="6" s="1"/>
  <c r="AE141" i="6" s="1"/>
  <c r="AE133" i="6" s="1"/>
  <c r="AE16" i="10" s="1"/>
  <c r="AG89" i="6"/>
  <c r="AE87" i="6"/>
  <c r="AE88" i="6" s="1"/>
  <c r="AE176" i="6" s="1"/>
  <c r="AH125" i="6"/>
  <c r="AC132" i="6"/>
  <c r="AC141" i="6"/>
  <c r="AC176" i="6"/>
  <c r="AH134" i="6"/>
  <c r="AE106" i="6"/>
  <c r="AE98" i="6"/>
  <c r="AI9" i="3"/>
  <c r="AJ9" i="3" s="1"/>
  <c r="AI53" i="3"/>
  <c r="AI45" i="3"/>
  <c r="AI27" i="3"/>
  <c r="AI24" i="3"/>
  <c r="AI47" i="3"/>
  <c r="AI30" i="3"/>
  <c r="AI11" i="3"/>
  <c r="AJ11" i="3" s="1"/>
  <c r="AI46" i="3"/>
  <c r="AI49" i="3"/>
  <c r="AI10" i="3"/>
  <c r="AI26" i="3"/>
  <c r="AI13" i="3"/>
  <c r="AI52" i="3"/>
  <c r="AI54" i="3"/>
  <c r="AI25" i="3"/>
  <c r="AI12" i="3"/>
  <c r="AJ12" i="3" s="1"/>
  <c r="AI29" i="3"/>
  <c r="AJ14" i="6"/>
  <c r="G7" i="6"/>
  <c r="G6" i="6" s="1"/>
  <c r="G69" i="6" s="1"/>
  <c r="AJ15" i="6"/>
  <c r="N7" i="6"/>
  <c r="N6" i="6" s="1"/>
  <c r="N69" i="6" s="1"/>
  <c r="U7" i="6"/>
  <c r="U6" i="6" s="1"/>
  <c r="U69" i="6" s="1"/>
  <c r="X7" i="6"/>
  <c r="X6" i="6" s="1"/>
  <c r="X69" i="6" s="1"/>
  <c r="J7" i="6"/>
  <c r="J74" i="6" s="1"/>
  <c r="Z7" i="6"/>
  <c r="Z74" i="6" s="1"/>
  <c r="R7" i="6"/>
  <c r="R74" i="6" s="1"/>
  <c r="O7" i="6"/>
  <c r="O74" i="6" s="1"/>
  <c r="AB7" i="6"/>
  <c r="AB6" i="6" s="1"/>
  <c r="AB69" i="6" s="1"/>
  <c r="L7" i="6"/>
  <c r="L74" i="6" s="1"/>
  <c r="W7" i="6"/>
  <c r="W74" i="6" s="1"/>
  <c r="Q7" i="6"/>
  <c r="Q74" i="6" s="1"/>
  <c r="AH7" i="6"/>
  <c r="AH74" i="6" s="1"/>
  <c r="P7" i="6"/>
  <c r="P74" i="6" s="1"/>
  <c r="S7" i="6"/>
  <c r="S6" i="6" s="1"/>
  <c r="S69" i="6" s="1"/>
  <c r="AG7" i="6"/>
  <c r="AG74" i="6" s="1"/>
  <c r="H7" i="6"/>
  <c r="H6" i="6" s="1"/>
  <c r="H69" i="6" s="1"/>
  <c r="Y7" i="6"/>
  <c r="Y74" i="6" s="1"/>
  <c r="M7" i="6"/>
  <c r="M74" i="6" s="1"/>
  <c r="AF7" i="6"/>
  <c r="AF6" i="6" s="1"/>
  <c r="AF69" i="6" s="1"/>
  <c r="V7" i="6"/>
  <c r="V6" i="6" s="1"/>
  <c r="V69" i="6" s="1"/>
  <c r="AA7" i="6"/>
  <c r="AA74" i="6" s="1"/>
  <c r="AJ13" i="6"/>
  <c r="K7" i="6"/>
  <c r="K74" i="6" s="1"/>
  <c r="AD7" i="6"/>
  <c r="AD74" i="6" s="1"/>
  <c r="T7" i="6"/>
  <c r="T74" i="6" s="1"/>
  <c r="AE7" i="6"/>
  <c r="AE6" i="6" s="1"/>
  <c r="AE69" i="6" s="1"/>
  <c r="AC7" i="6"/>
  <c r="AC74" i="6" s="1"/>
  <c r="F6" i="6"/>
  <c r="I7" i="6"/>
  <c r="AH87" i="6" l="1"/>
  <c r="AH88" i="6" s="1"/>
  <c r="AH176" i="6" s="1"/>
  <c r="AI45" i="6"/>
  <c r="AJ45" i="6" s="1"/>
  <c r="AJ46" i="3"/>
  <c r="AC133" i="6"/>
  <c r="AC16" i="10" s="1"/>
  <c r="AI28" i="6"/>
  <c r="AJ29" i="3"/>
  <c r="AI46" i="6"/>
  <c r="AJ46" i="6" s="1"/>
  <c r="AJ47" i="3"/>
  <c r="AI29" i="6"/>
  <c r="AJ29" i="6" s="1"/>
  <c r="AJ30" i="3"/>
  <c r="AI23" i="6"/>
  <c r="AJ24" i="3"/>
  <c r="AC124" i="6"/>
  <c r="AC14" i="10" s="1"/>
  <c r="AI24" i="6"/>
  <c r="AJ24" i="6" s="1"/>
  <c r="AJ25" i="3"/>
  <c r="AI26" i="6"/>
  <c r="AJ26" i="6" s="1"/>
  <c r="AJ27" i="3"/>
  <c r="AI53" i="6"/>
  <c r="AJ53" i="6" s="1"/>
  <c r="AJ54" i="3"/>
  <c r="AI44" i="6"/>
  <c r="AJ45" i="3"/>
  <c r="AH126" i="6"/>
  <c r="AH128" i="6"/>
  <c r="AH129" i="6"/>
  <c r="AH127" i="6"/>
  <c r="AI12" i="6"/>
  <c r="AJ12" i="6" s="1"/>
  <c r="AJ13" i="3"/>
  <c r="AI51" i="6"/>
  <c r="AJ52" i="3"/>
  <c r="AI52" i="6"/>
  <c r="AJ52" i="6" s="1"/>
  <c r="AJ53" i="3"/>
  <c r="AH136" i="6"/>
  <c r="AH137" i="6"/>
  <c r="AH135" i="6"/>
  <c r="AH138" i="6"/>
  <c r="AI25" i="6"/>
  <c r="AJ25" i="6" s="1"/>
  <c r="AJ26" i="3"/>
  <c r="AI9" i="6"/>
  <c r="AJ9" i="6" s="1"/>
  <c r="AJ10" i="3"/>
  <c r="AE90" i="6"/>
  <c r="AE10" i="10" s="1"/>
  <c r="AI48" i="6"/>
  <c r="AJ48" i="6" s="1"/>
  <c r="AJ49" i="3"/>
  <c r="AE89" i="6"/>
  <c r="AI18" i="3"/>
  <c r="AI10" i="6"/>
  <c r="AJ10" i="6" s="1"/>
  <c r="AI20" i="3"/>
  <c r="AI21" i="3"/>
  <c r="AI11" i="6"/>
  <c r="AJ11" i="6" s="1"/>
  <c r="AI19" i="3"/>
  <c r="AI8" i="6"/>
  <c r="G74" i="6"/>
  <c r="G78" i="6" s="1"/>
  <c r="G174" i="6" s="1"/>
  <c r="R6" i="6"/>
  <c r="R69" i="6" s="1"/>
  <c r="J6" i="6"/>
  <c r="J69" i="6" s="1"/>
  <c r="T6" i="6"/>
  <c r="T69" i="6" s="1"/>
  <c r="U74" i="6"/>
  <c r="U78" i="6" s="1"/>
  <c r="U174" i="6" s="1"/>
  <c r="Z6" i="6"/>
  <c r="Z69" i="6" s="1"/>
  <c r="Q6" i="6"/>
  <c r="Q69" i="6" s="1"/>
  <c r="N74" i="6"/>
  <c r="N78" i="6" s="1"/>
  <c r="N174" i="6" s="1"/>
  <c r="V74" i="6"/>
  <c r="V75" i="6" s="1"/>
  <c r="V171" i="6" s="1"/>
  <c r="AH6" i="6"/>
  <c r="AH69" i="6" s="1"/>
  <c r="AB74" i="6"/>
  <c r="AB78" i="6" s="1"/>
  <c r="AB174" i="6" s="1"/>
  <c r="Y6" i="6"/>
  <c r="Y69" i="6" s="1"/>
  <c r="O6" i="6"/>
  <c r="O69" i="6" s="1"/>
  <c r="W6" i="6"/>
  <c r="W69" i="6" s="1"/>
  <c r="AA6" i="6"/>
  <c r="AA69" i="6" s="1"/>
  <c r="AD6" i="6"/>
  <c r="AD69" i="6" s="1"/>
  <c r="AG6" i="6"/>
  <c r="AG69" i="6" s="1"/>
  <c r="S74" i="6"/>
  <c r="S170" i="6" s="1"/>
  <c r="P6" i="6"/>
  <c r="P69" i="6" s="1"/>
  <c r="X74" i="6"/>
  <c r="X170" i="6" s="1"/>
  <c r="K6" i="6"/>
  <c r="K69" i="6" s="1"/>
  <c r="M6" i="6"/>
  <c r="M69" i="6" s="1"/>
  <c r="AE74" i="6"/>
  <c r="AE77" i="6" s="1"/>
  <c r="AE173" i="6" s="1"/>
  <c r="AF74" i="6"/>
  <c r="AF75" i="6" s="1"/>
  <c r="AF171" i="6" s="1"/>
  <c r="AC6" i="6"/>
  <c r="AC69" i="6" s="1"/>
  <c r="L6" i="6"/>
  <c r="L69" i="6" s="1"/>
  <c r="H74" i="6"/>
  <c r="H78" i="6" s="1"/>
  <c r="H174" i="6" s="1"/>
  <c r="P76" i="6"/>
  <c r="P172" i="6" s="1"/>
  <c r="P77" i="6"/>
  <c r="P173" i="6" s="1"/>
  <c r="P75" i="6"/>
  <c r="P171" i="6" s="1"/>
  <c r="P170" i="6"/>
  <c r="P78" i="6"/>
  <c r="P174" i="6" s="1"/>
  <c r="R76" i="6"/>
  <c r="R172" i="6" s="1"/>
  <c r="R77" i="6"/>
  <c r="R173" i="6" s="1"/>
  <c r="R78" i="6"/>
  <c r="R174" i="6" s="1"/>
  <c r="R170" i="6"/>
  <c r="R75" i="6"/>
  <c r="R171" i="6" s="1"/>
  <c r="L77" i="6"/>
  <c r="L173" i="6" s="1"/>
  <c r="L76" i="6"/>
  <c r="L172" i="6" s="1"/>
  <c r="L78" i="6"/>
  <c r="L174" i="6" s="1"/>
  <c r="L75" i="6"/>
  <c r="L171" i="6" s="1"/>
  <c r="L170" i="6"/>
  <c r="M76" i="6"/>
  <c r="M172" i="6" s="1"/>
  <c r="M75" i="6"/>
  <c r="M171" i="6" s="1"/>
  <c r="M78" i="6"/>
  <c r="M174" i="6" s="1"/>
  <c r="M77" i="6"/>
  <c r="M173" i="6" s="1"/>
  <c r="M170" i="6"/>
  <c r="T78" i="6"/>
  <c r="T174" i="6" s="1"/>
  <c r="T170" i="6"/>
  <c r="T77" i="6"/>
  <c r="T173" i="6" s="1"/>
  <c r="T76" i="6"/>
  <c r="T172" i="6" s="1"/>
  <c r="T75" i="6"/>
  <c r="T171" i="6" s="1"/>
  <c r="F69" i="6"/>
  <c r="AG78" i="6"/>
  <c r="AG174" i="6" s="1"/>
  <c r="AG77" i="6"/>
  <c r="AG173" i="6" s="1"/>
  <c r="AG75" i="6"/>
  <c r="AG171" i="6" s="1"/>
  <c r="AG170" i="6"/>
  <c r="AG76" i="6"/>
  <c r="AG172" i="6" s="1"/>
  <c r="K75" i="6"/>
  <c r="K171" i="6" s="1"/>
  <c r="K78" i="6"/>
  <c r="K174" i="6" s="1"/>
  <c r="K77" i="6"/>
  <c r="K173" i="6" s="1"/>
  <c r="K76" i="6"/>
  <c r="K172" i="6" s="1"/>
  <c r="K170" i="6"/>
  <c r="AH78" i="6"/>
  <c r="AH75" i="6"/>
  <c r="AH76" i="6"/>
  <c r="AH77" i="6"/>
  <c r="AH170" i="6"/>
  <c r="AC76" i="6"/>
  <c r="AC172" i="6" s="1"/>
  <c r="AC170" i="6"/>
  <c r="AC77" i="6"/>
  <c r="AC173" i="6" s="1"/>
  <c r="AC78" i="6"/>
  <c r="AC174" i="6" s="1"/>
  <c r="AC75" i="6"/>
  <c r="AC171" i="6" s="1"/>
  <c r="AA76" i="6"/>
  <c r="AA172" i="6" s="1"/>
  <c r="AA170" i="6"/>
  <c r="AA77" i="6"/>
  <c r="AA173" i="6" s="1"/>
  <c r="AA78" i="6"/>
  <c r="AA174" i="6" s="1"/>
  <c r="AA75" i="6"/>
  <c r="AA171" i="6" s="1"/>
  <c r="I6" i="6"/>
  <c r="I69" i="6" s="1"/>
  <c r="I74" i="6"/>
  <c r="W77" i="6"/>
  <c r="W173" i="6" s="1"/>
  <c r="W76" i="6"/>
  <c r="W172" i="6" s="1"/>
  <c r="W75" i="6"/>
  <c r="W171" i="6" s="1"/>
  <c r="W170" i="6"/>
  <c r="W78" i="6"/>
  <c r="W174" i="6" s="1"/>
  <c r="O78" i="6"/>
  <c r="O174" i="6" s="1"/>
  <c r="O77" i="6"/>
  <c r="O173" i="6" s="1"/>
  <c r="O170" i="6"/>
  <c r="O75" i="6"/>
  <c r="O171" i="6" s="1"/>
  <c r="O76" i="6"/>
  <c r="O172" i="6" s="1"/>
  <c r="H170" i="6"/>
  <c r="Q78" i="6"/>
  <c r="Q174" i="6" s="1"/>
  <c r="Q170" i="6"/>
  <c r="Q75" i="6"/>
  <c r="Q171" i="6" s="1"/>
  <c r="Q76" i="6"/>
  <c r="Q172" i="6" s="1"/>
  <c r="Q77" i="6"/>
  <c r="Q173" i="6" s="1"/>
  <c r="Y77" i="6"/>
  <c r="Y173" i="6" s="1"/>
  <c r="Y170" i="6"/>
  <c r="Y78" i="6"/>
  <c r="Y174" i="6" s="1"/>
  <c r="Y75" i="6"/>
  <c r="Y171" i="6" s="1"/>
  <c r="Y76" i="6"/>
  <c r="Y172" i="6" s="1"/>
  <c r="Z170" i="6"/>
  <c r="Z75" i="6"/>
  <c r="Z171" i="6" s="1"/>
  <c r="Z78" i="6"/>
  <c r="Z174" i="6" s="1"/>
  <c r="Z77" i="6"/>
  <c r="Z173" i="6" s="1"/>
  <c r="Z76" i="6"/>
  <c r="Z172" i="6" s="1"/>
  <c r="AD76" i="6"/>
  <c r="AD172" i="6" s="1"/>
  <c r="AD170" i="6"/>
  <c r="AD78" i="6"/>
  <c r="AD174" i="6" s="1"/>
  <c r="AD75" i="6"/>
  <c r="AD171" i="6" s="1"/>
  <c r="AD77" i="6"/>
  <c r="AD173" i="6" s="1"/>
  <c r="J77" i="6"/>
  <c r="J173" i="6" s="1"/>
  <c r="J76" i="6"/>
  <c r="J172" i="6" s="1"/>
  <c r="J75" i="6"/>
  <c r="J171" i="6" s="1"/>
  <c r="J78" i="6"/>
  <c r="J174" i="6" s="1"/>
  <c r="J170" i="6"/>
  <c r="AH89" i="6" l="1"/>
  <c r="AH139" i="6"/>
  <c r="AH140" i="6" s="1"/>
  <c r="AH171" i="6"/>
  <c r="AH130" i="6"/>
  <c r="AH131" i="6" s="1"/>
  <c r="AH173" i="6"/>
  <c r="AH174" i="6"/>
  <c r="AH172" i="6"/>
  <c r="AI43" i="6"/>
  <c r="AJ44" i="6"/>
  <c r="AI50" i="6"/>
  <c r="AJ51" i="6"/>
  <c r="AI27" i="6"/>
  <c r="AJ28" i="6"/>
  <c r="AI17" i="6"/>
  <c r="AJ18" i="3"/>
  <c r="AI7" i="6"/>
  <c r="AJ8" i="6"/>
  <c r="AI18" i="6"/>
  <c r="AJ18" i="6" s="1"/>
  <c r="AJ19" i="3"/>
  <c r="AI20" i="6"/>
  <c r="AJ20" i="6" s="1"/>
  <c r="AJ21" i="3"/>
  <c r="AI19" i="6"/>
  <c r="AJ19" i="6" s="1"/>
  <c r="AJ20" i="3"/>
  <c r="AI22" i="6"/>
  <c r="AJ23" i="6"/>
  <c r="G76" i="6"/>
  <c r="G172" i="6" s="1"/>
  <c r="G75" i="6"/>
  <c r="G171" i="6" s="1"/>
  <c r="G77" i="6"/>
  <c r="G173" i="6" s="1"/>
  <c r="G170" i="6"/>
  <c r="N76" i="6"/>
  <c r="N172" i="6" s="1"/>
  <c r="H76" i="6"/>
  <c r="H172" i="6" s="1"/>
  <c r="H75" i="6"/>
  <c r="H171" i="6" s="1"/>
  <c r="H77" i="6"/>
  <c r="H173" i="6" s="1"/>
  <c r="V170" i="6"/>
  <c r="N75" i="6"/>
  <c r="N171" i="6" s="1"/>
  <c r="N77" i="6"/>
  <c r="N173" i="6" s="1"/>
  <c r="N170" i="6"/>
  <c r="X75" i="6"/>
  <c r="X171" i="6" s="1"/>
  <c r="X76" i="6"/>
  <c r="X172" i="6" s="1"/>
  <c r="X78" i="6"/>
  <c r="X174" i="6" s="1"/>
  <c r="V76" i="6"/>
  <c r="V172" i="6" s="1"/>
  <c r="V78" i="6"/>
  <c r="V174" i="6" s="1"/>
  <c r="V77" i="6"/>
  <c r="V173" i="6" s="1"/>
  <c r="U76" i="6"/>
  <c r="U172" i="6" s="1"/>
  <c r="X77" i="6"/>
  <c r="X173" i="6" s="1"/>
  <c r="AB170" i="6"/>
  <c r="AB76" i="6"/>
  <c r="AB172" i="6" s="1"/>
  <c r="AB77" i="6"/>
  <c r="AB173" i="6" s="1"/>
  <c r="AB75" i="6"/>
  <c r="AB171" i="6" s="1"/>
  <c r="U170" i="6"/>
  <c r="U75" i="6"/>
  <c r="U171" i="6" s="1"/>
  <c r="U77" i="6"/>
  <c r="U173" i="6" s="1"/>
  <c r="AE76" i="6"/>
  <c r="AE172" i="6" s="1"/>
  <c r="AF78" i="6"/>
  <c r="AF174" i="6" s="1"/>
  <c r="AE170" i="6"/>
  <c r="S78" i="6"/>
  <c r="S174" i="6" s="1"/>
  <c r="S75" i="6"/>
  <c r="S171" i="6" s="1"/>
  <c r="S77" i="6"/>
  <c r="S173" i="6" s="1"/>
  <c r="S76" i="6"/>
  <c r="S172" i="6" s="1"/>
  <c r="AF170" i="6"/>
  <c r="AF76" i="6"/>
  <c r="AF172" i="6" s="1"/>
  <c r="AE75" i="6"/>
  <c r="AE171" i="6" s="1"/>
  <c r="AE78" i="6"/>
  <c r="AE174" i="6" s="1"/>
  <c r="AF77" i="6"/>
  <c r="AF173" i="6" s="1"/>
  <c r="AH79" i="6"/>
  <c r="AH80" i="6" s="1"/>
  <c r="Q79" i="6"/>
  <c r="Q80" i="6" s="1"/>
  <c r="Q177" i="6" s="1"/>
  <c r="Z79" i="6"/>
  <c r="Z80" i="6" s="1"/>
  <c r="Z177" i="6" s="1"/>
  <c r="AC79" i="6"/>
  <c r="Y79" i="6"/>
  <c r="O79" i="6"/>
  <c r="T79" i="6"/>
  <c r="I75" i="6"/>
  <c r="I171" i="6" s="1"/>
  <c r="I170" i="6"/>
  <c r="I76" i="6"/>
  <c r="I172" i="6" s="1"/>
  <c r="I78" i="6"/>
  <c r="I174" i="6" s="1"/>
  <c r="I77" i="6"/>
  <c r="I173" i="6" s="1"/>
  <c r="AD79" i="6"/>
  <c r="R79" i="6"/>
  <c r="M79" i="6"/>
  <c r="P79" i="6"/>
  <c r="J79" i="6"/>
  <c r="W79" i="6"/>
  <c r="AA79" i="6"/>
  <c r="K79" i="6"/>
  <c r="L79" i="6"/>
  <c r="AG79" i="6"/>
  <c r="G79" i="6" l="1"/>
  <c r="G175" i="6" s="1"/>
  <c r="H79" i="6"/>
  <c r="H175" i="6" s="1"/>
  <c r="AH177" i="6"/>
  <c r="AH132" i="6"/>
  <c r="AI16" i="6"/>
  <c r="AJ17" i="6"/>
  <c r="AI99" i="6"/>
  <c r="AJ27" i="6"/>
  <c r="AI49" i="6"/>
  <c r="AJ50" i="6"/>
  <c r="AI42" i="6"/>
  <c r="AJ43" i="6"/>
  <c r="AJ22" i="6"/>
  <c r="AI21" i="6"/>
  <c r="AJ21" i="6" s="1"/>
  <c r="AI91" i="6"/>
  <c r="AI74" i="6"/>
  <c r="AJ7" i="6"/>
  <c r="AJ74" i="6" s="1"/>
  <c r="AH141" i="6"/>
  <c r="N79" i="6"/>
  <c r="N80" i="6" s="1"/>
  <c r="N177" i="6" s="1"/>
  <c r="V79" i="6"/>
  <c r="V175" i="6" s="1"/>
  <c r="X79" i="6"/>
  <c r="X175" i="6" s="1"/>
  <c r="AB79" i="6"/>
  <c r="AB175" i="6" s="1"/>
  <c r="AH175" i="6"/>
  <c r="U79" i="6"/>
  <c r="U175" i="6" s="1"/>
  <c r="Z175" i="6"/>
  <c r="AF79" i="6"/>
  <c r="AF175" i="6" s="1"/>
  <c r="Q175" i="6"/>
  <c r="S79" i="6"/>
  <c r="S80" i="6" s="1"/>
  <c r="S177" i="6" s="1"/>
  <c r="AE79" i="6"/>
  <c r="AE80" i="6" s="1"/>
  <c r="AE177" i="6" s="1"/>
  <c r="I79" i="6"/>
  <c r="I175" i="6" s="1"/>
  <c r="Q81" i="6"/>
  <c r="Q178" i="6" s="1"/>
  <c r="W175" i="6"/>
  <c r="W80" i="6"/>
  <c r="W177" i="6" s="1"/>
  <c r="R175" i="6"/>
  <c r="R80" i="6"/>
  <c r="R177" i="6" s="1"/>
  <c r="T175" i="6"/>
  <c r="T80" i="6"/>
  <c r="T177" i="6" s="1"/>
  <c r="K175" i="6"/>
  <c r="K80" i="6"/>
  <c r="K177" i="6" s="1"/>
  <c r="J80" i="6"/>
  <c r="J177" i="6" s="1"/>
  <c r="J175" i="6"/>
  <c r="AG80" i="6"/>
  <c r="AG177" i="6" s="1"/>
  <c r="AG175" i="6"/>
  <c r="L175" i="6"/>
  <c r="L80" i="6"/>
  <c r="L177" i="6" s="1"/>
  <c r="AD80" i="6"/>
  <c r="AD177" i="6" s="1"/>
  <c r="AD175" i="6"/>
  <c r="O80" i="6"/>
  <c r="O177" i="6" s="1"/>
  <c r="O175" i="6"/>
  <c r="Y175" i="6"/>
  <c r="Y80" i="6"/>
  <c r="Y177" i="6" s="1"/>
  <c r="AC175" i="6"/>
  <c r="AC80" i="6"/>
  <c r="AC177" i="6" s="1"/>
  <c r="AH81" i="6"/>
  <c r="P80" i="6"/>
  <c r="P177" i="6" s="1"/>
  <c r="P175" i="6"/>
  <c r="Z81" i="6"/>
  <c r="M80" i="6"/>
  <c r="M177" i="6" s="1"/>
  <c r="M175" i="6"/>
  <c r="AA175" i="6"/>
  <c r="AA80" i="6"/>
  <c r="AA177" i="6" s="1"/>
  <c r="G80" i="6" l="1"/>
  <c r="G177" i="6" s="1"/>
  <c r="H80" i="6"/>
  <c r="H177" i="6" s="1"/>
  <c r="N175" i="6"/>
  <c r="AI125" i="6"/>
  <c r="AJ42" i="6"/>
  <c r="AI134" i="6"/>
  <c r="AJ49" i="6"/>
  <c r="AJ99" i="6"/>
  <c r="AI101" i="6"/>
  <c r="AJ101" i="6" s="1"/>
  <c r="AI100" i="6"/>
  <c r="AJ100" i="6" s="1"/>
  <c r="AI102" i="6"/>
  <c r="AJ102" i="6" s="1"/>
  <c r="AI103" i="6"/>
  <c r="AJ103" i="6" s="1"/>
  <c r="AH133" i="6"/>
  <c r="AH16" i="10" s="1"/>
  <c r="AJ77" i="6"/>
  <c r="AJ76" i="6"/>
  <c r="AJ75" i="6"/>
  <c r="AJ78" i="6"/>
  <c r="AI82" i="6"/>
  <c r="AJ16" i="6"/>
  <c r="AI6" i="6"/>
  <c r="AI75" i="6"/>
  <c r="AI76" i="6"/>
  <c r="AI77" i="6"/>
  <c r="AI78" i="6"/>
  <c r="AJ91" i="6"/>
  <c r="AI93" i="6"/>
  <c r="AJ93" i="6" s="1"/>
  <c r="AI95" i="6"/>
  <c r="AJ95" i="6" s="1"/>
  <c r="AI92" i="6"/>
  <c r="AJ92" i="6" s="1"/>
  <c r="AI94" i="6"/>
  <c r="AJ94" i="6" s="1"/>
  <c r="AH124" i="6"/>
  <c r="AH14" i="10" s="1"/>
  <c r="X80" i="6"/>
  <c r="X177" i="6" s="1"/>
  <c r="V80" i="6"/>
  <c r="V177" i="6" s="1"/>
  <c r="AF80" i="6"/>
  <c r="AF177" i="6" s="1"/>
  <c r="S175" i="6"/>
  <c r="AB80" i="6"/>
  <c r="AB177" i="6" s="1"/>
  <c r="U80" i="6"/>
  <c r="U177" i="6" s="1"/>
  <c r="Q73" i="6"/>
  <c r="Q8" i="10" s="1"/>
  <c r="I80" i="6"/>
  <c r="I177" i="6" s="1"/>
  <c r="AE175" i="6"/>
  <c r="AD81" i="6"/>
  <c r="AD178" i="6" s="1"/>
  <c r="AG81" i="6"/>
  <c r="AG73" i="6" s="1"/>
  <c r="AG8" i="10" s="1"/>
  <c r="H81" i="6"/>
  <c r="H73" i="6" s="1"/>
  <c r="H8" i="10" s="1"/>
  <c r="S81" i="6"/>
  <c r="S178" i="6" s="1"/>
  <c r="P81" i="6"/>
  <c r="P178" i="6" s="1"/>
  <c r="AC81" i="6"/>
  <c r="AC178" i="6" s="1"/>
  <c r="N81" i="6"/>
  <c r="N178" i="6" s="1"/>
  <c r="AA81" i="6"/>
  <c r="AA178" i="6" s="1"/>
  <c r="L81" i="6"/>
  <c r="L178" i="6" s="1"/>
  <c r="O81" i="6"/>
  <c r="O178" i="6" s="1"/>
  <c r="Y81" i="6"/>
  <c r="AH73" i="6"/>
  <c r="AH8" i="10" s="1"/>
  <c r="AH178" i="6"/>
  <c r="K81" i="6"/>
  <c r="AE81" i="6"/>
  <c r="M81" i="6"/>
  <c r="T81" i="6"/>
  <c r="R81" i="6"/>
  <c r="Z73" i="6"/>
  <c r="Z8" i="10" s="1"/>
  <c r="Z178" i="6"/>
  <c r="J81" i="6"/>
  <c r="W81" i="6"/>
  <c r="G81" i="6" l="1"/>
  <c r="G73" i="6" s="1"/>
  <c r="G8" i="10" s="1"/>
  <c r="G24" i="10" s="1"/>
  <c r="AI104" i="6"/>
  <c r="AI105" i="6" s="1"/>
  <c r="AI170" i="6"/>
  <c r="AJ170" i="6" s="1"/>
  <c r="AI96" i="6"/>
  <c r="AI97" i="6" s="1"/>
  <c r="AI69" i="6"/>
  <c r="AJ69" i="6" s="1"/>
  <c r="AJ6" i="6"/>
  <c r="AJ82" i="6"/>
  <c r="AI84" i="6"/>
  <c r="AJ84" i="6" s="1"/>
  <c r="AI83" i="6"/>
  <c r="AJ83" i="6" s="1"/>
  <c r="AI86" i="6"/>
  <c r="AJ86" i="6" s="1"/>
  <c r="AI85" i="6"/>
  <c r="AJ85" i="6" s="1"/>
  <c r="AJ79" i="6"/>
  <c r="AJ80" i="6" s="1"/>
  <c r="AJ81" i="6" s="1"/>
  <c r="AI138" i="6"/>
  <c r="AJ138" i="6" s="1"/>
  <c r="AI137" i="6"/>
  <c r="AJ137" i="6" s="1"/>
  <c r="AJ134" i="6"/>
  <c r="AI136" i="6"/>
  <c r="AJ136" i="6" s="1"/>
  <c r="AI135" i="6"/>
  <c r="AJ135" i="6" s="1"/>
  <c r="AI79" i="6"/>
  <c r="AI128" i="6"/>
  <c r="AJ128" i="6" s="1"/>
  <c r="AJ125" i="6"/>
  <c r="AI126" i="6"/>
  <c r="AJ126" i="6" s="1"/>
  <c r="AI129" i="6"/>
  <c r="AJ129" i="6" s="1"/>
  <c r="AI127" i="6"/>
  <c r="AJ127" i="6" s="1"/>
  <c r="X81" i="6"/>
  <c r="X73" i="6" s="1"/>
  <c r="X8" i="10" s="1"/>
  <c r="V81" i="6"/>
  <c r="V178" i="6" s="1"/>
  <c r="H178" i="6"/>
  <c r="G178" i="6"/>
  <c r="AF81" i="6"/>
  <c r="AF73" i="6" s="1"/>
  <c r="AF8" i="10" s="1"/>
  <c r="AB81" i="6"/>
  <c r="AB178" i="6" s="1"/>
  <c r="Q24" i="10"/>
  <c r="Q26" i="10" s="1"/>
  <c r="U81" i="6"/>
  <c r="U73" i="6" s="1"/>
  <c r="U8" i="10" s="1"/>
  <c r="AD73" i="6"/>
  <c r="AD8" i="10" s="1"/>
  <c r="O73" i="6"/>
  <c r="O8" i="10" s="1"/>
  <c r="N73" i="6"/>
  <c r="N8" i="10" s="1"/>
  <c r="S73" i="6"/>
  <c r="S8" i="10" s="1"/>
  <c r="AG178" i="6"/>
  <c r="I81" i="6"/>
  <c r="AC73" i="6"/>
  <c r="AC8" i="10" s="1"/>
  <c r="P73" i="6"/>
  <c r="P8" i="10" s="1"/>
  <c r="L73" i="6"/>
  <c r="L8" i="10" s="1"/>
  <c r="AA73" i="6"/>
  <c r="AA8" i="10" s="1"/>
  <c r="J178" i="6"/>
  <c r="J73" i="6"/>
  <c r="J8" i="10" s="1"/>
  <c r="Z24" i="10"/>
  <c r="R73" i="6"/>
  <c r="R8" i="10" s="1"/>
  <c r="R178" i="6"/>
  <c r="T178" i="6"/>
  <c r="T73" i="6"/>
  <c r="T8" i="10" s="1"/>
  <c r="AE178" i="6"/>
  <c r="AE73" i="6"/>
  <c r="AE8" i="10" s="1"/>
  <c r="K178" i="6"/>
  <c r="K73" i="6"/>
  <c r="K8" i="10" s="1"/>
  <c r="AH24" i="10"/>
  <c r="H24" i="10"/>
  <c r="M178" i="6"/>
  <c r="M73" i="6"/>
  <c r="M8" i="10" s="1"/>
  <c r="Y178" i="6"/>
  <c r="Y73" i="6"/>
  <c r="Y8" i="10" s="1"/>
  <c r="AG24" i="10"/>
  <c r="W178" i="6"/>
  <c r="W73" i="6"/>
  <c r="W8" i="10" s="1"/>
  <c r="P24" i="10" l="1"/>
  <c r="U24" i="10"/>
  <c r="U26" i="10" s="1"/>
  <c r="AC24" i="10"/>
  <c r="AC26" i="10" s="1"/>
  <c r="N24" i="10"/>
  <c r="N26" i="10" s="1"/>
  <c r="AA24" i="10"/>
  <c r="AA26" i="10" s="1"/>
  <c r="AJ96" i="6"/>
  <c r="AJ104" i="6"/>
  <c r="X178" i="6"/>
  <c r="AI171" i="6"/>
  <c r="AJ171" i="6" s="1"/>
  <c r="AI130" i="6"/>
  <c r="AI131" i="6" s="1"/>
  <c r="AI87" i="6"/>
  <c r="AI172" i="6"/>
  <c r="AJ172" i="6" s="1"/>
  <c r="AI80" i="6"/>
  <c r="AI81" i="6" s="1"/>
  <c r="AI106" i="6"/>
  <c r="AJ106" i="6" s="1"/>
  <c r="AJ105" i="6"/>
  <c r="AI98" i="6"/>
  <c r="AJ97" i="6"/>
  <c r="AI173" i="6"/>
  <c r="AJ173" i="6" s="1"/>
  <c r="AI139" i="6"/>
  <c r="AI174" i="6"/>
  <c r="AJ174" i="6" s="1"/>
  <c r="AF178" i="6"/>
  <c r="S24" i="10"/>
  <c r="S26" i="10" s="1"/>
  <c r="V73" i="6"/>
  <c r="V8" i="10" s="1"/>
  <c r="AB73" i="6"/>
  <c r="AB8" i="10" s="1"/>
  <c r="U178" i="6"/>
  <c r="AD24" i="10"/>
  <c r="O24" i="10"/>
  <c r="L24" i="10"/>
  <c r="I178" i="6"/>
  <c r="I73" i="6"/>
  <c r="I8" i="10" s="1"/>
  <c r="G26" i="10"/>
  <c r="H26" i="10"/>
  <c r="AE24" i="10"/>
  <c r="R24" i="10"/>
  <c r="X24" i="10"/>
  <c r="AH26" i="10"/>
  <c r="AF24" i="10"/>
  <c r="AG26" i="10"/>
  <c r="W24" i="10"/>
  <c r="Y24" i="10"/>
  <c r="K24" i="10"/>
  <c r="T24" i="10"/>
  <c r="Z26" i="10"/>
  <c r="P26" i="10"/>
  <c r="M24" i="10"/>
  <c r="J24" i="10"/>
  <c r="AI175" i="6" l="1"/>
  <c r="AJ175" i="6" s="1"/>
  <c r="AJ130" i="6"/>
  <c r="AI140" i="6"/>
  <c r="AI177" i="6" s="1"/>
  <c r="AJ177" i="6" s="1"/>
  <c r="AJ139" i="6"/>
  <c r="AJ87" i="6"/>
  <c r="AI88" i="6"/>
  <c r="AI89" i="6" s="1"/>
  <c r="AJ89" i="6" s="1"/>
  <c r="AJ73" i="6" s="1"/>
  <c r="D7" i="10" s="1"/>
  <c r="AI90" i="6"/>
  <c r="AI10" i="10" s="1"/>
  <c r="AJ98" i="6"/>
  <c r="AJ90" i="6" s="1"/>
  <c r="D9" i="10" s="1"/>
  <c r="AI132" i="6"/>
  <c r="AJ131" i="6"/>
  <c r="V24" i="10"/>
  <c r="V26" i="10" s="1"/>
  <c r="AB24" i="10"/>
  <c r="AD26" i="10"/>
  <c r="O26" i="10"/>
  <c r="L26" i="10"/>
  <c r="I24" i="10"/>
  <c r="T26" i="10"/>
  <c r="X26" i="10"/>
  <c r="AE26" i="10"/>
  <c r="Y26" i="10"/>
  <c r="J26" i="10"/>
  <c r="R26" i="10"/>
  <c r="AF26" i="10"/>
  <c r="M26" i="10"/>
  <c r="K26" i="10"/>
  <c r="W26" i="10"/>
  <c r="F7" i="10" l="1"/>
  <c r="H7" i="10"/>
  <c r="Q7" i="10"/>
  <c r="G7" i="10"/>
  <c r="Z7" i="10"/>
  <c r="AG7" i="10"/>
  <c r="AH7" i="10"/>
  <c r="U7" i="10"/>
  <c r="P7" i="10"/>
  <c r="M7" i="10"/>
  <c r="X7" i="10"/>
  <c r="W7" i="10"/>
  <c r="N7" i="10"/>
  <c r="Y7" i="10"/>
  <c r="AC7" i="10"/>
  <c r="AD7" i="10"/>
  <c r="AF7" i="10"/>
  <c r="O7" i="10"/>
  <c r="S7" i="10"/>
  <c r="AE7" i="10"/>
  <c r="K7" i="10"/>
  <c r="T7" i="10"/>
  <c r="AA7" i="10"/>
  <c r="L7" i="10"/>
  <c r="R7" i="10"/>
  <c r="J7" i="10"/>
  <c r="AI176" i="6"/>
  <c r="AJ176" i="6" s="1"/>
  <c r="AJ88" i="6"/>
  <c r="AI141" i="6"/>
  <c r="AI178" i="6" s="1"/>
  <c r="AJ178" i="6" s="1"/>
  <c r="AJ140" i="6"/>
  <c r="AI73" i="6"/>
  <c r="AI8" i="10" s="1"/>
  <c r="V7" i="10"/>
  <c r="I7" i="10"/>
  <c r="AI124" i="6"/>
  <c r="AI14" i="10" s="1"/>
  <c r="AJ132" i="6"/>
  <c r="AJ124" i="6" s="1"/>
  <c r="D13" i="10" s="1"/>
  <c r="AD9" i="10"/>
  <c r="U9" i="10"/>
  <c r="Q9" i="10"/>
  <c r="F9" i="10"/>
  <c r="X9" i="10"/>
  <c r="N9" i="10"/>
  <c r="Y9" i="10"/>
  <c r="P9" i="10"/>
  <c r="I9" i="10"/>
  <c r="O9" i="10"/>
  <c r="Z9" i="10"/>
  <c r="G9" i="10"/>
  <c r="S9" i="10"/>
  <c r="R9" i="10"/>
  <c r="J9" i="10"/>
  <c r="H9" i="10"/>
  <c r="T9" i="10"/>
  <c r="K9" i="10"/>
  <c r="W9" i="10"/>
  <c r="L9" i="10"/>
  <c r="M9" i="10"/>
  <c r="V9" i="10"/>
  <c r="AA9" i="10"/>
  <c r="AF9" i="10"/>
  <c r="AB9" i="10"/>
  <c r="AG9" i="10"/>
  <c r="AH9" i="10"/>
  <c r="AC9" i="10"/>
  <c r="AE9" i="10"/>
  <c r="AI9" i="10"/>
  <c r="AJ10" i="10"/>
  <c r="AB7" i="10"/>
  <c r="AB26" i="10"/>
  <c r="I26" i="10"/>
  <c r="AJ9" i="10" l="1"/>
  <c r="AI7" i="10"/>
  <c r="AJ7" i="10" s="1"/>
  <c r="AJ8" i="10"/>
  <c r="AI133" i="6"/>
  <c r="AI16" i="10" s="1"/>
  <c r="AJ141" i="6"/>
  <c r="AJ133" i="6" s="1"/>
  <c r="D15" i="10" s="1"/>
  <c r="J13" i="10"/>
  <c r="O13" i="10"/>
  <c r="K13" i="10"/>
  <c r="L13" i="10"/>
  <c r="Z13" i="10"/>
  <c r="G13" i="10"/>
  <c r="AD13" i="10"/>
  <c r="N13" i="10"/>
  <c r="W13" i="10"/>
  <c r="AF13" i="10"/>
  <c r="F13" i="10"/>
  <c r="AA13" i="10"/>
  <c r="I13" i="10"/>
  <c r="H13" i="10"/>
  <c r="X13" i="10"/>
  <c r="M13" i="10"/>
  <c r="T13" i="10"/>
  <c r="S13" i="10"/>
  <c r="R13" i="10"/>
  <c r="U13" i="10"/>
  <c r="Q13" i="10"/>
  <c r="P13" i="10"/>
  <c r="Y13" i="10"/>
  <c r="V13" i="10"/>
  <c r="AG13" i="10"/>
  <c r="AB13" i="10"/>
  <c r="AE13" i="10"/>
  <c r="AC13" i="10"/>
  <c r="AH13" i="10"/>
  <c r="AI13" i="10"/>
  <c r="AJ14" i="10"/>
  <c r="AI24" i="10" l="1"/>
  <c r="AJ24" i="10" s="1"/>
  <c r="AJ13" i="10"/>
  <c r="W15" i="10"/>
  <c r="I15" i="10"/>
  <c r="T15" i="10"/>
  <c r="M15" i="10"/>
  <c r="X15" i="10"/>
  <c r="S15" i="10"/>
  <c r="Z15" i="10"/>
  <c r="G15" i="10"/>
  <c r="R15" i="10"/>
  <c r="AD15" i="10"/>
  <c r="F15" i="10"/>
  <c r="V15" i="10"/>
  <c r="L15" i="10"/>
  <c r="Y15" i="10"/>
  <c r="U15" i="10"/>
  <c r="Q15" i="10"/>
  <c r="AF15" i="10"/>
  <c r="O15" i="10"/>
  <c r="K15" i="10"/>
  <c r="H15" i="10"/>
  <c r="AA15" i="10"/>
  <c r="N15" i="10"/>
  <c r="J15" i="10"/>
  <c r="P15" i="10"/>
  <c r="AG15" i="10"/>
  <c r="AE15" i="10"/>
  <c r="AB15" i="10"/>
  <c r="AC15" i="10"/>
  <c r="AH15" i="10"/>
  <c r="AI15" i="10"/>
  <c r="AJ16" i="10"/>
  <c r="D23" i="10"/>
  <c r="AI26" i="10" l="1"/>
  <c r="AJ15" i="10"/>
  <c r="F23" i="10"/>
  <c r="Q23" i="10"/>
  <c r="AC23" i="10"/>
  <c r="G23" i="10"/>
  <c r="AH23" i="10"/>
  <c r="H23" i="10"/>
  <c r="U23" i="10"/>
  <c r="AA23" i="10"/>
  <c r="AG23" i="10"/>
  <c r="Z23" i="10"/>
  <c r="N23" i="10"/>
  <c r="P23" i="10"/>
  <c r="R23" i="10"/>
  <c r="L23" i="10"/>
  <c r="T23" i="10"/>
  <c r="AF23" i="10"/>
  <c r="M23" i="10"/>
  <c r="O23" i="10"/>
  <c r="S23" i="10"/>
  <c r="X23" i="10"/>
  <c r="AE23" i="10"/>
  <c r="W23" i="10"/>
  <c r="K23" i="10"/>
  <c r="Y23" i="10"/>
  <c r="J23" i="10"/>
  <c r="AD23" i="10"/>
  <c r="I23" i="10"/>
  <c r="AB23" i="10"/>
  <c r="V23" i="10"/>
  <c r="AI23" i="10"/>
  <c r="AJ23" i="10" l="1"/>
</calcChain>
</file>

<file path=xl/sharedStrings.xml><?xml version="1.0" encoding="utf-8"?>
<sst xmlns="http://schemas.openxmlformats.org/spreadsheetml/2006/main" count="8169" uniqueCount="1049">
  <si>
    <t>MS-112 - MATO GROSSO DO SUL</t>
  </si>
  <si>
    <t>PMI Nº 02/2021</t>
  </si>
  <si>
    <t>CONSERV ROD ROTINA - EXT EQUIVALENTE</t>
  </si>
  <si>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</si>
  <si>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</si>
  <si>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</si>
  <si>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</si>
  <si>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</si>
  <si>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</si>
  <si>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</si>
  <si>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</si>
  <si>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</si>
  <si>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</si>
  <si>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112EMS0010 - Km 0,0 até 21,7</t>
  </si>
  <si>
    <t>km</t>
  </si>
  <si>
    <t>1.1</t>
  </si>
  <si>
    <t>112EMS0217 - Km 21,7 até Km 52,9</t>
  </si>
  <si>
    <t>1.2</t>
  </si>
  <si>
    <t>112EMS0529 - Km 52,9 até Km 75,1</t>
  </si>
  <si>
    <t>1.3</t>
  </si>
  <si>
    <t>112EMS0751 - Km 75,1 até Km 89,9</t>
  </si>
  <si>
    <t>1.4</t>
  </si>
  <si>
    <t>112EMS0899 - Km 89,9 até Km 90,8</t>
  </si>
  <si>
    <t>1.5</t>
  </si>
  <si>
    <t>112EMS0908 - Km 90,8 até Km 108,2</t>
  </si>
  <si>
    <t>1.6</t>
  </si>
  <si>
    <t>112EMS1082 - Km 108,2 até Km 113,3</t>
  </si>
  <si>
    <t>1.7</t>
  </si>
  <si>
    <t>112EMS1133 - Km 113,3 até Km 114,2</t>
  </si>
  <si>
    <t>1.8</t>
  </si>
  <si>
    <t>112EMS1142 - Km 114,2 até Km 154,3</t>
  </si>
  <si>
    <t>1.9</t>
  </si>
  <si>
    <t>112EMS1543 - Km 154,3 até Km 180,8</t>
  </si>
  <si>
    <t>1.10</t>
  </si>
  <si>
    <t>112EMS1808 - Km 180,8 até Km 189,0</t>
  </si>
  <si>
    <t>1.11</t>
  </si>
  <si>
    <t>112EMS1890 - Km 189,0 até Km 200,5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</si>
  <si>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</si>
  <si>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</si>
  <si>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</si>
  <si>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</si>
  <si>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</si>
  <si>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</si>
  <si>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</si>
  <si>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</si>
  <si>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</si>
  <si>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</si>
  <si>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</si>
  <si>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</si>
  <si>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</si>
  <si>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</si>
  <si>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Área (m²)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</si>
  <si>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</si>
  <si>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</si>
  <si>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</si>
  <si>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</si>
  <si>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</si>
  <si>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</si>
  <si>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</si>
  <si>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</si>
  <si>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</si>
  <si>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</si>
  <si>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</si>
  <si>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</si>
  <si>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</si>
  <si>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</si>
  <si>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</si>
  <si>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</si>
  <si>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</si>
  <si>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</si>
  <si>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</si>
  <si>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</si>
  <si>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</si>
  <si>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</si>
  <si>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</si>
  <si>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</si>
  <si>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</si>
  <si>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</si>
  <si>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</si>
  <si>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</si>
  <si>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</si>
  <si>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</si>
  <si>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</si>
  <si>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</si>
  <si>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</si>
  <si>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</si>
  <si>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</si>
  <si>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</si>
  <si>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</si>
  <si>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</si>
  <si>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</si>
  <si>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</si>
  <si>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</si>
  <si>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</si>
  <si>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</si>
  <si>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</si>
  <si>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</si>
  <si>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</si>
  <si>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</si>
  <si>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</si>
  <si>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</si>
  <si>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</si>
  <si>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</si>
  <si>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</si>
  <si>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</si>
  <si>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</si>
  <si>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</si>
  <si>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</si>
  <si>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</si>
  <si>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</si>
  <si>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</si>
  <si>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</si>
  <si>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</si>
  <si>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</si>
  <si>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</si>
  <si>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</si>
  <si>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</si>
  <si>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</si>
  <si>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</si>
  <si>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</si>
  <si>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</si>
  <si>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</si>
  <si>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</si>
  <si>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Padrões de Conservação Rodoviária de Rotina</t>
  </si>
  <si>
    <t>DATA BASE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</si>
  <si>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</si>
  <si>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</si>
  <si>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</si>
  <si>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</si>
  <si>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</si>
  <si>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</si>
  <si>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</si>
  <si>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</si>
  <si>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</si>
  <si>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</si>
  <si>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</si>
  <si>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</si>
  <si>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</si>
  <si>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Remendos superficiais - tapa buraco</t>
  </si>
  <si>
    <t>m³/km eq.</t>
  </si>
  <si>
    <t>Fresagem descontínua revest. betuminoso</t>
  </si>
  <si>
    <t>Pintura de ligação</t>
  </si>
  <si>
    <t>m²/km eq.</t>
  </si>
  <si>
    <t>CBUQ -capa de rolamento AC/BC</t>
  </si>
  <si>
    <t>t/km eq.</t>
  </si>
  <si>
    <t>Limpeza, serragem e enchimento de trincas em pavimento com selante elástico a frio</t>
  </si>
  <si>
    <t>l/km.eq</t>
  </si>
  <si>
    <t>Varredura e limpeza de pista</t>
  </si>
  <si>
    <t>m²/m²</t>
  </si>
  <si>
    <t>Reparo em placas de pavimento concreto</t>
  </si>
  <si>
    <t>m³/m²</t>
  </si>
  <si>
    <t>Limpeza e enchimento de juntas de pavimento concreto</t>
  </si>
  <si>
    <t>m/m²</t>
  </si>
  <si>
    <t>Produtos derivados de petróleo</t>
  </si>
  <si>
    <t>M1946</t>
  </si>
  <si>
    <t>Emulsão Asfáltica RR-1C</t>
  </si>
  <si>
    <t>t/m²</t>
  </si>
  <si>
    <t>M1943</t>
  </si>
  <si>
    <t>Cimento Asfáltico CAP-50/70 - Tapa Buraco</t>
  </si>
  <si>
    <t>t/m³</t>
  </si>
  <si>
    <t>Cimento Asfáltico CAP-50/70 - Capa de rolamento</t>
  </si>
  <si>
    <t>M1941</t>
  </si>
  <si>
    <t>Óleo Combustível</t>
  </si>
  <si>
    <t>l/m³</t>
  </si>
  <si>
    <t>ELEMENTOS DE PROTEÇÃO E SEGURANÇA</t>
  </si>
  <si>
    <t>Sinalização Horizontal</t>
  </si>
  <si>
    <t>Repintura de faixa</t>
  </si>
  <si>
    <t>Reposição de tachas reflet.</t>
  </si>
  <si>
    <t>ud/km eq.</t>
  </si>
  <si>
    <t>Repos.Baliz/Delineadores</t>
  </si>
  <si>
    <t>Limpeza balizadores (0,30 X 0,90)</t>
  </si>
  <si>
    <t>Sinalização Vertical</t>
  </si>
  <si>
    <t>Substituição de Placas</t>
  </si>
  <si>
    <t>Limpeza de Placas</t>
  </si>
  <si>
    <t>Dispositivos de Proteção e Segurança</t>
  </si>
  <si>
    <t>Substituição de defensas metálicas</t>
  </si>
  <si>
    <t>m/km</t>
  </si>
  <si>
    <t>Reparo de barreira New Jersey</t>
  </si>
  <si>
    <t>m³/km</t>
  </si>
  <si>
    <t>Reconstrução de barreira New Jersey</t>
  </si>
  <si>
    <t>OBRAS DE ARTES ESPECIAIS</t>
  </si>
  <si>
    <t>OAE's</t>
  </si>
  <si>
    <t>Reparo de guarda corpo/roda de concreto</t>
  </si>
  <si>
    <t>m/m</t>
  </si>
  <si>
    <t>Pintura de superfícies de concreto (caiação)</t>
  </si>
  <si>
    <t>Limpeza de ponte</t>
  </si>
  <si>
    <t>DRENAGEM E OAC</t>
  </si>
  <si>
    <t>Reparo e Limpeza de dispositivos</t>
  </si>
  <si>
    <t>Limpeza drenagem na plataforma</t>
  </si>
  <si>
    <t>Caiação da drenagem na plataforma</t>
  </si>
  <si>
    <t>Limpeza de drenagem fora da plataforma</t>
  </si>
  <si>
    <t>Limpeza de bueiros e galerias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</si>
  <si>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</si>
  <si>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</si>
  <si>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</si>
  <si>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</si>
  <si>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</si>
  <si>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</si>
  <si>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</si>
  <si>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</si>
  <si>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</si>
  <si>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</si>
  <si>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</si>
  <si>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</si>
  <si>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</si>
  <si>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Aceiro de cerca</t>
  </si>
  <si>
    <t>m²/km</t>
  </si>
  <si>
    <t>Plantio/Conservação de revestimento vegetal (Hidrosemeadura)</t>
  </si>
  <si>
    <t>Limpeza de pistas e remoção dos entulhos</t>
  </si>
  <si>
    <t>Recomp. tot. cerca c/ mourão de conc. secção quad.</t>
  </si>
  <si>
    <t>EDIFICAÇÕES E INSTALAÇÕES OPERACIONAIS</t>
  </si>
  <si>
    <t>Conservação de Edificações</t>
  </si>
  <si>
    <t>6 S 00 002 01</t>
  </si>
  <si>
    <t>Pintura e conservação geral de instalações operacionais</t>
  </si>
  <si>
    <t>equipe.mês</t>
  </si>
  <si>
    <t>ILUMINAÇÃO</t>
  </si>
  <si>
    <t>Iluminação e Instalações Elétricas</t>
  </si>
  <si>
    <t>6 S 00 002 02</t>
  </si>
  <si>
    <t>Conservação de Sistema de Iluminação</t>
  </si>
  <si>
    <t>Conservação Rodoviária de Rotina - Padrões e Quantidades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</si>
  <si>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</si>
  <si>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</si>
  <si>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</si>
  <si>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</si>
  <si>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</si>
  <si>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</si>
  <si>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</si>
  <si>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</si>
  <si>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</si>
  <si>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</si>
  <si>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</si>
  <si>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</si>
  <si>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</si>
  <si>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</si>
  <si>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</si>
  <si>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</si>
  <si>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</si>
  <si>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</si>
  <si>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</si>
  <si>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</si>
  <si>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</si>
  <si>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</si>
  <si>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</si>
  <si>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</si>
  <si>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</si>
  <si>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</si>
  <si>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</si>
  <si>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</si>
  <si>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</si>
  <si>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</si>
  <si>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</si>
  <si>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</si>
  <si>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</si>
  <si>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</si>
  <si>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</si>
  <si>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Plantio/Conservação de revestimento vegetal</t>
  </si>
  <si>
    <t>CADASTRO GERAL DO SISTEMA RODOVIÁRIO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</si>
  <si>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</si>
  <si>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</si>
  <si>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</si>
  <si>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</si>
  <si>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</si>
  <si>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</si>
  <si>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</si>
  <si>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112EMS0010</t>
  </si>
  <si>
    <t>112EMS0217</t>
  </si>
  <si>
    <t>112EMS0529</t>
  </si>
  <si>
    <t>112EMS0751</t>
  </si>
  <si>
    <t>112EMS0899</t>
  </si>
  <si>
    <t>112EMS0908</t>
  </si>
  <si>
    <t>112EMS1082</t>
  </si>
  <si>
    <t>112EMS1133</t>
  </si>
  <si>
    <t>112EMS1142</t>
  </si>
  <si>
    <t>112EMS1543</t>
  </si>
  <si>
    <t>112EMS1808</t>
  </si>
  <si>
    <t>112EMS1890</t>
  </si>
  <si>
    <t>112EMS2005</t>
  </si>
  <si>
    <t>MS-112</t>
  </si>
  <si>
    <t>S R E</t>
  </si>
  <si>
    <t xml:space="preserve">ITEM </t>
  </si>
  <si>
    <t>KM (PONTO MÉDIO)</t>
  </si>
  <si>
    <t>KM INICIAL</t>
  </si>
  <si>
    <t>KM FINAL</t>
  </si>
  <si>
    <t>OBS.</t>
  </si>
  <si>
    <t>EXTENSÃO (M)</t>
  </si>
  <si>
    <t>ÁREA (M²)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</si>
  <si>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</si>
  <si>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Disp. de acesso a direita e esquerda - Km 22+691 a Km22+991</t>
  </si>
  <si>
    <t>Disp. de acesso a direita e esquerda - Km 42+387 a Km42+687</t>
  </si>
  <si>
    <t>Disp. de acesso a direita e esquerda - Km 86+750 a Km87+050</t>
  </si>
  <si>
    <t>Disp. de acesso a direita - Km 154+506 a Km154+806</t>
  </si>
  <si>
    <t>Disp. de retorno  - km 27+675 a Km 28+325</t>
  </si>
  <si>
    <t>Disp. de retorno  - km 37+575 a Km 38+225</t>
  </si>
  <si>
    <t>Disp. de retorno  - km 47+675 a Km 48+325</t>
  </si>
  <si>
    <t>Disp. de retorno  - km 61+675 a Km 62+325</t>
  </si>
  <si>
    <t>Disp. de retorno  - km 71+675 a Km 72+325</t>
  </si>
  <si>
    <t>Disp. de retorno  - km 80+775 a Km 81+425</t>
  </si>
  <si>
    <t>Disp. de retorno  - km 98+675 a Km 99+325</t>
  </si>
  <si>
    <t>Disp. de retorno  - km 123+375 a Km 124+025</t>
  </si>
  <si>
    <t>Disp. de retorno  - km 133+275 a Km 133+925</t>
  </si>
  <si>
    <t>Disp. de retorno  - km 143+475 a Km 144+125</t>
  </si>
  <si>
    <t>Disp. de retorno  - km 152+475 a Km 153+125</t>
  </si>
  <si>
    <t>Disp. de retorno  - km 161+275 a Km 161+925</t>
  </si>
  <si>
    <t>Disp. de retorno  - km 171+175 a Km 171+825</t>
  </si>
  <si>
    <t>Disp. de retorno com intersecção a direita  - Km 9+517 a Km 10+167</t>
  </si>
  <si>
    <t>Disp. de retorno com intersecção a direita e esquerda - Km 18+438 a Km 19+088</t>
  </si>
  <si>
    <t>Disp. de retorno com intersecção a direita  - Km 52+575 a Km 53+225</t>
  </si>
  <si>
    <t>Disp. de retorno com intersecção a direita  - Km 178+249 a Km 178+899</t>
  </si>
  <si>
    <t>Disp. de retorno com intersecção a direita  - Km 188+675 a Km 189+325</t>
  </si>
  <si>
    <t>MC Conservação Rodoviária de Rotina</t>
  </si>
  <si>
    <t>CUSTO UNITÁRIO</t>
  </si>
  <si>
    <t>(R$)</t>
  </si>
  <si>
    <t>TOTAIS PARCIAIS</t>
  </si>
  <si>
    <t>m³</t>
  </si>
  <si>
    <t>t</t>
  </si>
  <si>
    <t>l</t>
  </si>
  <si>
    <t>m</t>
  </si>
  <si>
    <t>Intervenções em OAE's</t>
  </si>
  <si>
    <t>Conservação na Faixa de Domínio</t>
  </si>
  <si>
    <t>Hidrossemeadura</t>
  </si>
  <si>
    <t>PFC-001</t>
  </si>
  <si>
    <t>equipe</t>
  </si>
  <si>
    <t>PFC-002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</si>
  <si>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</si>
  <si>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</si>
  <si>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</si>
  <si>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</si>
  <si>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</si>
  <si>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</si>
  <si>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</si>
  <si>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</si>
  <si>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</si>
  <si>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BDI med pond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</si>
  <si>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</si>
  <si>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</si>
  <si>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</si>
  <si>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</si>
  <si>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</si>
  <si>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</si>
  <si>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</si>
  <si>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</si>
  <si>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</si>
  <si>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</si>
  <si>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</si>
  <si>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</si>
  <si>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Tabela de Preços Unitários</t>
  </si>
  <si>
    <t xml:space="preserve">              </t>
  </si>
  <si>
    <t xml:space="preserve">PFC-003       </t>
  </si>
  <si>
    <t xml:space="preserve">PFC-001       </t>
  </si>
  <si>
    <t xml:space="preserve">PFC-002       </t>
  </si>
  <si>
    <t>PFC-004</t>
  </si>
  <si>
    <t>PFC-003</t>
  </si>
  <si>
    <t>Item</t>
  </si>
  <si>
    <t>Descrição</t>
  </si>
  <si>
    <t>Unid</t>
  </si>
  <si>
    <t>Quantidade</t>
  </si>
  <si>
    <t>Preço Unitário</t>
  </si>
  <si>
    <t>Preço do Item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</si>
  <si>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</si>
  <si>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</t>
  </si>
  <si>
    <t xml:space="preserve"> </t>
  </si>
  <si>
    <t xml:space="preserve">CPUS OPEX - MS                                                                                                                                                                                          </t>
  </si>
  <si>
    <t xml:space="preserve">PAVIMENTO                                                                                                                                                                                               </t>
  </si>
  <si>
    <t xml:space="preserve">Reparos no Pavimento                                                                                                                                                                                    </t>
  </si>
  <si>
    <t xml:space="preserve">Remendos superficiais - tapa buraco                                                                                                                                                                     </t>
  </si>
  <si>
    <t xml:space="preserve">m³    </t>
  </si>
  <si>
    <t xml:space="preserve">Fresagem descontínua revest. betuminoso                                                                                                                                                             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</si>
  <si>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</si>
  <si>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</si>
  <si>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CBUQ -capa de rolamento AC/BC                                                                                                                                                                           </t>
  </si>
  <si>
    <t xml:space="preserve">t     </t>
  </si>
  <si>
    <t xml:space="preserve">Limpeza, serragem e enchimento de trincas em pavimento com selante elástico a frio                                                                                                                      </t>
  </si>
  <si>
    <t xml:space="preserve">m     </t>
  </si>
  <si>
    <t xml:space="preserve">Varredura e limpeza de pista                                                                                                                                                                            </t>
  </si>
  <si>
    <t xml:space="preserve">Reparo em placas de pavimento concreto                                                                                                                                                                  </t>
  </si>
  <si>
    <t xml:space="preserve">Limpeza e enchimento de juntas de pavimento concreto                                                                                                                                                    </t>
  </si>
  <si>
    <t xml:space="preserve">l     </t>
  </si>
  <si>
    <t xml:space="preserve">ELEMENTOS DE PROTEÇÃO E SEGURANÇA                                                                                                                                                                       </t>
  </si>
  <si>
    <t xml:space="preserve">Sinalização Horizontal                                                                                                                                                                                  </t>
  </si>
  <si>
    <t xml:space="preserve">Repintura de faixa                                                                                                                                                                                      </t>
  </si>
  <si>
    <t xml:space="preserve">Reposição de tachas reflet.                                                                                                                                                                             </t>
  </si>
  <si>
    <t xml:space="preserve">und   </t>
  </si>
  <si>
    <t xml:space="preserve">Repos.Baliz/Delineadores                                                                                                                                                                             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</si>
  <si>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</si>
  <si>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Sinalização Vertical                                                                                                                                                                                    </t>
  </si>
  <si>
    <t xml:space="preserve">Substituição de Placas                                                                                                                                                                                  </t>
  </si>
  <si>
    <t xml:space="preserve">Limpeza de Placas                                                                                                                                                                                       </t>
  </si>
  <si>
    <t xml:space="preserve">Dispositivos de Proteção e Segurança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</si>
  <si>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</si>
  <si>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</si>
  <si>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</si>
  <si>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OBRAS DE ARTES ESPECIAIS                                                                                                                                                                                </t>
  </si>
  <si>
    <t xml:space="preserve">OAE's                              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</si>
  <si>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</si>
  <si>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Pintura de superfícies de concreto (caiação)                                                                                                                                                       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</si>
  <si>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</si>
  <si>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DRENAGEM E OAC                                                                                                                                                                                          </t>
  </si>
  <si>
    <t xml:space="preserve">Reparo e Limpeza de dispositivos                                                                                                                                                                        </t>
  </si>
  <si>
    <t xml:space="preserve">Limpeza drenagem na plataforma                                                                                                                                                                          </t>
  </si>
  <si>
    <t xml:space="preserve">Caiação com fixador de cal                                                                                                                                                                              </t>
  </si>
  <si>
    <t xml:space="preserve">Limpeza de drenagem fora da plataforma                                                                                                                                                                  </t>
  </si>
  <si>
    <t xml:space="preserve">Limpeza de bueiros e galerias                                                                                                                                                                           </t>
  </si>
  <si>
    <t xml:space="preserve">Reparo de drenagem superficial em concreto                                                                                                                                                              </t>
  </si>
  <si>
    <t xml:space="preserve">TERRAPLENOS E ESTRUTURAS DE CONTENÇÃO                                                                                                                                                                   </t>
  </si>
  <si>
    <t xml:space="preserve">Terrapleno e Estruturas de Contenção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</si>
  <si>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</si>
  <si>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</si>
  <si>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</si>
  <si>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</si>
  <si>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</si>
  <si>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</si>
  <si>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>hectar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</si>
  <si>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</si>
  <si>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Aceiro de cerca                                                                                                                                                                                         </t>
  </si>
  <si>
    <t xml:space="preserve">Plantio/Conservação de revestimento vegetal                                                                                                                                                        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</si>
  <si>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</si>
  <si>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Recomp. tot. cerca c/ mourão de conc. secção quad.                                                                                                                                                      </t>
  </si>
  <si>
    <t xml:space="preserve">EDIFICAÇÕES E INSTALAÇÕES OPERACIONAIS                                                                                                                                                                  </t>
  </si>
  <si>
    <t xml:space="preserve">Conservação de Edificações              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</si>
  <si>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</si>
  <si>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ILUMINAÇÃO                                                                                                                                                                                              </t>
  </si>
  <si>
    <t xml:space="preserve">Iluminação e Instalações Elétricas                     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</si>
  <si>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</si>
  <si>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CPUS AUXILIARES                     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</si>
  <si>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</si>
  <si>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Concreto fck = 30 MPa - confecção em betoneira e lançamento manual - areia e brita comerciais                                                                                                           </t>
  </si>
  <si>
    <t xml:space="preserve">Confecção de placa em aço nº 16 galvanizado. com película tipo I + IV                                                                                                                                   </t>
  </si>
  <si>
    <t xml:space="preserve">Pintura eletrostática a pó com tinta poliester em chapa de aço                                                                                                                                          </t>
  </si>
  <si>
    <t xml:space="preserve">Confecção de placa em aço nº 16 galvanizado. com película retrorrefletiva tipo I + SI        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</si>
  <si>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</si>
  <si>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</si>
  <si>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</si>
  <si>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</si>
  <si>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</si>
  <si>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</si>
  <si>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</si>
  <si>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Concreto fck=15Mpa c.raz. Uso ger conf/lanç AC/BC                                                                                                                                                       </t>
  </si>
  <si>
    <t xml:space="preserve">AUX-PFC1      </t>
  </si>
  <si>
    <t/>
  </si>
  <si>
    <t>AUX-PFC1</t>
  </si>
  <si>
    <t>Cronograma Conservação Rodoviária de Rotina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</si>
  <si>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</si>
  <si>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</si>
  <si>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</si>
  <si>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</si>
  <si>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</si>
  <si>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</si>
  <si>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</si>
  <si>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Município</t>
  </si>
  <si>
    <t>Início (km)</t>
  </si>
  <si>
    <t>Fim (km)</t>
  </si>
  <si>
    <t>Extensão (km)</t>
  </si>
  <si>
    <t>Participação</t>
  </si>
  <si>
    <t>BDI</t>
  </si>
  <si>
    <t>Média Ponderada</t>
  </si>
  <si>
    <t>Produtos Asfálticos</t>
  </si>
  <si>
    <t>RESUMO DO CADASTRO DE DISPOSITIVO DE SEGURANÇA</t>
  </si>
  <si>
    <t>Taxa de BDI por rodovia</t>
  </si>
  <si>
    <t>BR-158</t>
  </si>
  <si>
    <t>BR-436</t>
  </si>
  <si>
    <t>Extensão das 3ª Faixas</t>
  </si>
  <si>
    <t>Roçada manual (20%)</t>
  </si>
  <si>
    <t>Roçada mecanizada (80%)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</si>
  <si>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</si>
  <si>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</si>
  <si>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</si>
  <si>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</si>
  <si>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</si>
  <si>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Custo</t>
  </si>
  <si>
    <t>A-EQUIPAMENTO</t>
  </si>
  <si>
    <t>Operativa</t>
  </si>
  <si>
    <t>Improdutiva</t>
  </si>
  <si>
    <t>Produtivo</t>
  </si>
  <si>
    <t>Improdutivo</t>
  </si>
  <si>
    <t>Horário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</si>
  <si>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</si>
  <si>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</si>
  <si>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</si>
  <si>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</si>
  <si>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>CUSTO HORARIO TOTAL DE EQUIPAMENTO</t>
  </si>
  <si>
    <t>B-MÃO DE OBRA</t>
  </si>
  <si>
    <t>Custo Horário</t>
  </si>
  <si>
    <t xml:space="preserve">01P9824       </t>
  </si>
  <si>
    <t>Servente</t>
  </si>
  <si>
    <t>CUSTO HORARIO TOTAL DA MÃO DE OBRA</t>
  </si>
  <si>
    <t>CUSTO HORARIO TOTAL DA EXECUÇÃO</t>
  </si>
  <si>
    <t>PRODUÇÃO DA EQUIPE</t>
  </si>
  <si>
    <t>CUSTO UNITÁRIO DA EXECUÇÃO</t>
  </si>
  <si>
    <t>CUSTO DO FIC %</t>
  </si>
  <si>
    <t>CUSTO DO FIT %</t>
  </si>
  <si>
    <t>C-MATERIAIS</t>
  </si>
  <si>
    <t>Consumo</t>
  </si>
  <si>
    <t>Custo Unit.</t>
  </si>
  <si>
    <t xml:space="preserve">02M1385       </t>
  </si>
  <si>
    <t>Disco de corte diamantado para concreto e asfalto - D = 350 mm</t>
  </si>
  <si>
    <t xml:space="preserve">02M1946       </t>
  </si>
  <si>
    <t xml:space="preserve">02M3507       </t>
  </si>
  <si>
    <t>Revestimento asfáltico</t>
  </si>
  <si>
    <t>CUSTO TOTAL DE MATERIAIS</t>
  </si>
  <si>
    <t>D-OUTRAS ATIVIDADES</t>
  </si>
  <si>
    <t>Mistura betuminosa</t>
  </si>
  <si>
    <t>CUSTO TOTAL DAS ATIVIDADES</t>
  </si>
  <si>
    <t>E-TEMPO FIXO</t>
  </si>
  <si>
    <t>Quantid.</t>
  </si>
  <si>
    <t xml:space="preserve">05M3507433    </t>
  </si>
  <si>
    <t>Revestimento asfáltico - Caminhão basculante 6 m³ -    5915433</t>
  </si>
  <si>
    <t>5915433</t>
  </si>
  <si>
    <t>CUSTO TOTAL DE TEMPO FIXO</t>
  </si>
  <si>
    <t>E-TRANSPORTE</t>
  </si>
  <si>
    <t>UNID</t>
  </si>
  <si>
    <t xml:space="preserve">tkm   </t>
  </si>
  <si>
    <t xml:space="preserve">04M3507       </t>
  </si>
  <si>
    <t>Revestimento asfáltico - Caminhão basculante 10 m³ - 5914359 - 5914374 - 5914389</t>
  </si>
  <si>
    <t>CUSTO TOTAL DE TRANSPORTE</t>
  </si>
  <si>
    <t>CUSTO DIRETO TOTAL:</t>
  </si>
  <si>
    <t>LUCRO E DESPESAS INDIRETAS %:</t>
  </si>
  <si>
    <t>PREÇO UNITÁRIO TOTAL DO SERVIÇO:</t>
  </si>
  <si>
    <t xml:space="preserve">Mistura betuminosa                                                                                                                                                                                      </t>
  </si>
  <si>
    <t xml:space="preserve">02M3502       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</si>
  <si>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</si>
  <si>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</si>
  <si>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</si>
  <si>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</si>
  <si>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</si>
  <si>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>Fresadora a frio - 410 kW</t>
  </si>
  <si>
    <t xml:space="preserve">03E9697       </t>
  </si>
  <si>
    <t xml:space="preserve">02M1974       </t>
  </si>
  <si>
    <t xml:space="preserve">05M3507352    </t>
  </si>
  <si>
    <t>Revestimento asfáltico - Caminhão basculante 10 m³ -    5914352</t>
  </si>
  <si>
    <t>5914352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</si>
  <si>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</si>
  <si>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</si>
  <si>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</si>
  <si>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</si>
  <si>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</si>
  <si>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</si>
  <si>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</si>
  <si>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</si>
  <si>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</si>
  <si>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</si>
  <si>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</si>
  <si>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</si>
  <si>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</si>
  <si>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</si>
  <si>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</si>
  <si>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</si>
  <si>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</si>
  <si>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</si>
  <si>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</si>
  <si>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</si>
  <si>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</si>
  <si>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</si>
  <si>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02M0005       </t>
  </si>
  <si>
    <t>Brita 0</t>
  </si>
  <si>
    <t xml:space="preserve">02M0028       </t>
  </si>
  <si>
    <t>Areia média</t>
  </si>
  <si>
    <t xml:space="preserve">02M0191       </t>
  </si>
  <si>
    <t>Brita 1</t>
  </si>
  <si>
    <t xml:space="preserve">02M0344       </t>
  </si>
  <si>
    <t>Cal hidratada - a granel</t>
  </si>
  <si>
    <t xml:space="preserve">kg    </t>
  </si>
  <si>
    <t xml:space="preserve">02M1103       </t>
  </si>
  <si>
    <t>Pedrisco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</si>
  <si>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</si>
  <si>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</si>
  <si>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</si>
  <si>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</si>
  <si>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>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</si>
  <si>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</si>
  <si>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</si>
  <si>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</si>
  <si>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</si>
  <si>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</si>
  <si>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</si>
  <si>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>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</si>
  <si>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</si>
  <si>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</si>
  <si>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</si>
  <si>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</si>
  <si>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</si>
  <si>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</si>
  <si>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</si>
  <si>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</si>
  <si>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</si>
  <si>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</si>
  <si>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</si>
  <si>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</si>
  <si>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</si>
  <si>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</si>
  <si>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03E9640       </t>
  </si>
  <si>
    <t xml:space="preserve">02M1130       </t>
  </si>
  <si>
    <t xml:space="preserve">02M1131       </t>
  </si>
  <si>
    <t xml:space="preserve">05M1130474    </t>
  </si>
  <si>
    <t>5915474</t>
  </si>
  <si>
    <t xml:space="preserve">04M1130       </t>
  </si>
  <si>
    <t xml:space="preserve">03E9071       </t>
  </si>
  <si>
    <t>Transportador manual carrinho de mão com capacidade de 80 l</t>
  </si>
  <si>
    <t xml:space="preserve">02M3515       </t>
  </si>
  <si>
    <t xml:space="preserve">04M3515       </t>
  </si>
  <si>
    <t xml:space="preserve">03E9527       </t>
  </si>
  <si>
    <t>Martelete perfurador/rompedor a ar comprimido de 25 kg para rocha com capacidade de 2040 gpm</t>
  </si>
  <si>
    <t xml:space="preserve">03E9646       </t>
  </si>
  <si>
    <t xml:space="preserve">02M0769       </t>
  </si>
  <si>
    <t xml:space="preserve">02M1387       </t>
  </si>
  <si>
    <t>Adesivo estrutural à base de resina epóxi de média viscosidade</t>
  </si>
  <si>
    <t xml:space="preserve">02M1391       </t>
  </si>
  <si>
    <t>Ponteiro para martelete - D = 22 mm e C = 1.00 m</t>
  </si>
  <si>
    <t>Concreto fck = 30 MPa - confecção em betoneira e lançamento manual - areia e brita comerciais</t>
  </si>
  <si>
    <t xml:space="preserve">05M1387474    </t>
  </si>
  <si>
    <t>Adesivo estrutural à base de resina epóxi de média viscosidade - Caminhão carroceria 5 t -    5915474</t>
  </si>
  <si>
    <t xml:space="preserve">04M1387       </t>
  </si>
  <si>
    <t>Adesivo estrutural à base de resina epóxi de média viscosidade - Caminhão carroceria 15 t - 5914449 - 5914464 - 5914479</t>
  </si>
  <si>
    <t xml:space="preserve">03E9010       </t>
  </si>
  <si>
    <t>Balança plataforma digital com mesa de 75 x 75 cm com capacidade de 500 kg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</si>
  <si>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</si>
  <si>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</si>
  <si>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</si>
  <si>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</si>
  <si>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03E9521       </t>
  </si>
  <si>
    <t>Grupo gerador - 2.5/3 kVA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</si>
  <si>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</si>
  <si>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</si>
  <si>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</si>
  <si>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</si>
  <si>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02M0082       </t>
  </si>
  <si>
    <t>Areia média lavada</t>
  </si>
  <si>
    <t xml:space="preserve">02M0192       </t>
  </si>
  <si>
    <t>Brita 2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</si>
  <si>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</si>
  <si>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</si>
  <si>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</si>
  <si>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</si>
  <si>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>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</si>
  <si>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</si>
  <si>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</si>
  <si>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</si>
  <si>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</si>
  <si>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</si>
  <si>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</si>
  <si>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</si>
  <si>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</si>
  <si>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</si>
  <si>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</si>
  <si>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</si>
  <si>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</si>
  <si>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</si>
  <si>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</si>
  <si>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03E9522       </t>
  </si>
  <si>
    <t>Caldeira de asfalto rebocável com capacidade de 1500 l - 6.5 kW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</si>
  <si>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</si>
  <si>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</si>
  <si>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</si>
  <si>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</si>
  <si>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</si>
  <si>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</si>
  <si>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</si>
  <si>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</si>
  <si>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</si>
  <si>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</si>
  <si>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</si>
  <si>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</si>
  <si>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</si>
  <si>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</si>
  <si>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</si>
  <si>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</si>
  <si>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</si>
  <si>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</si>
  <si>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</si>
  <si>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</si>
  <si>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</si>
  <si>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</si>
  <si>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</si>
  <si>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</si>
  <si>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 xml:space="preserve">03E9066       </t>
  </si>
  <si>
    <t>Grupo gerador - 13/14 kVA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</si>
  <si>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</si>
  <si>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</si>
  <si>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</si>
  <si>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</si>
  <si>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</si>
  <si>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</si>
  <si>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</si>
  <si>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</si>
  <si>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</si>
  <si>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</si>
  <si>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</si>
  <si>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</si>
  <si>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</si>
  <si>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</si>
  <si>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>5914333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</si>
  <si>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</si>
  <si>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</si>
  <si>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</si>
  <si>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</si>
  <si>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</si>
  <si>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</si>
  <si>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</si>
  <si>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</si>
  <si>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</si>
  <si>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</si>
  <si>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 xml:space="preserve">02M3229       </t>
  </si>
  <si>
    <t>Película retrorrefletiva tipo I + SI</t>
  </si>
  <si>
    <t xml:space="preserve">04M3229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</si>
  <si>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</si>
  <si>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</si>
  <si>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</si>
  <si>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</si>
  <si>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</si>
  <si>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</si>
  <si>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>5915373</t>
  </si>
  <si>
    <t xml:space="preserve">04M1966       </t>
  </si>
  <si>
    <t>Defensa metálica maleável simples - Guindauto 20 tm - 5914584 - 5914599 - 5914614</t>
  </si>
  <si>
    <t xml:space="preserve">05M0424474    </t>
  </si>
  <si>
    <t>Cimento Portland CP II - 32 - saco - Caminhão carroceria 5 t -    5915474</t>
  </si>
  <si>
    <t xml:space="preserve">03E9069       </t>
  </si>
  <si>
    <t>Vibrador de imersão para concreto - 4.10 kW</t>
  </si>
  <si>
    <t xml:space="preserve">03E9763       </t>
  </si>
  <si>
    <t>Grupo gerador - 36/40 kVA</t>
  </si>
  <si>
    <t xml:space="preserve">03E9052       </t>
  </si>
  <si>
    <t xml:space="preserve">03E9144       </t>
  </si>
  <si>
    <t>Pórtico metálico rolante com talha com capacidade de 5 t - 10 kW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</si>
  <si>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</si>
  <si>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</si>
  <si>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</si>
  <si>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</si>
  <si>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</si>
  <si>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</si>
  <si>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</si>
  <si>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</si>
  <si>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</si>
  <si>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</si>
  <si>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</si>
  <si>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</si>
  <si>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</si>
  <si>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</si>
  <si>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</si>
  <si>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</si>
  <si>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</si>
  <si>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</si>
  <si>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</si>
  <si>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</si>
  <si>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</si>
  <si>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</si>
  <si>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</si>
  <si>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</si>
  <si>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</si>
  <si>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</si>
  <si>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</si>
  <si>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</si>
  <si>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</si>
  <si>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</si>
  <si>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</si>
  <si>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</si>
  <si>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</si>
  <si>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</si>
  <si>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</si>
  <si>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</si>
  <si>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</si>
  <si>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</si>
  <si>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</si>
  <si>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</si>
  <si>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</si>
  <si>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</si>
  <si>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</si>
  <si>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</si>
  <si>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</si>
  <si>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</si>
  <si>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</si>
  <si>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</si>
  <si>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</si>
  <si>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</si>
  <si>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</si>
  <si>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</si>
  <si>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</si>
  <si>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</si>
  <si>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</si>
  <si>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</si>
  <si>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</si>
  <si>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</si>
  <si>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</si>
  <si>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</si>
  <si>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</si>
  <si>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</si>
  <si>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</si>
  <si>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</si>
  <si>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</si>
  <si>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</si>
  <si>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</si>
  <si>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</si>
  <si>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</si>
  <si>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</si>
  <si>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</si>
  <si>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</si>
  <si>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</si>
  <si>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Armação em aço CA-60 - fornecimento. preparo e colocação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</si>
  <si>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</si>
  <si>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</si>
  <si>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</si>
  <si>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</si>
  <si>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</si>
  <si>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</si>
  <si>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</si>
  <si>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</si>
  <si>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</si>
  <si>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</si>
  <si>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</si>
  <si>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</si>
  <si>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</si>
  <si>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</si>
  <si>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>Materiais Diversos - Conservação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</si>
  <si>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</si>
  <si>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</si>
  <si>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</si>
  <si>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</si>
  <si>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</si>
  <si>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</si>
  <si>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</si>
  <si>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</si>
  <si>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</si>
  <si>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</si>
  <si>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</si>
  <si>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</si>
  <si>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</si>
  <si>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Materiais Diversos - Iluminação</t>
  </si>
  <si>
    <t>Extensão (km):</t>
  </si>
  <si>
    <t>Disp. Com acesso a direita - Km 89+515 a Km 89+785</t>
  </si>
  <si>
    <t>Disp. Com acesso a direita - Km 90+865 a Km 91+135</t>
  </si>
  <si>
    <t>Faixa adicional - sentido Sul/Leste - km 196,9 até km 198,24</t>
  </si>
  <si>
    <t>EXTENSÃO EQUIVALENTE</t>
  </si>
  <si>
    <t>Contorno São Pedro - Km 0,0 até 1,5</t>
  </si>
  <si>
    <t>Extensão Pista - Equivalente a uma Pista (3,5m) (km)</t>
  </si>
  <si>
    <t>Readequação de Dispositivos</t>
  </si>
  <si>
    <t>Implantação de Dispositivos</t>
  </si>
  <si>
    <t>Implantação de Acessos</t>
  </si>
  <si>
    <t>Implantação de Marginais</t>
  </si>
  <si>
    <t>MS-112 - CONTORNO SÃO PEDRO</t>
  </si>
  <si>
    <t>TOTAL COM O CONTORNO SÃO PEDRO</t>
  </si>
  <si>
    <t xml:space="preserve">Substituição de junta de dilatação - fornecimento e instalação                                                                                                                                          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</si>
  <si>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</si>
  <si>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</si>
  <si>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Lábios poliméricos em junta de pavimento de concreto - L = 20 mm e H = 30 mm - confecção e assentamento</t>
  </si>
  <si>
    <t>Demolição de concreto simples com martelete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</si>
  <si>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</si>
  <si>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</si>
  <si>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</si>
  <si>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</si>
  <si>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</si>
  <si>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Demolição de concreto simples com martelete                                                                                                                                                             </t>
  </si>
  <si>
    <t xml:space="preserve">02M3505       </t>
  </si>
  <si>
    <t>Material demolido - concreto simples</t>
  </si>
  <si>
    <t xml:space="preserve">05M3505433    </t>
  </si>
  <si>
    <t>Material demolido - concreto simples - Caminhão basculante 6 m³ -    5915433</t>
  </si>
  <si>
    <t xml:space="preserve">04M3505       </t>
  </si>
  <si>
    <t>Material demolido - concreto simples - Caminhão basculante 6 m³ - 5914314 - 5914329 - 5914344</t>
  </si>
  <si>
    <t xml:space="preserve">03E9028       </t>
  </si>
  <si>
    <t>un</t>
  </si>
  <si>
    <t>un/m</t>
  </si>
  <si>
    <t>Espaçamento entre juntas 30m</t>
  </si>
  <si>
    <t>Quantidade de Juntas da OAE</t>
  </si>
  <si>
    <t>Largura OAE (m)</t>
  </si>
  <si>
    <t>Total de juntas de dilatação</t>
  </si>
  <si>
    <t>Faixa adicional - sentido Sul/Leste - km 191,20 até km 193,59</t>
  </si>
  <si>
    <t>Faixa adicional - sentido Norte/Oeste - km 197,66 até km 199,00</t>
  </si>
  <si>
    <t>LARGURA (M)</t>
  </si>
  <si>
    <t>ALARGAMENTO (M²)</t>
  </si>
  <si>
    <t>LARG. ANT. (M)</t>
  </si>
  <si>
    <t>Alargamento de OAE km 89 + 570 - Ponte sobre o Rio São Pedro</t>
  </si>
  <si>
    <t>Alargamento de OAE km 118 + 700 - Ponte sobre Ferrovia</t>
  </si>
  <si>
    <t>Alargamento de OAE km 200 + 500 - Ponte sobre Córrego</t>
  </si>
  <si>
    <t>Disp. de retorno com intersecção a direita e esquerda - Km 198+800 a Km 199+450</t>
  </si>
  <si>
    <t>Caldeira de asfalto rebocável com capacidade de 600 l - 5.20 kW</t>
  </si>
  <si>
    <t>Compactador manual de placa vibratória - 3.00 kW</t>
  </si>
  <si>
    <t>Emulsão asfáltica - RR-1C</t>
  </si>
  <si>
    <t>DMT LN</t>
  </si>
  <si>
    <t>DMT RP</t>
  </si>
  <si>
    <t>DMT P</t>
  </si>
  <si>
    <t>Minicarregadeira de pneus com vassoura de 1.8 m - 45.50 kW</t>
  </si>
  <si>
    <t>Dente de corte para fresadora de 410 kW</t>
  </si>
  <si>
    <t xml:space="preserve">02M2148       </t>
  </si>
  <si>
    <t>Porta dente de corte para fresadora e recicladora a frio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</si>
  <si>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</si>
  <si>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</si>
  <si>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</si>
  <si>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</si>
  <si>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</si>
  <si>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</si>
  <si>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</si>
  <si>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</si>
  <si>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>Grãos. agregados e solos derramados na pista</t>
  </si>
  <si>
    <t xml:space="preserve">05M3515459    </t>
  </si>
  <si>
    <t>Grãos. agregados e solos derramados na pista - Caminhão basculante 6 m³ -    5915459</t>
  </si>
  <si>
    <t>5915459</t>
  </si>
  <si>
    <t>Grãos. agregados e solos derramados na pista - Caminhão basculante 6 m³ - 5914314 - 5914329 - 5914344</t>
  </si>
  <si>
    <t>Compressor de ar portátil de 33.51 l/s (71 PCM) - 14 kW</t>
  </si>
  <si>
    <t xml:space="preserve">03E9706       </t>
  </si>
  <si>
    <t>Martelete perfurador/rompedor a ar comprimido de 28 kg para concreto com capacidade de 1230 gpm</t>
  </si>
  <si>
    <t>Lona plástica - E = 200 micra</t>
  </si>
  <si>
    <t>Adensamento de concreto por vibrador de imersão</t>
  </si>
  <si>
    <t xml:space="preserve">05M0769474    </t>
  </si>
  <si>
    <t>Lona plástica - E = 200 micra - Caminhão carroceria 5 t -    5915474</t>
  </si>
  <si>
    <t xml:space="preserve">04M0769       </t>
  </si>
  <si>
    <t>Lona plástica - E = 200 micra - Caminhão carroceria 15 t - 5914449 - 5914464 - 5914479</t>
  </si>
  <si>
    <t xml:space="preserve">Adensamento de concreto por vibrador de imersão                                                                                                                                                         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</si>
  <si>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</si>
  <si>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</si>
  <si>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</si>
  <si>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</si>
  <si>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</si>
  <si>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</si>
  <si>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</si>
  <si>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</si>
  <si>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</si>
  <si>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</si>
  <si>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</si>
  <si>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</si>
  <si>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</si>
  <si>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</si>
  <si>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</si>
  <si>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</si>
  <si>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</si>
  <si>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</si>
  <si>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</si>
  <si>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</si>
  <si>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</si>
  <si>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</si>
  <si>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</si>
  <si>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Pintura eletrostática a pó com tinta poliéster em chapa de aço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</si>
  <si>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</si>
  <si>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</si>
  <si>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</si>
  <si>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</si>
  <si>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</si>
  <si>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</si>
  <si>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</si>
  <si>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</si>
  <si>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 xml:space="preserve">Pintura eletrostática a pó com tinta poliéster em chapa de aço                                                                                                                                          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</si>
  <si>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</si>
  <si>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</si>
  <si>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</si>
  <si>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</si>
  <si>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</si>
  <si>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>Placa em aço nº 16 galvanizado com película retrorrefletiva tipo I + SI - confecção</t>
  </si>
  <si>
    <t xml:space="preserve">Placa em aço nº 16 galvanizado com película retrorrefletiva tipo I + SI - confecção                                                                                                                     </t>
  </si>
  <si>
    <t xml:space="preserve">05M3229655    </t>
  </si>
  <si>
    <t>Película retrorrefletiva tipo I + SI - Caminhão carroceria 15 t -    5914655</t>
  </si>
  <si>
    <t>Película retrorrefletiva tipo I + SI - Caminhão carroceria 15 t - 5914449 - 5914464 - 5914479</t>
  </si>
  <si>
    <t>Concreto fck = 15 MPa c. raz. uso ger. conf./lanç. AC/BC</t>
  </si>
  <si>
    <t xml:space="preserve">Concreto fck = 15 MPa c. raz. uso ger. conf./lanç. AC/BC                                                                                                                                                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</si>
  <si>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</si>
  <si>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</si>
  <si>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</si>
  <si>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</si>
  <si>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</si>
  <si>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</si>
  <si>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</si>
  <si>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Corte de chapas de aço com espessura de 3 mm com maçarico oxiacetileno</t>
  </si>
  <si>
    <t>Corte de perfil metálico com máquina policorte com espessura de até 1/8"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</si>
  <si>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</si>
  <si>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</si>
  <si>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</si>
  <si>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</si>
  <si>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</si>
  <si>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</si>
  <si>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</si>
  <si>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</si>
  <si>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</si>
  <si>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</si>
  <si>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</si>
  <si>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</si>
  <si>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</si>
  <si>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</si>
  <si>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</si>
  <si>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</si>
  <si>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</si>
  <si>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</si>
  <si>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</si>
  <si>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</si>
  <si>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</si>
  <si>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</si>
  <si>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</si>
  <si>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</si>
  <si>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</si>
  <si>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</si>
  <si>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</si>
  <si>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</si>
  <si>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</si>
  <si>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</si>
  <si>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</si>
  <si>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</si>
  <si>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</si>
  <si>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Compressor de ar portátil de 58.52 l/s (124 PCM) - 27 kW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</si>
  <si>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</si>
  <si>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</si>
  <si>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</si>
  <si>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</si>
  <si>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Trator agrícola sobre pneus com roçadeira - 77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</si>
  <si>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</si>
  <si>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</si>
  <si>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</si>
  <si>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</si>
  <si>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</si>
  <si>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</si>
  <si>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</si>
  <si>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</si>
  <si>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</si>
  <si>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</si>
  <si>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</si>
  <si>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</si>
  <si>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</si>
  <si>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</si>
  <si>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</si>
  <si>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</si>
  <si>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</si>
  <si>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</si>
  <si>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</si>
  <si>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</si>
  <si>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</si>
  <si>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</si>
  <si>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</si>
  <si>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</si>
  <si>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</si>
  <si>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</si>
  <si>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</si>
  <si>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</si>
  <si>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Junta de dilatação em elastômero e perfil VV - L = 50 mm e H = 80 mm - fornecimento e instalação</t>
  </si>
  <si>
    <t>Microconcreto autoadensável para reparos e grauteamento - confecção em misturador e lançamento manual</t>
  </si>
  <si>
    <t xml:space="preserve">Junta de dilatação em elastômero e perfil VV - L = 50 mm e H = 80 mm - fornecimento e instalação                                                                                                        </t>
  </si>
  <si>
    <t xml:space="preserve">02M1150       </t>
  </si>
  <si>
    <t>Adesivo estrutural à base de resina epóxi bicomponente tipo ADE-52 ou similar</t>
  </si>
  <si>
    <t xml:space="preserve">02M1152       </t>
  </si>
  <si>
    <t>Junta de dilatação em elastômero e perfil VV - L = 50 mm e H = 80 mm</t>
  </si>
  <si>
    <t xml:space="preserve">05M1150655    </t>
  </si>
  <si>
    <t>Adesivo estrutural à base de resina epóxi bicomponente tipo ADE-52 ou similar - Caminhão carroceria 15 t -    5914655</t>
  </si>
  <si>
    <t xml:space="preserve">05M1152655    </t>
  </si>
  <si>
    <t>Junta de dilatação em elastômero e perfil VV - L = 50 mm e H = 80 mm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</si>
  <si>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</si>
  <si>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</si>
  <si>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04M1152       </t>
  </si>
  <si>
    <t>Junta de dilatação em elastômero e perfil VV - L = 50 mm e H = 80 mm - Caminhão carroceria 15 t - 5914449 - 5914464 - 5914479</t>
  </si>
  <si>
    <t xml:space="preserve">Microconcreto autoadensável para reparos e grauteamento - confecção em misturador e lançamento manual                                                                                                   </t>
  </si>
  <si>
    <t xml:space="preserve">03E9788       </t>
  </si>
  <si>
    <t>Misturador de argamassa com capacidade de 0.250 m³ - 3.70 kW</t>
  </si>
  <si>
    <t xml:space="preserve">02M0084       </t>
  </si>
  <si>
    <t>Argamassa pré-dosada autoadensável para grauteamento</t>
  </si>
  <si>
    <t xml:space="preserve">05M0084655    </t>
  </si>
  <si>
    <t>Argamassa pré-dosada autoadensável para grauteamento - Caminhão carroceria 15 t -    5914655</t>
  </si>
  <si>
    <t xml:space="preserve">04M0084       </t>
  </si>
  <si>
    <t>Argamassa pré-dosada autoadensável para grauteamento - Caminhão carroceria 15 t - 5914449 - 5914464 - 5914479</t>
  </si>
  <si>
    <t xml:space="preserve"> JULHO-2022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</si>
</sst>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000"/>
    <numFmt numFmtId="165" formatCode="#,##0.00_ ;\-#,##0.00\ "/>
    <numFmt numFmtId="166" formatCode="_-* #,##0.0000000_-;\-* #,##0.0000000_-;_-* &quot;-&quot;??_-;_-@_-"/>
    <numFmt numFmtId="167" formatCode="_-* #,##0.0000000_-;\-* #,##0.0000000_-;_-* &quot;-&quot;???????_-;_-@_-"/>
    <numFmt numFmtId="168" formatCode="0.0%"/>
    <numFmt numFmtId="169" formatCode="0.000000"/>
    <numFmt numFmtId="170" formatCode="0.00_ ;[Red]\-0.00\ "/>
    <numFmt numFmtId="171" formatCode="0\+000"/>
    <numFmt numFmtId="172" formatCode="_-* #,##0.0000_-;\-* #,##0.0000_-;_-* &quot;-&quot;??_-;_-@_-"/>
    <numFmt numFmtId="173" formatCode="#,##0.0000"/>
    <numFmt numFmtId="174" formatCode="#,##0.00000"/>
    <numFmt numFmtId="175" formatCode="#,##0.000000"/>
  </numFmts>
  <fonts count="43" x14ac:knownFonts="1"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name val="Arial"/>
      <family val="2"/>
    </font>
    <font>
      <b/>
      <sz val="14"/>
      <color theme="4" tint="-0.499984740745262"/>
      <name val="Arial"/>
      <family val="2"/>
    </font>
    <font>
      <b/>
      <sz val="14"/>
      <color theme="9" tint="-0.249977111117893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sz val="10"/>
      <color theme="1"/>
      <name val="Arial"/>
      <family val="2"/>
    </font>
    <font>
      <b/>
      <sz val="14"/>
      <color theme="9" tint="-0.49998474074526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i/>
      <sz val="10"/>
      <color theme="9" tint="-0.499984740745262"/>
      <name val="Arial"/>
      <family val="2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fgColor theme="9" tint="-0.24994659260841701"/>
        <bgColor indexed="65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415">
    <xf numFmtId="0" fontId="0" fillId="0" borderId="0" xfId="0"/>
    <xf numFmtId="0" fontId="0" fillId="0" borderId="0" xfId="0" applyAlignment="1">
      <alignment vertical="center"/>
    </xf>
    <xf numFmtId="2" fontId="3" fillId="0" borderId="0" xfId="3" applyNumberFormat="1" applyFont="1" applyAlignment="1">
      <alignment horizontal="left" vertical="center"/>
    </xf>
    <xf numFmtId="2" fontId="4" fillId="0" borderId="0" xfId="3" applyNumberFormat="1" applyFont="1" applyAlignment="1">
      <alignment horizontal="left" vertical="center"/>
    </xf>
    <xf numFmtId="43" fontId="0" fillId="0" borderId="0" xfId="0" applyNumberFormat="1" applyAlignment="1">
      <alignment vertical="center"/>
    </xf>
    <xf numFmtId="2" fontId="5" fillId="0" borderId="0" xfId="3" applyNumberFormat="1" applyFont="1" applyAlignment="1">
      <alignment horizontal="left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8" fillId="6" borderId="6" xfId="0" applyFont="1" applyFill="1" applyBorder="1" applyAlignment="1">
      <alignment horizontal="left" vertical="center"/>
    </xf>
    <xf numFmtId="43" fontId="12" fillId="6" borderId="1" xfId="1" applyFont="1" applyFill="1" applyBorder="1" applyAlignment="1">
      <alignment horizontal="center" vertical="center"/>
    </xf>
    <xf numFmtId="43" fontId="13" fillId="6" borderId="1" xfId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/>
    </xf>
    <xf numFmtId="43" fontId="12" fillId="4" borderId="1" xfId="1" applyFont="1" applyFill="1" applyBorder="1" applyAlignment="1">
      <alignment horizontal="center" vertical="center"/>
    </xf>
    <xf numFmtId="43" fontId="13" fillId="4" borderId="1" xfId="1" applyFont="1" applyFill="1" applyBorder="1" applyAlignment="1">
      <alignment horizontal="center" vertical="center"/>
    </xf>
    <xf numFmtId="43" fontId="0" fillId="0" borderId="0" xfId="0" applyNumberFormat="1"/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/>
    <xf numFmtId="43" fontId="8" fillId="3" borderId="1" xfId="1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43" fontId="11" fillId="0" borderId="1" xfId="1" applyFont="1" applyFill="1" applyBorder="1"/>
    <xf numFmtId="43" fontId="0" fillId="0" borderId="1" xfId="1" applyFont="1" applyFill="1" applyBorder="1"/>
    <xf numFmtId="43" fontId="0" fillId="0" borderId="1" xfId="1" applyFont="1" applyBorder="1"/>
    <xf numFmtId="0" fontId="8" fillId="0" borderId="6" xfId="0" applyFont="1" applyBorder="1" applyAlignment="1">
      <alignment horizontal="left" vertical="center"/>
    </xf>
    <xf numFmtId="43" fontId="12" fillId="0" borderId="1" xfId="1" applyFont="1" applyBorder="1" applyAlignment="1">
      <alignment horizontal="center" vertical="center"/>
    </xf>
    <xf numFmtId="43" fontId="13" fillId="0" borderId="1" xfId="1" applyFont="1" applyBorder="1" applyAlignment="1">
      <alignment horizontal="center" vertical="center"/>
    </xf>
    <xf numFmtId="0" fontId="0" fillId="4" borderId="1" xfId="0" applyFill="1" applyBorder="1"/>
    <xf numFmtId="43" fontId="0" fillId="4" borderId="1" xfId="1" applyFont="1" applyFill="1" applyBorder="1"/>
    <xf numFmtId="43" fontId="0" fillId="6" borderId="1" xfId="1" applyFont="1" applyFill="1" applyBorder="1"/>
    <xf numFmtId="164" fontId="8" fillId="4" borderId="6" xfId="0" applyNumberFormat="1" applyFont="1" applyFill="1" applyBorder="1" applyAlignment="1">
      <alignment horizontal="left" vertical="center"/>
    </xf>
    <xf numFmtId="43" fontId="8" fillId="0" borderId="1" xfId="1" applyFont="1" applyFill="1" applyBorder="1"/>
    <xf numFmtId="43" fontId="8" fillId="0" borderId="1" xfId="1" applyFont="1" applyBorder="1"/>
    <xf numFmtId="43" fontId="0" fillId="0" borderId="0" xfId="1" applyFont="1"/>
    <xf numFmtId="0" fontId="0" fillId="7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43" fontId="0" fillId="3" borderId="1" xfId="1" applyFont="1" applyFill="1" applyBorder="1"/>
    <xf numFmtId="0" fontId="0" fillId="0" borderId="1" xfId="0" applyBorder="1" applyAlignment="1">
      <alignment horizontal="left" indent="2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indent="2"/>
    </xf>
    <xf numFmtId="43" fontId="7" fillId="5" borderId="1" xfId="1" applyFont="1" applyFill="1" applyBorder="1"/>
    <xf numFmtId="43" fontId="7" fillId="5" borderId="1" xfId="1" applyFont="1" applyFill="1" applyBorder="1" applyAlignment="1">
      <alignment horizontal="center"/>
    </xf>
    <xf numFmtId="165" fontId="7" fillId="5" borderId="1" xfId="1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2" fontId="15" fillId="0" borderId="7" xfId="3" applyNumberFormat="1" applyFont="1" applyBorder="1" applyAlignment="1">
      <alignment horizontal="left" vertical="center"/>
    </xf>
    <xf numFmtId="0" fontId="0" fillId="0" borderId="8" xfId="0" applyBorder="1"/>
    <xf numFmtId="2" fontId="15" fillId="0" borderId="8" xfId="3" applyNumberFormat="1" applyFont="1" applyBorder="1" applyAlignment="1">
      <alignment horizontal="left" vertical="center"/>
    </xf>
    <xf numFmtId="0" fontId="0" fillId="0" borderId="9" xfId="0" applyBorder="1"/>
    <xf numFmtId="2" fontId="5" fillId="0" borderId="10" xfId="3" applyNumberFormat="1" applyFont="1" applyBorder="1" applyAlignment="1">
      <alignment horizontal="left" vertical="center"/>
    </xf>
    <xf numFmtId="2" fontId="16" fillId="8" borderId="0" xfId="3" applyNumberFormat="1" applyFont="1" applyFill="1" applyAlignment="1">
      <alignment horizontal="right" vertical="center"/>
    </xf>
    <xf numFmtId="49" fontId="6" fillId="8" borderId="0" xfId="3" applyNumberFormat="1" applyFont="1" applyFill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0" fillId="9" borderId="13" xfId="0" applyFill="1" applyBorder="1"/>
    <xf numFmtId="0" fontId="0" fillId="9" borderId="14" xfId="0" applyFill="1" applyBorder="1"/>
    <xf numFmtId="0" fontId="17" fillId="8" borderId="1" xfId="4" applyFont="1" applyFill="1" applyBorder="1" applyAlignment="1">
      <alignment horizontal="center" vertical="center"/>
    </xf>
    <xf numFmtId="0" fontId="17" fillId="8" borderId="0" xfId="4" applyFont="1" applyFill="1" applyAlignment="1">
      <alignment horizontal="left" vertical="center"/>
    </xf>
    <xf numFmtId="0" fontId="0" fillId="8" borderId="0" xfId="0" applyFill="1"/>
    <xf numFmtId="0" fontId="2" fillId="10" borderId="1" xfId="4" applyFill="1" applyBorder="1" applyAlignment="1">
      <alignment horizontal="center" vertical="center"/>
    </xf>
    <xf numFmtId="0" fontId="2" fillId="10" borderId="1" xfId="4" applyFill="1" applyBorder="1" applyAlignment="1">
      <alignment vertical="center"/>
    </xf>
    <xf numFmtId="0" fontId="17" fillId="8" borderId="1" xfId="4" applyFont="1" applyFill="1" applyBorder="1" applyAlignment="1">
      <alignment vertical="center"/>
    </xf>
    <xf numFmtId="0" fontId="2" fillId="0" borderId="1" xfId="4" applyBorder="1" applyAlignment="1">
      <alignment horizontal="left" vertical="center"/>
    </xf>
    <xf numFmtId="0" fontId="17" fillId="0" borderId="1" xfId="4" applyFont="1" applyBorder="1" applyAlignment="1">
      <alignment vertical="center"/>
    </xf>
    <xf numFmtId="9" fontId="2" fillId="0" borderId="1" xfId="2" applyFont="1" applyBorder="1" applyAlignment="1">
      <alignment vertical="center"/>
    </xf>
    <xf numFmtId="166" fontId="2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/>
    </xf>
    <xf numFmtId="166" fontId="14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2" fillId="0" borderId="1" xfId="4" applyBorder="1" applyAlignment="1">
      <alignment horizontal="center" vertical="center"/>
    </xf>
    <xf numFmtId="0" fontId="2" fillId="0" borderId="1" xfId="4" applyBorder="1" applyAlignment="1">
      <alignment horizontal="left" vertical="center" indent="1"/>
    </xf>
    <xf numFmtId="166" fontId="14" fillId="0" borderId="1" xfId="1" applyNumberFormat="1" applyFont="1" applyFill="1" applyBorder="1"/>
    <xf numFmtId="166" fontId="2" fillId="0" borderId="1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167" fontId="0" fillId="0" borderId="0" xfId="0" applyNumberFormat="1"/>
    <xf numFmtId="0" fontId="17" fillId="8" borderId="15" xfId="4" applyFont="1" applyFill="1" applyBorder="1" applyAlignment="1">
      <alignment horizontal="center" vertical="center"/>
    </xf>
    <xf numFmtId="0" fontId="2" fillId="0" borderId="1" xfId="4" applyBorder="1" applyAlignment="1">
      <alignment vertical="center"/>
    </xf>
    <xf numFmtId="0" fontId="18" fillId="0" borderId="1" xfId="4" applyFont="1" applyBorder="1" applyAlignment="1">
      <alignment horizontal="center" vertical="center"/>
    </xf>
    <xf numFmtId="0" fontId="14" fillId="0" borderId="0" xfId="0" applyFont="1"/>
    <xf numFmtId="168" fontId="0" fillId="0" borderId="0" xfId="2" applyNumberFormat="1" applyFont="1"/>
    <xf numFmtId="2" fontId="15" fillId="0" borderId="0" xfId="3" applyNumberFormat="1" applyFont="1" applyAlignment="1">
      <alignment horizontal="left" vertical="center"/>
    </xf>
    <xf numFmtId="2" fontId="16" fillId="8" borderId="0" xfId="3" applyNumberFormat="1" applyFont="1" applyFill="1" applyAlignment="1">
      <alignment horizontal="center" vertical="center"/>
    </xf>
    <xf numFmtId="49" fontId="6" fillId="8" borderId="0" xfId="3" applyNumberFormat="1" applyFont="1" applyFill="1" applyAlignment="1">
      <alignment horizontal="left" vertical="center"/>
    </xf>
    <xf numFmtId="3" fontId="2" fillId="10" borderId="1" xfId="4" applyNumberFormat="1" applyFill="1" applyBorder="1" applyAlignment="1">
      <alignment horizontal="center" vertical="center"/>
    </xf>
    <xf numFmtId="3" fontId="17" fillId="8" borderId="1" xfId="4" applyNumberFormat="1" applyFont="1" applyFill="1" applyBorder="1" applyAlignment="1">
      <alignment horizontal="center" vertical="center"/>
    </xf>
    <xf numFmtId="0" fontId="2" fillId="8" borderId="1" xfId="4" applyFill="1" applyBorder="1" applyAlignment="1">
      <alignment vertical="center"/>
    </xf>
    <xf numFmtId="0" fontId="2" fillId="0" borderId="0" xfId="4" applyAlignment="1">
      <alignment vertical="center"/>
    </xf>
    <xf numFmtId="0" fontId="19" fillId="0" borderId="11" xfId="0" applyFont="1" applyBorder="1"/>
    <xf numFmtId="169" fontId="2" fillId="0" borderId="1" xfId="4" applyNumberFormat="1" applyBorder="1" applyAlignment="1">
      <alignment horizontal="center" vertical="center"/>
    </xf>
    <xf numFmtId="169" fontId="2" fillId="0" borderId="1" xfId="4" applyNumberFormat="1" applyBorder="1" applyAlignment="1">
      <alignment vertical="center"/>
    </xf>
    <xf numFmtId="43" fontId="2" fillId="11" borderId="1" xfId="1" applyFont="1" applyFill="1" applyBorder="1" applyAlignment="1">
      <alignment vertical="center"/>
    </xf>
    <xf numFmtId="43" fontId="2" fillId="0" borderId="1" xfId="1" applyFont="1" applyFill="1" applyBorder="1" applyAlignment="1">
      <alignment vertical="center"/>
    </xf>
    <xf numFmtId="43" fontId="19" fillId="12" borderId="1" xfId="0" applyNumberFormat="1" applyFont="1" applyFill="1" applyBorder="1"/>
    <xf numFmtId="10" fontId="0" fillId="0" borderId="0" xfId="2" applyNumberFormat="1" applyFont="1"/>
    <xf numFmtId="43" fontId="2" fillId="7" borderId="1" xfId="1" applyFont="1" applyFill="1" applyBorder="1" applyAlignment="1">
      <alignment vertical="center"/>
    </xf>
    <xf numFmtId="169" fontId="2" fillId="0" borderId="1" xfId="2" applyNumberFormat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8" borderId="5" xfId="4" applyFill="1" applyBorder="1" applyAlignment="1">
      <alignment vertical="center"/>
    </xf>
    <xf numFmtId="0" fontId="2" fillId="8" borderId="16" xfId="4" applyFill="1" applyBorder="1" applyAlignment="1">
      <alignment vertical="center"/>
    </xf>
    <xf numFmtId="0" fontId="19" fillId="8" borderId="6" xfId="0" applyFont="1" applyFill="1" applyBorder="1"/>
    <xf numFmtId="9" fontId="0" fillId="0" borderId="0" xfId="2" applyFont="1"/>
    <xf numFmtId="0" fontId="2" fillId="7" borderId="1" xfId="4" applyFill="1" applyBorder="1" applyAlignment="1">
      <alignment horizontal="center" vertical="center"/>
    </xf>
    <xf numFmtId="0" fontId="2" fillId="7" borderId="1" xfId="4" applyFill="1" applyBorder="1" applyAlignment="1">
      <alignment horizontal="left" vertical="center" indent="1"/>
    </xf>
    <xf numFmtId="43" fontId="2" fillId="11" borderId="2" xfId="1" applyFont="1" applyFill="1" applyBorder="1" applyAlignment="1">
      <alignment vertical="center"/>
    </xf>
    <xf numFmtId="0" fontId="18" fillId="0" borderId="1" xfId="4" applyFont="1" applyBorder="1" applyAlignment="1">
      <alignment vertical="center"/>
    </xf>
    <xf numFmtId="0" fontId="2" fillId="7" borderId="1" xfId="4" applyFill="1" applyBorder="1" applyAlignment="1">
      <alignment vertical="center"/>
    </xf>
    <xf numFmtId="43" fontId="2" fillId="0" borderId="13" xfId="1" applyFont="1" applyBorder="1" applyAlignment="1">
      <alignment vertical="center"/>
    </xf>
    <xf numFmtId="0" fontId="17" fillId="0" borderId="1" xfId="4" applyFont="1" applyBorder="1" applyAlignment="1">
      <alignment horizontal="center" vertical="center"/>
    </xf>
    <xf numFmtId="43" fontId="17" fillId="0" borderId="1" xfId="1" applyFont="1" applyBorder="1" applyAlignment="1">
      <alignment vertical="center"/>
    </xf>
    <xf numFmtId="43" fontId="17" fillId="0" borderId="5" xfId="4" applyNumberFormat="1" applyFont="1" applyBorder="1" applyAlignment="1">
      <alignment vertical="center"/>
    </xf>
    <xf numFmtId="43" fontId="17" fillId="0" borderId="1" xfId="4" applyNumberFormat="1" applyFont="1" applyBorder="1" applyAlignment="1">
      <alignment vertical="center"/>
    </xf>
    <xf numFmtId="0" fontId="19" fillId="0" borderId="1" xfId="0" applyFont="1" applyBorder="1"/>
    <xf numFmtId="0" fontId="2" fillId="0" borderId="0" xfId="4" applyAlignment="1">
      <alignment horizontal="center" vertical="center"/>
    </xf>
    <xf numFmtId="43" fontId="11" fillId="0" borderId="1" xfId="1" applyFont="1" applyBorder="1"/>
    <xf numFmtId="43" fontId="1" fillId="0" borderId="1" xfId="1" applyFont="1" applyBorder="1"/>
    <xf numFmtId="43" fontId="1" fillId="0" borderId="1" xfId="1" applyFont="1" applyFill="1" applyBorder="1"/>
    <xf numFmtId="2" fontId="20" fillId="7" borderId="0" xfId="3" applyNumberFormat="1" applyFont="1" applyFill="1" applyAlignment="1">
      <alignment horizontal="left" vertical="center"/>
    </xf>
    <xf numFmtId="2" fontId="20" fillId="7" borderId="0" xfId="3" applyNumberFormat="1" applyFont="1" applyFill="1" applyAlignment="1">
      <alignment vertical="center"/>
    </xf>
    <xf numFmtId="0" fontId="20" fillId="7" borderId="0" xfId="0" applyFont="1" applyFill="1" applyAlignment="1">
      <alignment vertical="center"/>
    </xf>
    <xf numFmtId="2" fontId="20" fillId="7" borderId="0" xfId="0" applyNumberFormat="1" applyFont="1" applyFill="1" applyAlignment="1">
      <alignment horizontal="right" vertical="center"/>
    </xf>
    <xf numFmtId="0" fontId="0" fillId="7" borderId="0" xfId="0" applyFill="1"/>
    <xf numFmtId="2" fontId="14" fillId="7" borderId="0" xfId="3" applyNumberFormat="1" applyFont="1" applyFill="1" applyAlignment="1">
      <alignment horizontal="left" vertical="center"/>
    </xf>
    <xf numFmtId="170" fontId="0" fillId="7" borderId="25" xfId="0" applyNumberFormat="1" applyFill="1" applyBorder="1" applyAlignment="1">
      <alignment vertical="center"/>
    </xf>
    <xf numFmtId="0" fontId="25" fillId="15" borderId="26" xfId="0" applyFont="1" applyFill="1" applyBorder="1" applyAlignment="1">
      <alignment horizontal="center" vertical="center"/>
    </xf>
    <xf numFmtId="0" fontId="25" fillId="15" borderId="8" xfId="0" applyFont="1" applyFill="1" applyBorder="1" applyAlignment="1">
      <alignment horizontal="center" vertical="center" wrapText="1"/>
    </xf>
    <xf numFmtId="0" fontId="25" fillId="15" borderId="26" xfId="0" applyFont="1" applyFill="1" applyBorder="1" applyAlignment="1">
      <alignment horizontal="center" vertical="center" wrapText="1"/>
    </xf>
    <xf numFmtId="0" fontId="25" fillId="15" borderId="27" xfId="0" applyFont="1" applyFill="1" applyBorder="1" applyAlignment="1">
      <alignment horizontal="center" vertical="center" wrapText="1"/>
    </xf>
    <xf numFmtId="49" fontId="8" fillId="12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8" fillId="12" borderId="2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8" fillId="12" borderId="3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7" borderId="0" xfId="0" applyFont="1" applyFill="1" applyAlignment="1">
      <alignment horizontal="center"/>
    </xf>
    <xf numFmtId="0" fontId="14" fillId="0" borderId="1" xfId="0" applyFont="1" applyBorder="1"/>
    <xf numFmtId="43" fontId="14" fillId="0" borderId="1" xfId="1" applyFont="1" applyBorder="1"/>
    <xf numFmtId="171" fontId="14" fillId="0" borderId="1" xfId="0" applyNumberFormat="1" applyFont="1" applyBorder="1"/>
    <xf numFmtId="0" fontId="27" fillId="0" borderId="0" xfId="0" applyFont="1"/>
    <xf numFmtId="171" fontId="0" fillId="0" borderId="0" xfId="0" applyNumberFormat="1"/>
    <xf numFmtId="0" fontId="22" fillId="0" borderId="1" xfId="0" applyFont="1" applyFill="1" applyBorder="1"/>
    <xf numFmtId="43" fontId="26" fillId="0" borderId="1" xfId="0" applyNumberFormat="1" applyFont="1" applyBorder="1"/>
    <xf numFmtId="43" fontId="29" fillId="0" borderId="1" xfId="0" applyNumberFormat="1" applyFont="1" applyBorder="1"/>
    <xf numFmtId="0" fontId="26" fillId="10" borderId="1" xfId="0" applyFont="1" applyFill="1" applyBorder="1" applyAlignment="1">
      <alignment horizontal="center" vertical="center"/>
    </xf>
    <xf numFmtId="171" fontId="26" fillId="1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20" fillId="0" borderId="0" xfId="3" applyNumberFormat="1" applyFont="1" applyFill="1" applyAlignment="1">
      <alignment horizontal="left" vertical="center"/>
    </xf>
    <xf numFmtId="2" fontId="20" fillId="0" borderId="0" xfId="3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2" fontId="20" fillId="0" borderId="0" xfId="0" applyNumberFormat="1" applyFont="1" applyFill="1" applyAlignment="1">
      <alignment horizontal="right" vertical="center"/>
    </xf>
    <xf numFmtId="2" fontId="14" fillId="0" borderId="0" xfId="3" applyNumberFormat="1" applyFont="1" applyFill="1" applyAlignment="1">
      <alignment horizontal="left" vertical="center"/>
    </xf>
    <xf numFmtId="0" fontId="17" fillId="8" borderId="1" xfId="4" applyFont="1" applyFill="1" applyBorder="1" applyAlignment="1">
      <alignment horizontal="center" vertical="center" wrapText="1"/>
    </xf>
    <xf numFmtId="3" fontId="2" fillId="10" borderId="1" xfId="4" applyNumberFormat="1" applyFill="1" applyBorder="1" applyAlignment="1">
      <alignment horizontal="center" vertical="center"/>
    </xf>
    <xf numFmtId="43" fontId="26" fillId="0" borderId="1" xfId="1" applyFont="1" applyFill="1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3" fontId="17" fillId="8" borderId="1" xfId="1" applyFont="1" applyFill="1" applyBorder="1" applyAlignment="1">
      <alignment vertical="center"/>
    </xf>
    <xf numFmtId="43" fontId="17" fillId="8" borderId="1" xfId="4" applyNumberFormat="1" applyFont="1" applyFill="1" applyBorder="1" applyAlignment="1">
      <alignment vertical="center"/>
    </xf>
    <xf numFmtId="43" fontId="30" fillId="11" borderId="1" xfId="1" applyFont="1" applyFill="1" applyBorder="1" applyAlignment="1">
      <alignment vertical="center"/>
    </xf>
    <xf numFmtId="43" fontId="30" fillId="0" borderId="1" xfId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9" fillId="7" borderId="1" xfId="0" applyFont="1" applyFill="1" applyBorder="1" applyAlignment="1">
      <alignment horizontal="left" vertical="center"/>
    </xf>
    <xf numFmtId="0" fontId="17" fillId="0" borderId="0" xfId="4" applyFont="1" applyAlignment="1">
      <alignment horizontal="center" vertical="center"/>
    </xf>
    <xf numFmtId="172" fontId="0" fillId="0" borderId="0" xfId="0" applyNumberFormat="1" applyAlignment="1">
      <alignment vertical="center"/>
    </xf>
    <xf numFmtId="0" fontId="2" fillId="0" borderId="10" xfId="4" applyBorder="1" applyAlignment="1">
      <alignment vertical="center"/>
    </xf>
    <xf numFmtId="0" fontId="2" fillId="0" borderId="11" xfId="4" applyBorder="1" applyAlignment="1">
      <alignment vertical="center"/>
    </xf>
    <xf numFmtId="0" fontId="17" fillId="12" borderId="1" xfId="4" applyFont="1" applyFill="1" applyBorder="1" applyAlignment="1">
      <alignment vertical="center"/>
    </xf>
    <xf numFmtId="0" fontId="2" fillId="12" borderId="1" xfId="4" applyFill="1" applyBorder="1" applyAlignment="1">
      <alignment vertical="center"/>
    </xf>
    <xf numFmtId="43" fontId="17" fillId="12" borderId="1" xfId="4" applyNumberFormat="1" applyFont="1" applyFill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8" fillId="8" borderId="5" xfId="0" applyFont="1" applyFill="1" applyBorder="1" applyAlignment="1">
      <alignment horizontal="left" vertical="center" indent="1"/>
    </xf>
    <xf numFmtId="0" fontId="8" fillId="8" borderId="16" xfId="0" applyFont="1" applyFill="1" applyBorder="1" applyAlignment="1">
      <alignment vertical="center"/>
    </xf>
    <xf numFmtId="0" fontId="0" fillId="8" borderId="16" xfId="0" applyFill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0" fillId="16" borderId="33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43" fontId="0" fillId="0" borderId="33" xfId="1" applyFont="1" applyBorder="1" applyAlignment="1">
      <alignment vertical="center"/>
    </xf>
    <xf numFmtId="0" fontId="31" fillId="0" borderId="34" xfId="0" applyFont="1" applyBorder="1" applyAlignment="1">
      <alignment vertical="center"/>
    </xf>
    <xf numFmtId="10" fontId="0" fillId="0" borderId="34" xfId="2" applyNumberFormat="1" applyFont="1" applyBorder="1" applyAlignment="1">
      <alignment vertical="center"/>
    </xf>
    <xf numFmtId="0" fontId="0" fillId="11" borderId="34" xfId="0" applyFill="1" applyBorder="1" applyAlignment="1">
      <alignment vertical="center"/>
    </xf>
    <xf numFmtId="43" fontId="0" fillId="0" borderId="34" xfId="1" applyFont="1" applyBorder="1" applyAlignment="1">
      <alignment vertical="center"/>
    </xf>
    <xf numFmtId="0" fontId="0" fillId="16" borderId="34" xfId="0" applyFill="1" applyBorder="1" applyAlignment="1">
      <alignment vertical="center"/>
    </xf>
    <xf numFmtId="10" fontId="0" fillId="0" borderId="34" xfId="0" applyNumberFormat="1" applyBorder="1" applyAlignment="1">
      <alignment vertical="center"/>
    </xf>
    <xf numFmtId="0" fontId="31" fillId="0" borderId="35" xfId="0" applyFont="1" applyBorder="1" applyAlignment="1">
      <alignment vertical="center"/>
    </xf>
    <xf numFmtId="0" fontId="0" fillId="16" borderId="35" xfId="0" applyFill="1" applyBorder="1" applyAlignment="1">
      <alignment vertical="center"/>
    </xf>
    <xf numFmtId="0" fontId="0" fillId="11" borderId="35" xfId="0" applyFill="1" applyBorder="1" applyAlignment="1">
      <alignment vertical="center"/>
    </xf>
    <xf numFmtId="43" fontId="32" fillId="0" borderId="35" xfId="1" applyFont="1" applyBorder="1" applyAlignment="1">
      <alignment vertical="center"/>
    </xf>
    <xf numFmtId="43" fontId="14" fillId="0" borderId="33" xfId="1" applyFont="1" applyBorder="1" applyAlignment="1">
      <alignment vertical="center"/>
    </xf>
    <xf numFmtId="43" fontId="14" fillId="0" borderId="34" xfId="1" applyFont="1" applyBorder="1" applyAlignment="1">
      <alignment vertical="center"/>
    </xf>
    <xf numFmtId="43" fontId="32" fillId="0" borderId="34" xfId="1" applyFont="1" applyBorder="1" applyAlignment="1">
      <alignment vertical="center"/>
    </xf>
    <xf numFmtId="43" fontId="33" fillId="0" borderId="34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31" fillId="8" borderId="36" xfId="0" applyFont="1" applyFill="1" applyBorder="1" applyAlignment="1">
      <alignment vertical="center"/>
    </xf>
    <xf numFmtId="0" fontId="0" fillId="8" borderId="37" xfId="0" applyFill="1" applyBorder="1" applyAlignment="1">
      <alignment vertical="center"/>
    </xf>
    <xf numFmtId="43" fontId="0" fillId="8" borderId="37" xfId="1" applyFont="1" applyFill="1" applyBorder="1" applyAlignment="1">
      <alignment vertical="center"/>
    </xf>
    <xf numFmtId="43" fontId="0" fillId="8" borderId="38" xfId="1" applyFont="1" applyFill="1" applyBorder="1" applyAlignment="1">
      <alignment vertical="center"/>
    </xf>
    <xf numFmtId="43" fontId="0" fillId="8" borderId="36" xfId="1" applyFont="1" applyFill="1" applyBorder="1" applyAlignment="1">
      <alignment vertical="center"/>
    </xf>
    <xf numFmtId="43" fontId="33" fillId="8" borderId="38" xfId="1" applyFont="1" applyFill="1" applyBorder="1" applyAlignment="1">
      <alignment vertical="center"/>
    </xf>
    <xf numFmtId="0" fontId="31" fillId="8" borderId="39" xfId="0" applyFont="1" applyFill="1" applyBorder="1" applyAlignment="1">
      <alignment vertical="center"/>
    </xf>
    <xf numFmtId="0" fontId="0" fillId="8" borderId="40" xfId="0" applyFill="1" applyBorder="1" applyAlignment="1">
      <alignment vertical="center"/>
    </xf>
    <xf numFmtId="43" fontId="0" fillId="8" borderId="40" xfId="1" applyFont="1" applyFill="1" applyBorder="1" applyAlignment="1">
      <alignment vertical="center"/>
    </xf>
    <xf numFmtId="43" fontId="0" fillId="8" borderId="41" xfId="1" applyFont="1" applyFill="1" applyBorder="1" applyAlignment="1">
      <alignment vertical="center"/>
    </xf>
    <xf numFmtId="43" fontId="0" fillId="8" borderId="39" xfId="1" applyFont="1" applyFill="1" applyBorder="1" applyAlignment="1">
      <alignment vertical="center"/>
    </xf>
    <xf numFmtId="43" fontId="33" fillId="8" borderId="41" xfId="1" applyFont="1" applyFill="1" applyBorder="1" applyAlignment="1">
      <alignment vertical="center"/>
    </xf>
    <xf numFmtId="0" fontId="31" fillId="8" borderId="42" xfId="0" applyFont="1" applyFill="1" applyBorder="1" applyAlignment="1">
      <alignment vertical="center"/>
    </xf>
    <xf numFmtId="0" fontId="0" fillId="8" borderId="43" xfId="0" applyFill="1" applyBorder="1" applyAlignment="1">
      <alignment vertical="center"/>
    </xf>
    <xf numFmtId="43" fontId="0" fillId="8" borderId="43" xfId="1" applyFont="1" applyFill="1" applyBorder="1" applyAlignment="1">
      <alignment vertical="center"/>
    </xf>
    <xf numFmtId="43" fontId="0" fillId="8" borderId="44" xfId="1" applyFont="1" applyFill="1" applyBorder="1" applyAlignment="1">
      <alignment vertical="center"/>
    </xf>
    <xf numFmtId="43" fontId="0" fillId="8" borderId="42" xfId="1" applyFont="1" applyFill="1" applyBorder="1" applyAlignment="1">
      <alignment vertical="center"/>
    </xf>
    <xf numFmtId="43" fontId="33" fillId="8" borderId="44" xfId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43" fontId="0" fillId="0" borderId="0" xfId="1" applyFont="1" applyAlignment="1">
      <alignment vertical="center"/>
    </xf>
    <xf numFmtId="3" fontId="2" fillId="10" borderId="1" xfId="4" applyNumberFormat="1" applyFill="1" applyBorder="1" applyAlignment="1">
      <alignment horizontal="center" vertical="top"/>
    </xf>
    <xf numFmtId="43" fontId="2" fillId="10" borderId="1" xfId="1" applyFont="1" applyFill="1" applyBorder="1" applyAlignment="1">
      <alignment horizontal="left" vertical="top"/>
    </xf>
    <xf numFmtId="0" fontId="0" fillId="0" borderId="0" xfId="0"/>
    <xf numFmtId="4" fontId="0" fillId="0" borderId="0" xfId="0" applyNumberFormat="1"/>
    <xf numFmtId="0" fontId="0" fillId="0" borderId="1" xfId="0" applyBorder="1"/>
    <xf numFmtId="49" fontId="6" fillId="0" borderId="0" xfId="3" applyNumberFormat="1" applyFont="1" applyAlignment="1">
      <alignment horizontal="center" vertical="center"/>
    </xf>
    <xf numFmtId="0" fontId="34" fillId="8" borderId="5" xfId="0" applyFont="1" applyFill="1" applyBorder="1" applyAlignment="1">
      <alignment vertical="center"/>
    </xf>
    <xf numFmtId="0" fontId="34" fillId="8" borderId="16" xfId="0" applyFont="1" applyFill="1" applyBorder="1" applyAlignment="1">
      <alignment horizontal="left" vertical="center"/>
    </xf>
    <xf numFmtId="43" fontId="8" fillId="8" borderId="16" xfId="0" applyNumberFormat="1" applyFont="1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3" fontId="35" fillId="0" borderId="33" xfId="0" applyNumberFormat="1" applyFont="1" applyBorder="1" applyAlignment="1">
      <alignment horizontal="left" vertical="center"/>
    </xf>
    <xf numFmtId="10" fontId="36" fillId="11" borderId="45" xfId="2" applyNumberFormat="1" applyFont="1" applyFill="1" applyBorder="1" applyAlignment="1">
      <alignment vertical="center"/>
    </xf>
    <xf numFmtId="10" fontId="36" fillId="0" borderId="37" xfId="2" applyNumberFormat="1" applyFont="1" applyBorder="1" applyAlignment="1">
      <alignment vertical="center"/>
    </xf>
    <xf numFmtId="10" fontId="36" fillId="0" borderId="38" xfId="2" applyNumberFormat="1" applyFont="1" applyBorder="1" applyAlignment="1">
      <alignment vertical="center"/>
    </xf>
    <xf numFmtId="10" fontId="37" fillId="0" borderId="1" xfId="0" applyNumberFormat="1" applyFont="1" applyBorder="1" applyAlignment="1">
      <alignment vertical="center"/>
    </xf>
    <xf numFmtId="0" fontId="35" fillId="0" borderId="35" xfId="0" applyFont="1" applyBorder="1" applyAlignment="1">
      <alignment horizontal="left" vertical="center"/>
    </xf>
    <xf numFmtId="43" fontId="38" fillId="11" borderId="46" xfId="0" applyNumberFormat="1" applyFont="1" applyFill="1" applyBorder="1" applyAlignment="1">
      <alignment vertical="center"/>
    </xf>
    <xf numFmtId="43" fontId="38" fillId="8" borderId="43" xfId="0" applyNumberFormat="1" applyFont="1" applyFill="1" applyBorder="1" applyAlignment="1">
      <alignment vertical="center"/>
    </xf>
    <xf numFmtId="43" fontId="38" fillId="8" borderId="44" xfId="0" applyNumberFormat="1" applyFont="1" applyFill="1" applyBorder="1" applyAlignment="1">
      <alignment vertical="center"/>
    </xf>
    <xf numFmtId="43" fontId="38" fillId="8" borderId="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2" fontId="6" fillId="0" borderId="0" xfId="3" applyNumberFormat="1" applyFont="1" applyBorder="1" applyAlignment="1">
      <alignment horizontal="center" vertical="center"/>
    </xf>
    <xf numFmtId="2" fontId="15" fillId="0" borderId="0" xfId="3" applyNumberFormat="1" applyFont="1" applyAlignment="1">
      <alignment horizontal="center" vertical="center"/>
    </xf>
    <xf numFmtId="0" fontId="25" fillId="8" borderId="36" xfId="0" applyFont="1" applyFill="1" applyBorder="1" applyAlignment="1">
      <alignment horizontal="center" vertical="center"/>
    </xf>
    <xf numFmtId="0" fontId="25" fillId="8" borderId="37" xfId="0" applyFont="1" applyFill="1" applyBorder="1" applyAlignment="1">
      <alignment horizontal="center" vertical="center"/>
    </xf>
    <xf numFmtId="0" fontId="25" fillId="8" borderId="38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9" fillId="0" borderId="39" xfId="0" applyFont="1" applyBorder="1" applyAlignment="1">
      <alignment vertical="center"/>
    </xf>
    <xf numFmtId="43" fontId="19" fillId="0" borderId="40" xfId="1" applyFont="1" applyBorder="1" applyAlignment="1">
      <alignment horizontal="center" vertical="center"/>
    </xf>
    <xf numFmtId="43" fontId="19" fillId="0" borderId="40" xfId="1" applyFont="1" applyBorder="1" applyAlignment="1">
      <alignment vertical="center"/>
    </xf>
    <xf numFmtId="10" fontId="0" fillId="0" borderId="40" xfId="2" applyNumberFormat="1" applyFont="1" applyBorder="1" applyAlignment="1">
      <alignment vertical="center"/>
    </xf>
    <xf numFmtId="10" fontId="8" fillId="0" borderId="41" xfId="2" applyNumberFormat="1" applyFont="1" applyBorder="1" applyAlignment="1">
      <alignment vertical="center"/>
    </xf>
    <xf numFmtId="43" fontId="0" fillId="0" borderId="40" xfId="1" applyFont="1" applyBorder="1" applyAlignment="1">
      <alignment vertical="center"/>
    </xf>
    <xf numFmtId="0" fontId="8" fillId="16" borderId="41" xfId="0" applyFont="1" applyFill="1" applyBorder="1" applyAlignment="1">
      <alignment vertical="center"/>
    </xf>
    <xf numFmtId="10" fontId="8" fillId="8" borderId="34" xfId="0" applyNumberFormat="1" applyFont="1" applyFill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0" fillId="16" borderId="43" xfId="0" applyFill="1" applyBorder="1" applyAlignment="1">
      <alignment vertical="center"/>
    </xf>
    <xf numFmtId="10" fontId="8" fillId="0" borderId="44" xfId="2" applyNumberFormat="1" applyFont="1" applyBorder="1" applyAlignment="1">
      <alignment vertical="center"/>
    </xf>
    <xf numFmtId="10" fontId="8" fillId="0" borderId="35" xfId="0" applyNumberFormat="1" applyFont="1" applyBorder="1" applyAlignment="1">
      <alignment vertical="center"/>
    </xf>
    <xf numFmtId="2" fontId="20" fillId="0" borderId="0" xfId="3" applyNumberFormat="1" applyFont="1" applyAlignment="1">
      <alignment horizontal="left" vertical="center"/>
    </xf>
    <xf numFmtId="0" fontId="0" fillId="0" borderId="0" xfId="0" applyBorder="1" applyAlignment="1">
      <alignment vertical="center"/>
    </xf>
    <xf numFmtId="0" fontId="17" fillId="8" borderId="12" xfId="4" applyFont="1" applyFill="1" applyBorder="1" applyAlignment="1">
      <alignment horizontal="center" vertical="center" wrapText="1"/>
    </xf>
    <xf numFmtId="0" fontId="17" fillId="8" borderId="13" xfId="4" applyFont="1" applyFill="1" applyBorder="1" applyAlignment="1">
      <alignment horizontal="center" vertical="center" wrapText="1"/>
    </xf>
    <xf numFmtId="0" fontId="17" fillId="8" borderId="14" xfId="4" applyFont="1" applyFill="1" applyBorder="1" applyAlignment="1">
      <alignment horizontal="center" vertical="center" wrapText="1"/>
    </xf>
    <xf numFmtId="0" fontId="17" fillId="8" borderId="4" xfId="4" applyFont="1" applyFill="1" applyBorder="1" applyAlignment="1">
      <alignment horizontal="center" vertical="center" wrapText="1"/>
    </xf>
    <xf numFmtId="2" fontId="5" fillId="0" borderId="0" xfId="3" applyNumberFormat="1" applyFont="1" applyBorder="1" applyAlignment="1">
      <alignment horizontal="left" vertical="center"/>
    </xf>
    <xf numFmtId="2" fontId="16" fillId="8" borderId="0" xfId="3" applyNumberFormat="1" applyFont="1" applyFill="1" applyBorder="1" applyAlignment="1">
      <alignment horizontal="right" vertical="center"/>
    </xf>
    <xf numFmtId="49" fontId="6" fillId="8" borderId="0" xfId="3" applyNumberFormat="1" applyFont="1" applyFill="1" applyBorder="1" applyAlignment="1">
      <alignment horizontal="center" vertical="center"/>
    </xf>
    <xf numFmtId="0" fontId="0" fillId="7" borderId="13" xfId="0" applyFill="1" applyBorder="1" applyAlignment="1">
      <alignment vertical="center"/>
    </xf>
    <xf numFmtId="0" fontId="2" fillId="0" borderId="1" xfId="4" applyFill="1" applyBorder="1" applyAlignment="1">
      <alignment horizontal="center" vertical="center"/>
    </xf>
    <xf numFmtId="0" fontId="2" fillId="0" borderId="1" xfId="4" applyFill="1" applyBorder="1" applyAlignment="1">
      <alignment vertical="center"/>
    </xf>
    <xf numFmtId="169" fontId="2" fillId="0" borderId="1" xfId="4" applyNumberForma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3" fontId="0" fillId="0" borderId="0" xfId="0" applyNumberFormat="1"/>
    <xf numFmtId="174" fontId="0" fillId="0" borderId="0" xfId="0" applyNumberFormat="1"/>
    <xf numFmtId="0" fontId="8" fillId="4" borderId="6" xfId="0" applyFont="1" applyFill="1" applyBorder="1" applyAlignment="1">
      <alignment horizontal="left" vertical="center"/>
    </xf>
    <xf numFmtId="0" fontId="8" fillId="6" borderId="6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2" fontId="6" fillId="0" borderId="0" xfId="3" applyNumberFormat="1" applyFont="1" applyAlignment="1">
      <alignment horizontal="center" vertical="center"/>
    </xf>
    <xf numFmtId="0" fontId="42" fillId="0" borderId="0" xfId="0" applyFont="1"/>
    <xf numFmtId="43" fontId="0" fillId="0" borderId="1" xfId="0" applyNumberFormat="1" applyBorder="1"/>
    <xf numFmtId="0" fontId="26" fillId="0" borderId="1" xfId="0" applyFont="1" applyBorder="1"/>
    <xf numFmtId="43" fontId="29" fillId="0" borderId="0" xfId="0" applyNumberFormat="1" applyFont="1" applyBorder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/>
    <xf numFmtId="2" fontId="0" fillId="0" borderId="0" xfId="0" applyNumberFormat="1" applyFill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/>
    <xf numFmtId="2" fontId="0" fillId="0" borderId="0" xfId="0" applyNumberFormat="1" applyFont="1" applyFill="1"/>
    <xf numFmtId="0" fontId="0" fillId="0" borderId="0" xfId="0" applyFont="1" applyFill="1"/>
    <xf numFmtId="0" fontId="40" fillId="0" borderId="0" xfId="0" applyFont="1" applyBorder="1"/>
    <xf numFmtId="0" fontId="0" fillId="0" borderId="0" xfId="0"/>
    <xf numFmtId="174" fontId="26" fillId="0" borderId="0" xfId="0" applyNumberFormat="1" applyFont="1"/>
    <xf numFmtId="4" fontId="26" fillId="0" borderId="0" xfId="0" applyNumberFormat="1" applyFont="1"/>
    <xf numFmtId="0" fontId="40" fillId="0" borderId="0" xfId="0" applyFont="1"/>
    <xf numFmtId="0" fontId="40" fillId="0" borderId="17" xfId="0" applyFont="1" applyBorder="1"/>
    <xf numFmtId="0" fontId="40" fillId="0" borderId="18" xfId="0" applyFont="1" applyBorder="1"/>
    <xf numFmtId="174" fontId="41" fillId="0" borderId="18" xfId="0" applyNumberFormat="1" applyFont="1" applyBorder="1"/>
    <xf numFmtId="4" fontId="41" fillId="0" borderId="18" xfId="0" applyNumberFormat="1" applyFont="1" applyBorder="1"/>
    <xf numFmtId="4" fontId="40" fillId="0" borderId="18" xfId="0" applyNumberFormat="1" applyFont="1" applyBorder="1"/>
    <xf numFmtId="173" fontId="40" fillId="0" borderId="19" xfId="0" applyNumberFormat="1" applyFont="1" applyBorder="1"/>
    <xf numFmtId="0" fontId="40" fillId="0" borderId="47" xfId="0" applyFont="1" applyBorder="1"/>
    <xf numFmtId="0" fontId="40" fillId="0" borderId="7" xfId="0" applyFont="1" applyBorder="1"/>
    <xf numFmtId="174" fontId="40" fillId="0" borderId="8" xfId="0" applyNumberFormat="1" applyFont="1" applyBorder="1"/>
    <xf numFmtId="4" fontId="40" fillId="0" borderId="8" xfId="0" applyNumberFormat="1" applyFont="1" applyBorder="1"/>
    <xf numFmtId="4" fontId="40" fillId="0" borderId="7" xfId="0" applyNumberFormat="1" applyFont="1" applyBorder="1"/>
    <xf numFmtId="173" fontId="40" fillId="0" borderId="48" xfId="0" applyNumberFormat="1" applyFont="1" applyBorder="1"/>
    <xf numFmtId="0" fontId="40" fillId="0" borderId="20" xfId="0" applyFont="1" applyBorder="1"/>
    <xf numFmtId="0" fontId="40" fillId="0" borderId="10" xfId="0" applyFont="1" applyBorder="1"/>
    <xf numFmtId="174" fontId="40" fillId="0" borderId="0" xfId="0" applyNumberFormat="1" applyFont="1"/>
    <xf numFmtId="4" fontId="40" fillId="0" borderId="0" xfId="0" applyNumberFormat="1" applyFont="1"/>
    <xf numFmtId="4" fontId="40" fillId="0" borderId="10" xfId="0" applyNumberFormat="1" applyFont="1" applyBorder="1"/>
    <xf numFmtId="173" fontId="40" fillId="0" borderId="49" xfId="0" applyNumberFormat="1" applyFont="1" applyBorder="1"/>
    <xf numFmtId="173" fontId="40" fillId="0" borderId="48" xfId="0" applyNumberFormat="1" applyFont="1" applyBorder="1" applyAlignment="1">
      <alignment horizontal="right"/>
    </xf>
    <xf numFmtId="4" fontId="40" fillId="0" borderId="10" xfId="0" applyNumberFormat="1" applyFont="1" applyBorder="1" applyAlignment="1">
      <alignment horizontal="right"/>
    </xf>
    <xf numFmtId="4" fontId="40" fillId="0" borderId="7" xfId="0" applyNumberFormat="1" applyFont="1" applyBorder="1" applyAlignment="1">
      <alignment horizontal="right"/>
    </xf>
    <xf numFmtId="4" fontId="40" fillId="0" borderId="2" xfId="0" applyNumberFormat="1" applyFont="1" applyBorder="1" applyAlignment="1">
      <alignment horizontal="right"/>
    </xf>
    <xf numFmtId="173" fontId="40" fillId="0" borderId="49" xfId="0" applyNumberFormat="1" applyFont="1" applyBorder="1" applyAlignment="1">
      <alignment horizontal="right"/>
    </xf>
    <xf numFmtId="11" fontId="40" fillId="0" borderId="47" xfId="0" applyNumberFormat="1" applyFont="1" applyBorder="1" applyAlignment="1">
      <alignment horizontal="left"/>
    </xf>
    <xf numFmtId="175" fontId="40" fillId="0" borderId="7" xfId="0" applyNumberFormat="1" applyFont="1" applyBorder="1"/>
    <xf numFmtId="173" fontId="40" fillId="0" borderId="7" xfId="0" applyNumberFormat="1" applyFont="1" applyBorder="1"/>
    <xf numFmtId="11" fontId="40" fillId="0" borderId="20" xfId="0" applyNumberFormat="1" applyFont="1" applyBorder="1" applyAlignment="1">
      <alignment horizontal="left"/>
    </xf>
    <xf numFmtId="175" fontId="40" fillId="0" borderId="10" xfId="0" applyNumberFormat="1" applyFont="1" applyBorder="1"/>
    <xf numFmtId="173" fontId="40" fillId="0" borderId="10" xfId="0" applyNumberFormat="1" applyFont="1" applyBorder="1"/>
    <xf numFmtId="0" fontId="40" fillId="0" borderId="20" xfId="0" applyFont="1" applyBorder="1" applyAlignment="1">
      <alignment horizontal="left"/>
    </xf>
    <xf numFmtId="0" fontId="40" fillId="0" borderId="8" xfId="0" applyFont="1" applyBorder="1"/>
    <xf numFmtId="173" fontId="40" fillId="0" borderId="8" xfId="0" applyNumberFormat="1" applyFont="1" applyBorder="1" applyAlignment="1">
      <alignment horizontal="right"/>
    </xf>
    <xf numFmtId="173" fontId="40" fillId="0" borderId="7" xfId="0" applyNumberFormat="1" applyFont="1" applyBorder="1" applyAlignment="1">
      <alignment horizontal="right"/>
    </xf>
    <xf numFmtId="0" fontId="40" fillId="0" borderId="47" xfId="0" applyFont="1" applyBorder="1" applyAlignment="1">
      <alignment horizontal="left"/>
    </xf>
    <xf numFmtId="4" fontId="40" fillId="0" borderId="8" xfId="0" applyNumberFormat="1" applyFont="1" applyBorder="1" applyAlignment="1">
      <alignment horizontal="right"/>
    </xf>
    <xf numFmtId="0" fontId="40" fillId="0" borderId="50" xfId="0" applyFont="1" applyBorder="1"/>
    <xf numFmtId="173" fontId="40" fillId="0" borderId="51" xfId="0" applyNumberFormat="1" applyFont="1" applyBorder="1"/>
    <xf numFmtId="0" fontId="40" fillId="0" borderId="8" xfId="0" applyFont="1" applyBorder="1" applyAlignment="1">
      <alignment horizontal="right"/>
    </xf>
    <xf numFmtId="175" fontId="40" fillId="0" borderId="8" xfId="0" applyNumberFormat="1" applyFont="1" applyBorder="1"/>
    <xf numFmtId="173" fontId="40" fillId="0" borderId="8" xfId="0" applyNumberFormat="1" applyFont="1" applyBorder="1"/>
    <xf numFmtId="49" fontId="40" fillId="0" borderId="7" xfId="0" applyNumberFormat="1" applyFont="1" applyBorder="1"/>
    <xf numFmtId="174" fontId="40" fillId="0" borderId="7" xfId="0" applyNumberFormat="1" applyFont="1" applyBorder="1"/>
    <xf numFmtId="174" fontId="40" fillId="0" borderId="10" xfId="0" applyNumberFormat="1" applyFont="1" applyBorder="1"/>
    <xf numFmtId="4" fontId="40" fillId="0" borderId="48" xfId="0" applyNumberFormat="1" applyFont="1" applyBorder="1"/>
    <xf numFmtId="174" fontId="40" fillId="0" borderId="18" xfId="0" applyNumberFormat="1" applyFont="1" applyBorder="1"/>
    <xf numFmtId="173" fontId="40" fillId="0" borderId="21" xfId="0" applyNumberFormat="1" applyFont="1" applyBorder="1"/>
    <xf numFmtId="0" fontId="40" fillId="0" borderId="22" xfId="0" applyFont="1" applyBorder="1"/>
    <xf numFmtId="173" fontId="40" fillId="0" borderId="24" xfId="0" applyNumberFormat="1" applyFont="1" applyBorder="1"/>
    <xf numFmtId="173" fontId="40" fillId="0" borderId="18" xfId="0" applyNumberFormat="1" applyFont="1" applyBorder="1"/>
    <xf numFmtId="173" fontId="40" fillId="0" borderId="0" xfId="0" applyNumberFormat="1" applyFont="1"/>
    <xf numFmtId="49" fontId="40" fillId="0" borderId="10" xfId="0" applyNumberFormat="1" applyFont="1" applyBorder="1"/>
    <xf numFmtId="174" fontId="40" fillId="0" borderId="0" xfId="0" applyNumberFormat="1" applyFont="1" applyBorder="1"/>
    <xf numFmtId="4" fontId="40" fillId="0" borderId="0" xfId="0" applyNumberFormat="1" applyFont="1" applyBorder="1"/>
    <xf numFmtId="0" fontId="40" fillId="0" borderId="23" xfId="0" applyFont="1" applyBorder="1"/>
    <xf numFmtId="174" fontId="40" fillId="0" borderId="23" xfId="0" applyNumberFormat="1" applyFont="1" applyBorder="1"/>
    <xf numFmtId="4" fontId="40" fillId="0" borderId="23" xfId="0" applyNumberFormat="1" applyFont="1" applyBorder="1"/>
    <xf numFmtId="0" fontId="0" fillId="16" borderId="52" xfId="0" applyFill="1" applyBorder="1" applyAlignment="1">
      <alignment vertical="center"/>
    </xf>
    <xf numFmtId="0" fontId="0" fillId="16" borderId="40" xfId="0" applyFill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3" fontId="2" fillId="10" borderId="1" xfId="4" applyNumberFormat="1" applyFill="1" applyBorder="1" applyAlignment="1">
      <alignment horizontal="center" vertical="center"/>
    </xf>
    <xf numFmtId="43" fontId="2" fillId="10" borderId="1" xfId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indent="1"/>
    </xf>
    <xf numFmtId="165" fontId="22" fillId="0" borderId="1" xfId="1" applyNumberFormat="1" applyFont="1" applyBorder="1" applyAlignment="1">
      <alignment horizontal="left" vertical="center"/>
    </xf>
    <xf numFmtId="3" fontId="2" fillId="10" borderId="2" xfId="4" applyNumberFormat="1" applyFill="1" applyBorder="1" applyAlignment="1">
      <alignment horizontal="center" vertical="center"/>
    </xf>
    <xf numFmtId="3" fontId="2" fillId="10" borderId="4" xfId="4" applyNumberForma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left" vertical="center"/>
    </xf>
    <xf numFmtId="0" fontId="2" fillId="10" borderId="2" xfId="4" applyFill="1" applyBorder="1" applyAlignment="1">
      <alignment horizontal="center" vertical="center"/>
    </xf>
    <xf numFmtId="0" fontId="2" fillId="10" borderId="4" xfId="4" applyFill="1" applyBorder="1" applyAlignment="1">
      <alignment horizontal="center" vertical="center"/>
    </xf>
    <xf numFmtId="0" fontId="0" fillId="0" borderId="33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17" fillId="8" borderId="4" xfId="4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indent="1"/>
    </xf>
    <xf numFmtId="0" fontId="17" fillId="8" borderId="1" xfId="4" applyFont="1" applyFill="1" applyBorder="1" applyAlignment="1">
      <alignment horizontal="center" vertical="center" wrapText="1"/>
    </xf>
    <xf numFmtId="0" fontId="17" fillId="8" borderId="5" xfId="4" applyFont="1" applyFill="1" applyBorder="1" applyAlignment="1">
      <alignment horizontal="center" vertical="center"/>
    </xf>
    <xf numFmtId="0" fontId="17" fillId="8" borderId="16" xfId="4" applyFont="1" applyFill="1" applyBorder="1" applyAlignment="1">
      <alignment horizontal="center" vertical="center"/>
    </xf>
    <xf numFmtId="0" fontId="17" fillId="8" borderId="6" xfId="4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6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2" fontId="22" fillId="13" borderId="20" xfId="0" applyNumberFormat="1" applyFont="1" applyFill="1" applyBorder="1" applyAlignment="1">
      <alignment horizontal="center" vertical="center" wrapText="1"/>
    </xf>
    <xf numFmtId="2" fontId="22" fillId="13" borderId="0" xfId="0" applyNumberFormat="1" applyFont="1" applyFill="1" applyAlignment="1">
      <alignment horizontal="center" vertical="center" wrapText="1"/>
    </xf>
    <xf numFmtId="2" fontId="22" fillId="13" borderId="21" xfId="0" applyNumberFormat="1" applyFont="1" applyFill="1" applyBorder="1" applyAlignment="1">
      <alignment horizontal="center" vertical="center" wrapText="1"/>
    </xf>
    <xf numFmtId="2" fontId="23" fillId="10" borderId="22" xfId="0" applyNumberFormat="1" applyFont="1" applyFill="1" applyBorder="1" applyAlignment="1">
      <alignment horizontal="center" vertical="center"/>
    </xf>
    <xf numFmtId="2" fontId="23" fillId="10" borderId="23" xfId="0" applyNumberFormat="1" applyFont="1" applyFill="1" applyBorder="1" applyAlignment="1">
      <alignment horizontal="center" vertical="center"/>
    </xf>
    <xf numFmtId="2" fontId="23" fillId="10" borderId="24" xfId="0" applyNumberFormat="1" applyFont="1" applyFill="1" applyBorder="1" applyAlignment="1">
      <alignment horizontal="center" vertical="center"/>
    </xf>
    <xf numFmtId="2" fontId="24" fillId="14" borderId="17" xfId="0" applyNumberFormat="1" applyFont="1" applyFill="1" applyBorder="1" applyAlignment="1">
      <alignment horizontal="center" vertical="center"/>
    </xf>
    <xf numFmtId="2" fontId="24" fillId="14" borderId="18" xfId="0" applyNumberFormat="1" applyFont="1" applyFill="1" applyBorder="1" applyAlignment="1">
      <alignment horizontal="center" vertical="center"/>
    </xf>
    <xf numFmtId="2" fontId="24" fillId="14" borderId="19" xfId="0" applyNumberFormat="1" applyFont="1" applyFill="1" applyBorder="1" applyAlignment="1">
      <alignment horizontal="center" vertical="center"/>
    </xf>
    <xf numFmtId="0" fontId="26" fillId="13" borderId="1" xfId="0" applyFont="1" applyFill="1" applyBorder="1" applyAlignment="1">
      <alignment horizontal="center"/>
    </xf>
  </cellXfs>
  <cellStyles count="5">
    <cellStyle name="Normal" xfId="0" builtinId="0"/>
    <cellStyle name="Normal 16 2" xfId="4" xr:uid="{31CF8629-F909-4F38-8AAF-FFFAB2BA9A7A}"/>
    <cellStyle name="Normal 3" xfId="3" xr:uid="{FFB49EF5-81CC-4322-A5C1-602FFCC6BAED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ENV/MIP%20-%20MS-112/CAPEX/Cota&#231;&#245;es/Asfalto/Cota&#231;&#227;o%20-%20Asf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necedores"/>
      <sheetName val="Resumo"/>
      <sheetName val="Ajuste"/>
    </sheetNames>
    <sheetDataSet>
      <sheetData sheetId="0"/>
      <sheetData sheetId="1">
        <row r="9">
          <cell r="AK9">
            <v>3781.4293247936012</v>
          </cell>
        </row>
        <row r="14">
          <cell r="AG14">
            <v>5080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9997-13A7-4339-AF1A-C06663F349DB}">
  <sheetPr>
    <tabColor rgb="FF00B050"/>
  </sheetPr>
  <dimension ref="A1:I9"/>
  <sheetViews>
    <sheetView showGridLines="0" zoomScale="80" zoomScaleNormal="80" workbookViewId="0"/>
  </sheetViews>
  <sheetFormatPr defaultColWidth="9" defaultRowHeight="13.8" x14ac:dyDescent="0.25"/>
  <cols>
    <col min="1" max="1" width="3" style="229" customWidth="1"/>
    <col min="2" max="2" width="23.25" style="229" customWidth="1"/>
    <col min="3" max="4" width="12" style="229" customWidth="1"/>
    <col min="5" max="5" width="22.125" style="229" customWidth="1"/>
    <col min="6" max="6" width="17.625" style="229" customWidth="1"/>
    <col min="7" max="7" width="12" style="229" customWidth="1"/>
    <col min="8" max="8" width="3" style="229" customWidth="1"/>
    <col min="9" max="9" width="12" style="229" customWidth="1"/>
    <col min="10" max="16384" width="9" style="229"/>
  </cols>
  <sheetData>
    <row r="1" spans="1:9" ht="18" x14ac:dyDescent="0.25">
      <c r="A1" s="1"/>
      <c r="B1" s="266" t="s">
        <v>0</v>
      </c>
      <c r="C1" s="1"/>
      <c r="D1" s="1"/>
      <c r="E1" s="249" t="s">
        <v>1</v>
      </c>
      <c r="F1" s="1"/>
      <c r="G1" s="1"/>
      <c r="H1" s="1"/>
      <c r="I1" s="1"/>
    </row>
    <row r="2" spans="1:9" ht="15" x14ac:dyDescent="0.25">
      <c r="A2" s="1"/>
      <c r="B2" s="5" t="s">
        <v>457</v>
      </c>
      <c r="C2" s="1"/>
      <c r="D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8.8" x14ac:dyDescent="0.25">
      <c r="A4" s="1"/>
      <c r="B4" s="250" t="s">
        <v>448</v>
      </c>
      <c r="C4" s="251" t="s">
        <v>449</v>
      </c>
      <c r="D4" s="251" t="s">
        <v>450</v>
      </c>
      <c r="E4" s="251" t="s">
        <v>451</v>
      </c>
      <c r="F4" s="251" t="s">
        <v>452</v>
      </c>
      <c r="G4" s="252" t="s">
        <v>453</v>
      </c>
      <c r="H4" s="1"/>
      <c r="I4" s="253" t="s">
        <v>454</v>
      </c>
    </row>
    <row r="5" spans="1:9" ht="14.4" x14ac:dyDescent="0.25">
      <c r="A5" s="1"/>
      <c r="B5" s="254" t="s">
        <v>277</v>
      </c>
      <c r="C5" s="255">
        <v>0</v>
      </c>
      <c r="D5" s="255">
        <v>200.5</v>
      </c>
      <c r="E5" s="256">
        <f>D5-C5</f>
        <v>200.5</v>
      </c>
      <c r="F5" s="257">
        <f>+E5/$E$8</f>
        <v>0.4905798874480059</v>
      </c>
      <c r="G5" s="258">
        <v>0.21340000000000001</v>
      </c>
      <c r="H5" s="1"/>
      <c r="I5" s="193">
        <f>+G5*F5</f>
        <v>0.10468974798140446</v>
      </c>
    </row>
    <row r="6" spans="1:9" ht="14.4" x14ac:dyDescent="0.25">
      <c r="A6" s="1"/>
      <c r="B6" s="254" t="s">
        <v>458</v>
      </c>
      <c r="C6" s="255">
        <v>1.1000000000000001</v>
      </c>
      <c r="D6" s="255">
        <v>194.9</v>
      </c>
      <c r="E6" s="256">
        <f>D6-C6</f>
        <v>193.8</v>
      </c>
      <c r="F6" s="257">
        <f>+E6/$E$8</f>
        <v>0.47418644482505512</v>
      </c>
      <c r="G6" s="258">
        <v>0.23089999999999999</v>
      </c>
      <c r="H6" s="1"/>
      <c r="I6" s="193">
        <f>+G6*F6</f>
        <v>0.10948965011010522</v>
      </c>
    </row>
    <row r="7" spans="1:9" ht="14.4" x14ac:dyDescent="0.25">
      <c r="A7" s="1"/>
      <c r="B7" s="254" t="s">
        <v>459</v>
      </c>
      <c r="C7" s="255">
        <v>0</v>
      </c>
      <c r="D7" s="255">
        <v>14.4</v>
      </c>
      <c r="E7" s="256">
        <f>D7-C7</f>
        <v>14.4</v>
      </c>
      <c r="F7" s="257">
        <f>+E7/$E$8</f>
        <v>3.5233667726939075E-2</v>
      </c>
      <c r="G7" s="258">
        <v>0.20699999999999999</v>
      </c>
      <c r="H7" s="1"/>
      <c r="I7" s="193">
        <f>+G7*F7</f>
        <v>7.2933692194763885E-3</v>
      </c>
    </row>
    <row r="8" spans="1:9" ht="14.4" x14ac:dyDescent="0.25">
      <c r="A8" s="1"/>
      <c r="B8" s="254" t="s">
        <v>9</v>
      </c>
      <c r="C8" s="361"/>
      <c r="D8" s="361"/>
      <c r="E8" s="259">
        <f>SUM(E5:E7)</f>
        <v>408.7</v>
      </c>
      <c r="F8" s="257">
        <f>+E8/$E$8</f>
        <v>1</v>
      </c>
      <c r="G8" s="260"/>
      <c r="H8" s="1"/>
      <c r="I8" s="261">
        <f>SUM(I5:I7)</f>
        <v>0.22147276731098606</v>
      </c>
    </row>
    <row r="9" spans="1:9" ht="14.4" x14ac:dyDescent="0.25">
      <c r="A9" s="1"/>
      <c r="B9" s="262" t="s">
        <v>455</v>
      </c>
      <c r="C9" s="360"/>
      <c r="D9" s="360"/>
      <c r="E9" s="263"/>
      <c r="F9" s="263"/>
      <c r="G9" s="264">
        <v>0.1769</v>
      </c>
      <c r="H9" s="1"/>
      <c r="I9" s="265">
        <f>+G9</f>
        <v>0.1769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A1:E26"/>
  <sheetViews>
    <sheetView showGridLines="0" zoomScale="80" zoomScaleNormal="80" workbookViewId="0"/>
  </sheetViews>
  <sheetFormatPr defaultColWidth="10.25" defaultRowHeight="13.8" x14ac:dyDescent="0.25"/>
  <cols>
    <col min="1" max="1" width="3" style="128" customWidth="1"/>
    <col min="2" max="2" width="20.25" style="128" customWidth="1"/>
    <col min="3" max="3" width="17" style="128" customWidth="1"/>
    <col min="4" max="4" width="22.5" style="128" bestFit="1" customWidth="1"/>
    <col min="5" max="5" width="18.625" style="128" customWidth="1"/>
    <col min="6" max="6" width="15" style="128" customWidth="1"/>
    <col min="7" max="7" width="16.25" style="128" customWidth="1"/>
    <col min="8" max="8" width="14.125" style="128" customWidth="1"/>
    <col min="9" max="9" width="16.75" style="128" customWidth="1"/>
    <col min="10" max="16384" width="10.25" style="128"/>
  </cols>
  <sheetData>
    <row r="1" spans="1:5" x14ac:dyDescent="0.25">
      <c r="A1" s="155"/>
    </row>
    <row r="2" spans="1:5" ht="18" x14ac:dyDescent="0.25">
      <c r="B2" s="124" t="s">
        <v>0</v>
      </c>
      <c r="C2" s="125"/>
      <c r="D2" s="126"/>
      <c r="E2" s="127" t="s">
        <v>1</v>
      </c>
    </row>
    <row r="3" spans="1:5" ht="15" thickBot="1" x14ac:dyDescent="0.3">
      <c r="B3" s="129"/>
      <c r="C3" s="129"/>
      <c r="D3" s="129"/>
      <c r="E3" s="129"/>
    </row>
    <row r="4" spans="1:5" x14ac:dyDescent="0.25">
      <c r="B4" s="399" t="s">
        <v>256</v>
      </c>
      <c r="C4" s="400"/>
      <c r="D4" s="400"/>
      <c r="E4" s="401"/>
    </row>
    <row r="5" spans="1:5" x14ac:dyDescent="0.25">
      <c r="B5" s="402"/>
      <c r="C5" s="403"/>
      <c r="D5" s="403"/>
      <c r="E5" s="404"/>
    </row>
    <row r="6" spans="1:5" x14ac:dyDescent="0.25">
      <c r="B6" s="405" t="s">
        <v>456</v>
      </c>
      <c r="C6" s="406"/>
      <c r="D6" s="406"/>
      <c r="E6" s="407"/>
    </row>
    <row r="7" spans="1:5" x14ac:dyDescent="0.25">
      <c r="B7" s="405"/>
      <c r="C7" s="406"/>
      <c r="D7" s="406"/>
      <c r="E7" s="407"/>
    </row>
    <row r="8" spans="1:5" ht="16.2" thickBot="1" x14ac:dyDescent="0.3">
      <c r="B8" s="408" t="s">
        <v>257</v>
      </c>
      <c r="C8" s="409"/>
      <c r="D8" s="409"/>
      <c r="E8" s="410"/>
    </row>
    <row r="9" spans="1:5" ht="14.4" thickBot="1" x14ac:dyDescent="0.3">
      <c r="B9" s="130"/>
      <c r="C9" s="130"/>
      <c r="D9" s="130"/>
      <c r="E9" s="130"/>
    </row>
    <row r="10" spans="1:5" ht="18.600000000000001" thickBot="1" x14ac:dyDescent="0.3">
      <c r="B10" s="411" t="s">
        <v>257</v>
      </c>
      <c r="C10" s="412"/>
      <c r="D10" s="412"/>
      <c r="E10" s="413"/>
    </row>
    <row r="11" spans="1:5" ht="27" thickBot="1" x14ac:dyDescent="0.3">
      <c r="B11" s="131" t="s">
        <v>258</v>
      </c>
      <c r="C11" s="132" t="s">
        <v>259</v>
      </c>
      <c r="D11" s="133" t="s">
        <v>260</v>
      </c>
      <c r="E11" s="134" t="s">
        <v>261</v>
      </c>
    </row>
    <row r="12" spans="1:5" ht="15" thickBot="1" x14ac:dyDescent="0.3">
      <c r="B12" s="135" t="s">
        <v>264</v>
      </c>
      <c r="C12" s="136">
        <v>8</v>
      </c>
      <c r="D12" s="137"/>
      <c r="E12" s="138"/>
    </row>
    <row r="13" spans="1:5" ht="15" thickBot="1" x14ac:dyDescent="0.3">
      <c r="B13" s="135" t="s">
        <v>265</v>
      </c>
      <c r="C13" s="136"/>
      <c r="D13" s="137"/>
      <c r="E13" s="138"/>
    </row>
    <row r="14" spans="1:5" ht="15" thickBot="1" x14ac:dyDescent="0.3">
      <c r="B14" s="139" t="s">
        <v>266</v>
      </c>
      <c r="C14" s="140"/>
      <c r="D14" s="137"/>
      <c r="E14" s="141"/>
    </row>
    <row r="15" spans="1:5" ht="15" thickBot="1" x14ac:dyDescent="0.3">
      <c r="B15" s="135" t="s">
        <v>267</v>
      </c>
      <c r="C15" s="136">
        <v>120</v>
      </c>
      <c r="D15" s="137"/>
      <c r="E15" s="138"/>
    </row>
    <row r="16" spans="1:5" ht="15" thickBot="1" x14ac:dyDescent="0.3">
      <c r="B16" s="139" t="s">
        <v>268</v>
      </c>
      <c r="C16" s="140"/>
      <c r="D16" s="137"/>
      <c r="E16" s="141"/>
    </row>
    <row r="17" spans="2:5" ht="15" thickBot="1" x14ac:dyDescent="0.3">
      <c r="B17" s="139" t="s">
        <v>269</v>
      </c>
      <c r="C17" s="140">
        <v>330</v>
      </c>
      <c r="D17" s="137"/>
      <c r="E17" s="141"/>
    </row>
    <row r="18" spans="2:5" ht="15" thickBot="1" x14ac:dyDescent="0.3">
      <c r="B18" s="139" t="s">
        <v>270</v>
      </c>
      <c r="C18" s="140"/>
      <c r="D18" s="137"/>
      <c r="E18" s="141"/>
    </row>
    <row r="19" spans="2:5" ht="15" thickBot="1" x14ac:dyDescent="0.3">
      <c r="B19" s="139" t="s">
        <v>271</v>
      </c>
      <c r="C19" s="140"/>
      <c r="D19" s="137"/>
      <c r="E19" s="141"/>
    </row>
    <row r="20" spans="2:5" ht="15" thickBot="1" x14ac:dyDescent="0.3">
      <c r="B20" s="139" t="s">
        <v>272</v>
      </c>
      <c r="C20" s="140">
        <v>350</v>
      </c>
      <c r="D20" s="137"/>
      <c r="E20" s="141"/>
    </row>
    <row r="21" spans="2:5" ht="15" thickBot="1" x14ac:dyDescent="0.3">
      <c r="B21" s="135" t="s">
        <v>273</v>
      </c>
      <c r="C21" s="140">
        <v>350</v>
      </c>
      <c r="D21" s="137"/>
      <c r="E21" s="141"/>
    </row>
    <row r="22" spans="2:5" ht="15" thickBot="1" x14ac:dyDescent="0.3">
      <c r="B22" s="142" t="s">
        <v>274</v>
      </c>
      <c r="C22" s="140"/>
      <c r="D22" s="137"/>
      <c r="E22" s="141"/>
    </row>
    <row r="23" spans="2:5" ht="15" thickBot="1" x14ac:dyDescent="0.3">
      <c r="B23" s="135" t="s">
        <v>275</v>
      </c>
      <c r="C23" s="140"/>
      <c r="D23" s="137"/>
      <c r="E23" s="141"/>
    </row>
    <row r="24" spans="2:5" ht="15" thickBot="1" x14ac:dyDescent="0.3">
      <c r="B24" s="135" t="s">
        <v>276</v>
      </c>
      <c r="C24" s="143"/>
      <c r="D24" s="137"/>
      <c r="E24" s="138"/>
    </row>
    <row r="25" spans="2:5" ht="14.4" x14ac:dyDescent="0.3">
      <c r="C25" s="144">
        <f>(SUM(C12:C24)/1000)</f>
        <v>1.1579999999999999</v>
      </c>
      <c r="D25" s="144">
        <f>SUM(D12:D24)</f>
        <v>0</v>
      </c>
      <c r="E25" s="144">
        <f>SUM(E12:E24)</f>
        <v>0</v>
      </c>
    </row>
    <row r="26" spans="2:5" ht="14.4" x14ac:dyDescent="0.3">
      <c r="C26" s="144" t="s">
        <v>14</v>
      </c>
      <c r="D26" s="144" t="s">
        <v>262</v>
      </c>
      <c r="E26" s="144" t="s">
        <v>263</v>
      </c>
    </row>
  </sheetData>
  <mergeCells count="4">
    <mergeCell ref="B4:E5"/>
    <mergeCell ref="B6:E7"/>
    <mergeCell ref="B8:E8"/>
    <mergeCell ref="B10:E10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M17"/>
  <sheetViews>
    <sheetView showGridLines="0" zoomScale="80" zoomScaleNormal="80" workbookViewId="0"/>
  </sheetViews>
  <sheetFormatPr defaultRowHeight="13.8" x14ac:dyDescent="0.25"/>
  <cols>
    <col min="1" max="1" width="5.375" customWidth="1"/>
    <col min="2" max="2" width="13.125" bestFit="1" customWidth="1"/>
    <col min="3" max="3" width="60.75" bestFit="1" customWidth="1"/>
    <col min="4" max="5" width="23.375" customWidth="1"/>
    <col min="6" max="8" width="23.375" style="229" customWidth="1"/>
    <col min="9" max="11" width="23.375" style="149" customWidth="1"/>
    <col min="12" max="12" width="57.125" customWidth="1"/>
  </cols>
  <sheetData>
    <row r="1" spans="2:13" s="155" customFormat="1" x14ac:dyDescent="0.25"/>
    <row r="2" spans="2:13" s="155" customFormat="1" ht="18" x14ac:dyDescent="0.25">
      <c r="B2" s="156" t="s">
        <v>0</v>
      </c>
      <c r="C2" s="157"/>
      <c r="D2" s="158"/>
      <c r="E2" s="159" t="s">
        <v>1</v>
      </c>
      <c r="F2" s="159"/>
      <c r="G2" s="159"/>
      <c r="H2" s="159"/>
    </row>
    <row r="3" spans="2:13" s="155" customFormat="1" ht="14.4" x14ac:dyDescent="0.25">
      <c r="B3" s="160"/>
      <c r="C3" s="160"/>
      <c r="D3" s="160"/>
      <c r="E3" s="160"/>
      <c r="F3" s="160"/>
      <c r="G3" s="160"/>
      <c r="H3" s="160"/>
    </row>
    <row r="5" spans="2:13" x14ac:dyDescent="0.25">
      <c r="B5" s="414" t="s">
        <v>277</v>
      </c>
      <c r="C5" s="414"/>
      <c r="D5" s="414"/>
      <c r="E5" s="414"/>
      <c r="F5" s="414"/>
      <c r="G5" s="414"/>
      <c r="H5" s="414"/>
      <c r="I5" s="414"/>
      <c r="J5" s="414"/>
      <c r="K5" s="414"/>
      <c r="L5" s="414"/>
    </row>
    <row r="6" spans="2:13" x14ac:dyDescent="0.25">
      <c r="B6" s="153" t="s">
        <v>278</v>
      </c>
      <c r="C6" s="153" t="s">
        <v>279</v>
      </c>
      <c r="D6" s="153" t="s">
        <v>284</v>
      </c>
      <c r="E6" s="153" t="s">
        <v>285</v>
      </c>
      <c r="F6" s="153" t="s">
        <v>865</v>
      </c>
      <c r="G6" s="153" t="s">
        <v>863</v>
      </c>
      <c r="H6" s="153" t="s">
        <v>864</v>
      </c>
      <c r="I6" s="154" t="s">
        <v>280</v>
      </c>
      <c r="J6" s="154" t="s">
        <v>281</v>
      </c>
      <c r="K6" s="154" t="s">
        <v>282</v>
      </c>
      <c r="L6" s="154" t="s">
        <v>283</v>
      </c>
    </row>
    <row r="7" spans="2:13" ht="14.4" x14ac:dyDescent="0.3">
      <c r="B7" s="145" t="s">
        <v>267</v>
      </c>
      <c r="C7" s="145" t="s">
        <v>866</v>
      </c>
      <c r="D7" s="146">
        <v>35</v>
      </c>
      <c r="E7" s="146">
        <f>D7*13.5</f>
        <v>472.5</v>
      </c>
      <c r="F7" s="146">
        <v>13.5</v>
      </c>
      <c r="G7" s="146">
        <v>14</v>
      </c>
      <c r="H7" s="146">
        <f>D7*(G7-F7)</f>
        <v>17.5</v>
      </c>
      <c r="I7" s="147">
        <v>89542</v>
      </c>
      <c r="J7" s="147">
        <f t="shared" ref="J7:J9" si="0">I7-(D7/2)</f>
        <v>89524.5</v>
      </c>
      <c r="K7" s="147">
        <f t="shared" ref="K7:K9" si="1">I7+(D7/2)</f>
        <v>89559.5</v>
      </c>
      <c r="L7" s="145"/>
    </row>
    <row r="8" spans="2:13" ht="14.4" x14ac:dyDescent="0.3">
      <c r="B8" s="145" t="s">
        <v>272</v>
      </c>
      <c r="C8" s="145" t="s">
        <v>867</v>
      </c>
      <c r="D8" s="146">
        <v>34</v>
      </c>
      <c r="E8" s="146">
        <f>34*18</f>
        <v>612</v>
      </c>
      <c r="F8" s="146">
        <v>8.5</v>
      </c>
      <c r="G8" s="146">
        <v>14</v>
      </c>
      <c r="H8" s="146">
        <f>D8*(G8-F8)</f>
        <v>187</v>
      </c>
      <c r="I8" s="147">
        <v>118520.76</v>
      </c>
      <c r="J8" s="147">
        <f t="shared" si="0"/>
        <v>118503.76</v>
      </c>
      <c r="K8" s="147">
        <f t="shared" si="1"/>
        <v>118537.76</v>
      </c>
      <c r="L8" s="145"/>
    </row>
    <row r="9" spans="2:13" ht="14.4" x14ac:dyDescent="0.3">
      <c r="B9" s="145" t="s">
        <v>276</v>
      </c>
      <c r="C9" s="145" t="s">
        <v>868</v>
      </c>
      <c r="D9" s="146">
        <v>25</v>
      </c>
      <c r="E9" s="146">
        <f>25*12.5</f>
        <v>312.5</v>
      </c>
      <c r="F9" s="146">
        <v>12.5</v>
      </c>
      <c r="G9" s="146">
        <v>14</v>
      </c>
      <c r="H9" s="146">
        <f>D9*(G9-F9)</f>
        <v>37.5</v>
      </c>
      <c r="I9" s="147">
        <v>200524.14</v>
      </c>
      <c r="J9" s="147">
        <f t="shared" si="0"/>
        <v>200511.64</v>
      </c>
      <c r="K9" s="147">
        <f t="shared" si="1"/>
        <v>200536.64</v>
      </c>
      <c r="L9" s="145"/>
      <c r="M9" s="148"/>
    </row>
    <row r="10" spans="2:13" ht="14.4" x14ac:dyDescent="0.3">
      <c r="C10" s="150" t="s">
        <v>286</v>
      </c>
      <c r="D10" s="151">
        <f>SUM(D7:D9)</f>
        <v>94</v>
      </c>
      <c r="E10" s="152">
        <f>SUM(E7:E9)</f>
        <v>1397</v>
      </c>
      <c r="F10" s="291"/>
      <c r="G10" s="291"/>
      <c r="H10" s="291"/>
    </row>
    <row r="11" spans="2:13" s="229" customFormat="1" x14ac:dyDescent="0.25">
      <c r="I11" s="149"/>
      <c r="J11" s="149"/>
      <c r="K11" s="149"/>
    </row>
    <row r="12" spans="2:13" s="229" customFormat="1" x14ac:dyDescent="0.25">
      <c r="C12" s="229" t="s">
        <v>857</v>
      </c>
      <c r="I12" s="149"/>
      <c r="J12" s="149"/>
      <c r="K12" s="149"/>
    </row>
    <row r="13" spans="2:13" s="229" customFormat="1" x14ac:dyDescent="0.25">
      <c r="C13" s="231" t="s">
        <v>858</v>
      </c>
      <c r="D13" s="289">
        <f>D10/30</f>
        <v>3.1333333333333333</v>
      </c>
      <c r="I13" s="149"/>
      <c r="J13" s="149"/>
      <c r="K13" s="149"/>
    </row>
    <row r="14" spans="2:13" s="229" customFormat="1" x14ac:dyDescent="0.25">
      <c r="I14" s="149"/>
      <c r="J14" s="149"/>
      <c r="K14" s="149"/>
    </row>
    <row r="15" spans="2:13" s="229" customFormat="1" x14ac:dyDescent="0.25">
      <c r="C15" s="231" t="s">
        <v>859</v>
      </c>
      <c r="D15" s="289">
        <f>AVERAGE(G7,G8,G9)</f>
        <v>14</v>
      </c>
      <c r="I15" s="149"/>
      <c r="J15" s="149"/>
      <c r="K15" s="149"/>
    </row>
    <row r="16" spans="2:13" s="229" customFormat="1" x14ac:dyDescent="0.25">
      <c r="I16" s="149"/>
      <c r="J16" s="149"/>
      <c r="K16" s="149"/>
    </row>
    <row r="17" spans="3:11" s="229" customFormat="1" x14ac:dyDescent="0.25">
      <c r="C17" s="290" t="s">
        <v>860</v>
      </c>
      <c r="D17" s="151">
        <f>D13*D15</f>
        <v>43.866666666666667</v>
      </c>
      <c r="I17" s="149"/>
      <c r="J17" s="149"/>
      <c r="K17" s="149"/>
    </row>
  </sheetData>
  <mergeCells count="1">
    <mergeCell ref="B5:L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B367-8F7A-4693-9674-8F20AEC8BEF3}">
  <sheetPr>
    <tabColor theme="9" tint="-0.499984740745262"/>
  </sheetPr>
  <dimension ref="A1:AL29"/>
  <sheetViews>
    <sheetView showGridLines="0" tabSelected="1" zoomScale="80" zoomScaleNormal="80" workbookViewId="0"/>
  </sheetViews>
  <sheetFormatPr defaultColWidth="10" defaultRowHeight="13.8" x14ac:dyDescent="0.25"/>
  <cols>
    <col min="1" max="1" width="3" style="1" customWidth="1"/>
    <col min="2" max="2" width="10.25" style="1" customWidth="1"/>
    <col min="3" max="3" width="58" style="1" bestFit="1" customWidth="1"/>
    <col min="4" max="4" width="17.625" style="1" customWidth="1"/>
    <col min="5" max="5" width="7.125" style="1" customWidth="1"/>
    <col min="6" max="6" width="13.5" style="1" bestFit="1" customWidth="1"/>
    <col min="7" max="7" width="15.25" style="1" bestFit="1" customWidth="1"/>
    <col min="8" max="33" width="14.5" style="1" bestFit="1" customWidth="1"/>
    <col min="34" max="34" width="15.75" style="1" bestFit="1" customWidth="1"/>
    <col min="35" max="35" width="14.5" style="1" bestFit="1" customWidth="1"/>
    <col min="36" max="36" width="17.25" style="1" customWidth="1"/>
    <col min="37" max="16384" width="10" style="1"/>
  </cols>
  <sheetData>
    <row r="1" spans="1:36" ht="18" x14ac:dyDescent="0.25">
      <c r="A1" s="280"/>
      <c r="B1" s="88" t="s">
        <v>0</v>
      </c>
      <c r="D1" s="88" t="s">
        <v>1</v>
      </c>
    </row>
    <row r="2" spans="1:36" ht="15" x14ac:dyDescent="0.25">
      <c r="B2" s="5" t="s">
        <v>440</v>
      </c>
      <c r="D2" s="53" t="s">
        <v>124</v>
      </c>
      <c r="E2" s="90" t="s">
        <v>1048</v>
      </c>
      <c r="F2" s="54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</row>
    <row r="4" spans="1:36" x14ac:dyDescent="0.25">
      <c r="B4" s="375" t="s">
        <v>3</v>
      </c>
      <c r="C4" s="375" t="s">
        <v>441</v>
      </c>
      <c r="D4" s="64" t="s">
        <v>442</v>
      </c>
      <c r="E4" s="162" t="s">
        <v>443</v>
      </c>
      <c r="F4" s="372" t="s">
        <v>222</v>
      </c>
      <c r="G4" s="372" t="s">
        <v>223</v>
      </c>
      <c r="H4" s="372" t="s">
        <v>224</v>
      </c>
      <c r="I4" s="372" t="s">
        <v>225</v>
      </c>
      <c r="J4" s="372" t="s">
        <v>226</v>
      </c>
      <c r="K4" s="372" t="s">
        <v>227</v>
      </c>
      <c r="L4" s="367" t="s">
        <v>228</v>
      </c>
      <c r="M4" s="367" t="s">
        <v>229</v>
      </c>
      <c r="N4" s="367" t="s">
        <v>230</v>
      </c>
      <c r="O4" s="367" t="s">
        <v>231</v>
      </c>
      <c r="P4" s="367" t="s">
        <v>232</v>
      </c>
      <c r="Q4" s="367" t="s">
        <v>233</v>
      </c>
      <c r="R4" s="367" t="s">
        <v>234</v>
      </c>
      <c r="S4" s="367" t="s">
        <v>235</v>
      </c>
      <c r="T4" s="367" t="s">
        <v>236</v>
      </c>
      <c r="U4" s="367" t="s">
        <v>237</v>
      </c>
      <c r="V4" s="367" t="s">
        <v>238</v>
      </c>
      <c r="W4" s="367" t="s">
        <v>239</v>
      </c>
      <c r="X4" s="367" t="s">
        <v>240</v>
      </c>
      <c r="Y4" s="367" t="s">
        <v>241</v>
      </c>
      <c r="Z4" s="367" t="s">
        <v>242</v>
      </c>
      <c r="AA4" s="367" t="s">
        <v>243</v>
      </c>
      <c r="AB4" s="367" t="s">
        <v>244</v>
      </c>
      <c r="AC4" s="367" t="s">
        <v>245</v>
      </c>
      <c r="AD4" s="367" t="s">
        <v>246</v>
      </c>
      <c r="AE4" s="367" t="s">
        <v>247</v>
      </c>
      <c r="AF4" s="367" t="s">
        <v>248</v>
      </c>
      <c r="AG4" s="367" t="s">
        <v>249</v>
      </c>
      <c r="AH4" s="367" t="s">
        <v>250</v>
      </c>
      <c r="AI4" s="367" t="s">
        <v>251</v>
      </c>
      <c r="AJ4" s="368" t="s">
        <v>312</v>
      </c>
    </row>
    <row r="5" spans="1:36" x14ac:dyDescent="0.25">
      <c r="B5" s="376"/>
      <c r="C5" s="376"/>
      <c r="D5" s="64" t="s">
        <v>311</v>
      </c>
      <c r="E5" s="162" t="s">
        <v>311</v>
      </c>
      <c r="F5" s="373"/>
      <c r="G5" s="373"/>
      <c r="H5" s="373"/>
      <c r="I5" s="373"/>
      <c r="J5" s="373"/>
      <c r="K5" s="373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8"/>
    </row>
    <row r="6" spans="1:36" ht="18" x14ac:dyDescent="0.25">
      <c r="B6" s="233" t="s">
        <v>325</v>
      </c>
      <c r="C6" s="234" t="s">
        <v>444</v>
      </c>
      <c r="D6" s="187"/>
      <c r="E6" s="187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187"/>
      <c r="AE6" s="187"/>
      <c r="AF6" s="187"/>
      <c r="AG6" s="187"/>
      <c r="AH6" s="187"/>
      <c r="AI6" s="187"/>
      <c r="AJ6" s="236"/>
    </row>
    <row r="7" spans="1:36" x14ac:dyDescent="0.25">
      <c r="B7" s="369" t="s">
        <v>15</v>
      </c>
      <c r="C7" s="370" t="str">
        <f>+CONCATENATE("Programa - ",'MC Conservação Rotina'!C6)</f>
        <v>Programa - PAVIMENTO</v>
      </c>
      <c r="D7" s="371">
        <f>'MC Conservação Rotina'!AJ73</f>
        <v>50821785.641924515</v>
      </c>
      <c r="E7" s="237" t="s">
        <v>443</v>
      </c>
      <c r="F7" s="238">
        <f>+F8/$D7</f>
        <v>0</v>
      </c>
      <c r="G7" s="239">
        <f t="shared" ref="G7:AI7" si="0">+G8/$D7</f>
        <v>2.3045317023398824E-2</v>
      </c>
      <c r="H7" s="239">
        <f t="shared" si="0"/>
        <v>2.3045317023398824E-2</v>
      </c>
      <c r="I7" s="239">
        <f t="shared" si="0"/>
        <v>2.3045317023398824E-2</v>
      </c>
      <c r="J7" s="239">
        <f t="shared" si="0"/>
        <v>2.3168907781500207E-2</v>
      </c>
      <c r="K7" s="239">
        <f t="shared" si="0"/>
        <v>2.3168907781500207E-2</v>
      </c>
      <c r="L7" s="239">
        <f t="shared" si="0"/>
        <v>2.7034346642626807E-2</v>
      </c>
      <c r="M7" s="239">
        <f t="shared" si="0"/>
        <v>3.1075734398613119E-2</v>
      </c>
      <c r="N7" s="239">
        <f t="shared" si="0"/>
        <v>3.4590156296544446E-2</v>
      </c>
      <c r="O7" s="239">
        <f t="shared" si="0"/>
        <v>3.7595433886870075E-2</v>
      </c>
      <c r="P7" s="239">
        <f t="shared" si="0"/>
        <v>3.7595433886870075E-2</v>
      </c>
      <c r="Q7" s="239">
        <f t="shared" si="0"/>
        <v>3.7595433886870075E-2</v>
      </c>
      <c r="R7" s="239">
        <f t="shared" si="0"/>
        <v>3.7595433886870075E-2</v>
      </c>
      <c r="S7" s="239">
        <f t="shared" si="0"/>
        <v>3.7595433886870075E-2</v>
      </c>
      <c r="T7" s="239">
        <f t="shared" si="0"/>
        <v>3.7595433886870075E-2</v>
      </c>
      <c r="U7" s="239">
        <f t="shared" si="0"/>
        <v>3.7595433886870075E-2</v>
      </c>
      <c r="V7" s="239">
        <f t="shared" si="0"/>
        <v>3.7595433886870075E-2</v>
      </c>
      <c r="W7" s="239">
        <f t="shared" si="0"/>
        <v>3.7595433886870075E-2</v>
      </c>
      <c r="X7" s="239">
        <f t="shared" si="0"/>
        <v>3.7595433886870075E-2</v>
      </c>
      <c r="Y7" s="239">
        <f t="shared" si="0"/>
        <v>3.7806514287301626E-2</v>
      </c>
      <c r="Z7" s="239">
        <f t="shared" si="0"/>
        <v>3.7806514287301626E-2</v>
      </c>
      <c r="AA7" s="239">
        <f t="shared" si="0"/>
        <v>3.7806514287301626E-2</v>
      </c>
      <c r="AB7" s="239">
        <f t="shared" si="0"/>
        <v>3.7806514287301626E-2</v>
      </c>
      <c r="AC7" s="239">
        <f t="shared" si="0"/>
        <v>3.7806514287301626E-2</v>
      </c>
      <c r="AD7" s="239">
        <f t="shared" si="0"/>
        <v>3.7806514287301626E-2</v>
      </c>
      <c r="AE7" s="239">
        <f t="shared" si="0"/>
        <v>3.7806514287301626E-2</v>
      </c>
      <c r="AF7" s="239">
        <f t="shared" si="0"/>
        <v>3.7806514287301626E-2</v>
      </c>
      <c r="AG7" s="239">
        <f t="shared" si="0"/>
        <v>3.7806514287301626E-2</v>
      </c>
      <c r="AH7" s="239">
        <f t="shared" si="0"/>
        <v>3.7806514287301626E-2</v>
      </c>
      <c r="AI7" s="240">
        <f t="shared" si="0"/>
        <v>3.7806514287301626E-2</v>
      </c>
      <c r="AJ7" s="241">
        <f t="shared" ref="AJ7:AJ24" si="1">+SUM(F7:AI7)</f>
        <v>1</v>
      </c>
    </row>
    <row r="8" spans="1:36" x14ac:dyDescent="0.25">
      <c r="B8" s="369"/>
      <c r="C8" s="370"/>
      <c r="D8" s="371"/>
      <c r="E8" s="242" t="s">
        <v>445</v>
      </c>
      <c r="F8" s="243">
        <f>'MC Conservação Rotina'!F73</f>
        <v>0</v>
      </c>
      <c r="G8" s="243">
        <f>'MC Conservação Rotina'!G73</f>
        <v>1171204.161813369</v>
      </c>
      <c r="H8" s="243">
        <f>'MC Conservação Rotina'!H73</f>
        <v>1171204.161813369</v>
      </c>
      <c r="I8" s="243">
        <f>'MC Conservação Rotina'!I73</f>
        <v>1171204.161813369</v>
      </c>
      <c r="J8" s="243">
        <f>'MC Conservação Rotina'!J73</f>
        <v>1177485.2648289204</v>
      </c>
      <c r="K8" s="243">
        <f>'MC Conservação Rotina'!K73</f>
        <v>1177485.2648289204</v>
      </c>
      <c r="L8" s="243">
        <f>'MC Conservação Rotina'!L73</f>
        <v>1373933.7700410613</v>
      </c>
      <c r="M8" s="243">
        <f>'MC Conservação Rotina'!M73</f>
        <v>1579324.312271696</v>
      </c>
      <c r="N8" s="243">
        <f>'MC Conservação Rotina'!N73</f>
        <v>1757933.5086236475</v>
      </c>
      <c r="O8" s="243">
        <f>'MC Conservação Rotina'!O73</f>
        <v>1910667.082113656</v>
      </c>
      <c r="P8" s="243">
        <f>'MC Conservação Rotina'!P73</f>
        <v>1910667.082113656</v>
      </c>
      <c r="Q8" s="243">
        <f>'MC Conservação Rotina'!Q73</f>
        <v>1910667.082113656</v>
      </c>
      <c r="R8" s="243">
        <f>'MC Conservação Rotina'!R73</f>
        <v>1910667.082113656</v>
      </c>
      <c r="S8" s="243">
        <f>'MC Conservação Rotina'!S73</f>
        <v>1910667.082113656</v>
      </c>
      <c r="T8" s="243">
        <f>'MC Conservação Rotina'!T73</f>
        <v>1910667.082113656</v>
      </c>
      <c r="U8" s="243">
        <f>'MC Conservação Rotina'!U73</f>
        <v>1910667.082113656</v>
      </c>
      <c r="V8" s="243">
        <f>'MC Conservação Rotina'!V73</f>
        <v>1910667.082113656</v>
      </c>
      <c r="W8" s="243">
        <f>'MC Conservação Rotina'!W73</f>
        <v>1910667.082113656</v>
      </c>
      <c r="X8" s="243">
        <f>'MC Conservação Rotina'!X73</f>
        <v>1910667.082113656</v>
      </c>
      <c r="Y8" s="243">
        <f>'MC Conservação Rotina'!Y73</f>
        <v>1921394.5649775998</v>
      </c>
      <c r="Z8" s="243">
        <f>'MC Conservação Rotina'!Z73</f>
        <v>1921394.5649775998</v>
      </c>
      <c r="AA8" s="243">
        <f>'MC Conservação Rotina'!AA73</f>
        <v>1921394.5649775998</v>
      </c>
      <c r="AB8" s="243">
        <f>'MC Conservação Rotina'!AB73</f>
        <v>1921394.5649775998</v>
      </c>
      <c r="AC8" s="243">
        <f>'MC Conservação Rotina'!AC73</f>
        <v>1921394.5649775998</v>
      </c>
      <c r="AD8" s="243">
        <f>'MC Conservação Rotina'!AD73</f>
        <v>1921394.5649775998</v>
      </c>
      <c r="AE8" s="243">
        <f>'MC Conservação Rotina'!AE73</f>
        <v>1921394.5649775998</v>
      </c>
      <c r="AF8" s="243">
        <f>'MC Conservação Rotina'!AF73</f>
        <v>1921394.5649775998</v>
      </c>
      <c r="AG8" s="243">
        <f>'MC Conservação Rotina'!AG73</f>
        <v>1921394.5649775998</v>
      </c>
      <c r="AH8" s="243">
        <f>'MC Conservação Rotina'!AH73</f>
        <v>1921394.5649775998</v>
      </c>
      <c r="AI8" s="243">
        <f>'MC Conservação Rotina'!AI73</f>
        <v>1921394.5649775998</v>
      </c>
      <c r="AJ8" s="246">
        <f t="shared" si="1"/>
        <v>50821785.64192453</v>
      </c>
    </row>
    <row r="9" spans="1:36" x14ac:dyDescent="0.25">
      <c r="B9" s="369" t="s">
        <v>17</v>
      </c>
      <c r="C9" s="370" t="str">
        <f>+CONCATENATE("Programa - ",'MC Conservação Rotina'!C21)</f>
        <v>Programa - ELEMENTOS DE PROTEÇÃO E SEGURANÇA</v>
      </c>
      <c r="D9" s="371">
        <f>'MC Conservação Rotina'!AJ90</f>
        <v>16753332.147332231</v>
      </c>
      <c r="E9" s="237" t="s">
        <v>443</v>
      </c>
      <c r="F9" s="238">
        <f>+F10/$D9</f>
        <v>0</v>
      </c>
      <c r="G9" s="239">
        <f t="shared" ref="G9:AI9" si="2">+G10/$D9</f>
        <v>2.9417478406192431E-2</v>
      </c>
      <c r="H9" s="239">
        <f t="shared" si="2"/>
        <v>2.9417478406192431E-2</v>
      </c>
      <c r="I9" s="239">
        <f t="shared" si="2"/>
        <v>2.9417478406192431E-2</v>
      </c>
      <c r="J9" s="239">
        <f t="shared" si="2"/>
        <v>2.9481680646707406E-2</v>
      </c>
      <c r="K9" s="239">
        <f t="shared" si="2"/>
        <v>2.9481680646707406E-2</v>
      </c>
      <c r="L9" s="239">
        <f t="shared" si="2"/>
        <v>3.1190664120344134E-2</v>
      </c>
      <c r="M9" s="239">
        <f t="shared" si="2"/>
        <v>3.297743792111392E-2</v>
      </c>
      <c r="N9" s="239">
        <f t="shared" si="2"/>
        <v>3.4531230170514841E-2</v>
      </c>
      <c r="O9" s="239">
        <f t="shared" si="2"/>
        <v>3.5859920112349911E-2</v>
      </c>
      <c r="P9" s="239">
        <f t="shared" si="2"/>
        <v>3.5859920112349911E-2</v>
      </c>
      <c r="Q9" s="239">
        <f t="shared" si="2"/>
        <v>3.5859920112349911E-2</v>
      </c>
      <c r="R9" s="239">
        <f t="shared" si="2"/>
        <v>3.5859920112349911E-2</v>
      </c>
      <c r="S9" s="239">
        <f t="shared" si="2"/>
        <v>3.5859920112349911E-2</v>
      </c>
      <c r="T9" s="239">
        <f t="shared" si="2"/>
        <v>3.5859920112349911E-2</v>
      </c>
      <c r="U9" s="239">
        <f t="shared" si="2"/>
        <v>3.5859920112349911E-2</v>
      </c>
      <c r="V9" s="239">
        <f t="shared" si="2"/>
        <v>3.5859920112349911E-2</v>
      </c>
      <c r="W9" s="239">
        <f t="shared" si="2"/>
        <v>3.5859920112349911E-2</v>
      </c>
      <c r="X9" s="239">
        <f t="shared" si="2"/>
        <v>3.5859920112349911E-2</v>
      </c>
      <c r="Y9" s="239">
        <f t="shared" si="2"/>
        <v>3.5953242741139591E-2</v>
      </c>
      <c r="Z9" s="239">
        <f t="shared" si="2"/>
        <v>3.5953242741139591E-2</v>
      </c>
      <c r="AA9" s="239">
        <f t="shared" si="2"/>
        <v>3.5953242741139591E-2</v>
      </c>
      <c r="AB9" s="239">
        <f t="shared" si="2"/>
        <v>3.5953242741139591E-2</v>
      </c>
      <c r="AC9" s="239">
        <f t="shared" si="2"/>
        <v>3.5953242741139591E-2</v>
      </c>
      <c r="AD9" s="239">
        <f t="shared" si="2"/>
        <v>3.5953242741139591E-2</v>
      </c>
      <c r="AE9" s="239">
        <f t="shared" si="2"/>
        <v>3.5953242741139591E-2</v>
      </c>
      <c r="AF9" s="239">
        <f t="shared" si="2"/>
        <v>3.5953242741139591E-2</v>
      </c>
      <c r="AG9" s="239">
        <f t="shared" si="2"/>
        <v>3.5953242741139591E-2</v>
      </c>
      <c r="AH9" s="239">
        <f t="shared" si="2"/>
        <v>3.5953242741139591E-2</v>
      </c>
      <c r="AI9" s="240">
        <f t="shared" si="2"/>
        <v>3.5953242741139591E-2</v>
      </c>
      <c r="AJ9" s="241">
        <f t="shared" si="1"/>
        <v>0.99999999999999911</v>
      </c>
    </row>
    <row r="10" spans="1:36" x14ac:dyDescent="0.25">
      <c r="B10" s="369"/>
      <c r="C10" s="370"/>
      <c r="D10" s="371"/>
      <c r="E10" s="242" t="s">
        <v>445</v>
      </c>
      <c r="F10" s="243">
        <f>'MC Conservação Rotina'!F90</f>
        <v>0</v>
      </c>
      <c r="G10" s="243">
        <f>'MC Conservação Rotina'!G90</f>
        <v>492840.78667591535</v>
      </c>
      <c r="H10" s="243">
        <f>'MC Conservação Rotina'!H90</f>
        <v>492840.78667591535</v>
      </c>
      <c r="I10" s="243">
        <f>'MC Conservação Rotina'!I90</f>
        <v>492840.78667591535</v>
      </c>
      <c r="J10" s="243">
        <f>'MC Conservação Rotina'!J90</f>
        <v>493916.38813586568</v>
      </c>
      <c r="K10" s="243">
        <f>'MC Conservação Rotina'!K90</f>
        <v>493916.38813586568</v>
      </c>
      <c r="L10" s="243">
        <f>'MC Conservação Rotina'!L90</f>
        <v>522547.55590400333</v>
      </c>
      <c r="M10" s="243">
        <f>'MC Conservação Rotina'!M90</f>
        <v>552481.97086045076</v>
      </c>
      <c r="N10" s="243">
        <f>'MC Conservação Rotina'!N90</f>
        <v>578513.16850261495</v>
      </c>
      <c r="O10" s="243">
        <f>'MC Conservação Rotina'!O90</f>
        <v>600773.15241899737</v>
      </c>
      <c r="P10" s="243">
        <f>'MC Conservação Rotina'!P90</f>
        <v>600773.15241899737</v>
      </c>
      <c r="Q10" s="243">
        <f>'MC Conservação Rotina'!Q90</f>
        <v>600773.15241899737</v>
      </c>
      <c r="R10" s="243">
        <f>'MC Conservação Rotina'!R90</f>
        <v>600773.15241899737</v>
      </c>
      <c r="S10" s="243">
        <f>'MC Conservação Rotina'!S90</f>
        <v>600773.15241899737</v>
      </c>
      <c r="T10" s="243">
        <f>'MC Conservação Rotina'!T90</f>
        <v>600773.15241899737</v>
      </c>
      <c r="U10" s="243">
        <f>'MC Conservação Rotina'!U90</f>
        <v>600773.15241899737</v>
      </c>
      <c r="V10" s="243">
        <f>'MC Conservação Rotina'!V90</f>
        <v>600773.15241899737</v>
      </c>
      <c r="W10" s="243">
        <f>'MC Conservação Rotina'!W90</f>
        <v>600773.15241899737</v>
      </c>
      <c r="X10" s="243">
        <f>'MC Conservação Rotina'!X90</f>
        <v>600773.15241899737</v>
      </c>
      <c r="Y10" s="243">
        <f>'MC Conservação Rotina'!Y90</f>
        <v>602336.6174159731</v>
      </c>
      <c r="Z10" s="243">
        <f>'MC Conservação Rotina'!Z90</f>
        <v>602336.6174159731</v>
      </c>
      <c r="AA10" s="243">
        <f>'MC Conservação Rotina'!AA90</f>
        <v>602336.6174159731</v>
      </c>
      <c r="AB10" s="243">
        <f>'MC Conservação Rotina'!AB90</f>
        <v>602336.6174159731</v>
      </c>
      <c r="AC10" s="243">
        <f>'MC Conservação Rotina'!AC90</f>
        <v>602336.6174159731</v>
      </c>
      <c r="AD10" s="243">
        <f>'MC Conservação Rotina'!AD90</f>
        <v>602336.6174159731</v>
      </c>
      <c r="AE10" s="243">
        <f>'MC Conservação Rotina'!AE90</f>
        <v>602336.6174159731</v>
      </c>
      <c r="AF10" s="243">
        <f>'MC Conservação Rotina'!AF90</f>
        <v>602336.6174159731</v>
      </c>
      <c r="AG10" s="243">
        <f>'MC Conservação Rotina'!AG90</f>
        <v>602336.6174159731</v>
      </c>
      <c r="AH10" s="243">
        <f>'MC Conservação Rotina'!AH90</f>
        <v>602336.6174159731</v>
      </c>
      <c r="AI10" s="243">
        <f>'MC Conservação Rotina'!AI90</f>
        <v>602336.6174159731</v>
      </c>
      <c r="AJ10" s="246">
        <f t="shared" si="1"/>
        <v>16753332.147332231</v>
      </c>
    </row>
    <row r="11" spans="1:36" x14ac:dyDescent="0.25">
      <c r="B11" s="369" t="s">
        <v>19</v>
      </c>
      <c r="C11" s="370" t="str">
        <f>+CONCATENATE("Programa - ",'MC Conservação Rotina'!C34)</f>
        <v>Programa - OBRAS DE ARTES ESPECIAIS</v>
      </c>
      <c r="D11" s="371">
        <f>'MC Conservação Rotina'!AJ115</f>
        <v>348390.61287683132</v>
      </c>
      <c r="E11" s="237" t="s">
        <v>443</v>
      </c>
      <c r="F11" s="238">
        <f t="shared" ref="F11:AI11" si="3">+F12/$D11</f>
        <v>0</v>
      </c>
      <c r="G11" s="239">
        <f t="shared" si="3"/>
        <v>3.4482758620689669E-2</v>
      </c>
      <c r="H11" s="239">
        <f t="shared" si="3"/>
        <v>3.4482758620689669E-2</v>
      </c>
      <c r="I11" s="239">
        <f t="shared" si="3"/>
        <v>3.4482758620689669E-2</v>
      </c>
      <c r="J11" s="239">
        <f t="shared" si="3"/>
        <v>3.4482758620689669E-2</v>
      </c>
      <c r="K11" s="239">
        <f t="shared" si="3"/>
        <v>3.4482758620689669E-2</v>
      </c>
      <c r="L11" s="239">
        <f t="shared" si="3"/>
        <v>3.4482758620689669E-2</v>
      </c>
      <c r="M11" s="239">
        <f t="shared" si="3"/>
        <v>3.4482758620689669E-2</v>
      </c>
      <c r="N11" s="239">
        <f t="shared" si="3"/>
        <v>3.4482758620689669E-2</v>
      </c>
      <c r="O11" s="239">
        <f t="shared" si="3"/>
        <v>3.4482758620689669E-2</v>
      </c>
      <c r="P11" s="239">
        <f t="shared" si="3"/>
        <v>3.4482758620689669E-2</v>
      </c>
      <c r="Q11" s="239">
        <f t="shared" si="3"/>
        <v>3.4482758620689669E-2</v>
      </c>
      <c r="R11" s="239">
        <f t="shared" si="3"/>
        <v>3.4482758620689669E-2</v>
      </c>
      <c r="S11" s="239">
        <f t="shared" si="3"/>
        <v>3.4482758620689669E-2</v>
      </c>
      <c r="T11" s="239">
        <f t="shared" si="3"/>
        <v>3.4482758620689669E-2</v>
      </c>
      <c r="U11" s="239">
        <f t="shared" si="3"/>
        <v>3.4482758620689669E-2</v>
      </c>
      <c r="V11" s="239">
        <f t="shared" si="3"/>
        <v>3.4482758620689669E-2</v>
      </c>
      <c r="W11" s="239">
        <f t="shared" si="3"/>
        <v>3.4482758620689669E-2</v>
      </c>
      <c r="X11" s="239">
        <f t="shared" si="3"/>
        <v>3.4482758620689669E-2</v>
      </c>
      <c r="Y11" s="239">
        <f t="shared" si="3"/>
        <v>3.4482758620689669E-2</v>
      </c>
      <c r="Z11" s="239">
        <f t="shared" si="3"/>
        <v>3.4482758620689669E-2</v>
      </c>
      <c r="AA11" s="239">
        <f t="shared" si="3"/>
        <v>3.4482758620689669E-2</v>
      </c>
      <c r="AB11" s="239">
        <f t="shared" si="3"/>
        <v>3.4482758620689669E-2</v>
      </c>
      <c r="AC11" s="239">
        <f t="shared" si="3"/>
        <v>3.4482758620689669E-2</v>
      </c>
      <c r="AD11" s="239">
        <f t="shared" si="3"/>
        <v>3.4482758620689669E-2</v>
      </c>
      <c r="AE11" s="239">
        <f t="shared" si="3"/>
        <v>3.4482758620689669E-2</v>
      </c>
      <c r="AF11" s="239">
        <f t="shared" si="3"/>
        <v>3.4482758620689669E-2</v>
      </c>
      <c r="AG11" s="239">
        <f t="shared" si="3"/>
        <v>3.4482758620689669E-2</v>
      </c>
      <c r="AH11" s="239">
        <f t="shared" si="3"/>
        <v>3.4482758620689669E-2</v>
      </c>
      <c r="AI11" s="240">
        <f t="shared" si="3"/>
        <v>3.4482758620689669E-2</v>
      </c>
      <c r="AJ11" s="241">
        <f t="shared" si="1"/>
        <v>1.0000000000000011</v>
      </c>
    </row>
    <row r="12" spans="1:36" x14ac:dyDescent="0.25">
      <c r="B12" s="369"/>
      <c r="C12" s="370"/>
      <c r="D12" s="371"/>
      <c r="E12" s="242" t="s">
        <v>445</v>
      </c>
      <c r="F12" s="243">
        <f>'MC Conservação Rotina'!F115</f>
        <v>0</v>
      </c>
      <c r="G12" s="243">
        <f>'MC Conservação Rotina'!G115</f>
        <v>12013.469409545913</v>
      </c>
      <c r="H12" s="243">
        <f>'MC Conservação Rotina'!H115</f>
        <v>12013.469409545913</v>
      </c>
      <c r="I12" s="243">
        <f>'MC Conservação Rotina'!I115</f>
        <v>12013.469409545913</v>
      </c>
      <c r="J12" s="243">
        <f>'MC Conservação Rotina'!J115</f>
        <v>12013.469409545913</v>
      </c>
      <c r="K12" s="243">
        <f>'MC Conservação Rotina'!K115</f>
        <v>12013.469409545913</v>
      </c>
      <c r="L12" s="243">
        <f>'MC Conservação Rotina'!L115</f>
        <v>12013.469409545913</v>
      </c>
      <c r="M12" s="243">
        <f>'MC Conservação Rotina'!M115</f>
        <v>12013.469409545913</v>
      </c>
      <c r="N12" s="243">
        <f>'MC Conservação Rotina'!N115</f>
        <v>12013.469409545913</v>
      </c>
      <c r="O12" s="243">
        <f>'MC Conservação Rotina'!O115</f>
        <v>12013.469409545913</v>
      </c>
      <c r="P12" s="243">
        <f>'MC Conservação Rotina'!P115</f>
        <v>12013.469409545913</v>
      </c>
      <c r="Q12" s="243">
        <f>'MC Conservação Rotina'!Q115</f>
        <v>12013.469409545913</v>
      </c>
      <c r="R12" s="243">
        <f>'MC Conservação Rotina'!R115</f>
        <v>12013.469409545913</v>
      </c>
      <c r="S12" s="243">
        <f>'MC Conservação Rotina'!S115</f>
        <v>12013.469409545913</v>
      </c>
      <c r="T12" s="243">
        <f>'MC Conservação Rotina'!T115</f>
        <v>12013.469409545913</v>
      </c>
      <c r="U12" s="243">
        <f>'MC Conservação Rotina'!U115</f>
        <v>12013.469409545913</v>
      </c>
      <c r="V12" s="243">
        <f>'MC Conservação Rotina'!V115</f>
        <v>12013.469409545913</v>
      </c>
      <c r="W12" s="243">
        <f>'MC Conservação Rotina'!W115</f>
        <v>12013.469409545913</v>
      </c>
      <c r="X12" s="243">
        <f>'MC Conservação Rotina'!X115</f>
        <v>12013.469409545913</v>
      </c>
      <c r="Y12" s="243">
        <f>'MC Conservação Rotina'!Y115</f>
        <v>12013.469409545913</v>
      </c>
      <c r="Z12" s="243">
        <f>'MC Conservação Rotina'!Z115</f>
        <v>12013.469409545913</v>
      </c>
      <c r="AA12" s="243">
        <f>'MC Conservação Rotina'!AA115</f>
        <v>12013.469409545913</v>
      </c>
      <c r="AB12" s="243">
        <f>'MC Conservação Rotina'!AB115</f>
        <v>12013.469409545913</v>
      </c>
      <c r="AC12" s="243">
        <f>'MC Conservação Rotina'!AC115</f>
        <v>12013.469409545913</v>
      </c>
      <c r="AD12" s="243">
        <f>'MC Conservação Rotina'!AD115</f>
        <v>12013.469409545913</v>
      </c>
      <c r="AE12" s="243">
        <f>'MC Conservação Rotina'!AE115</f>
        <v>12013.469409545913</v>
      </c>
      <c r="AF12" s="243">
        <f>'MC Conservação Rotina'!AF115</f>
        <v>12013.469409545913</v>
      </c>
      <c r="AG12" s="243">
        <f>'MC Conservação Rotina'!AG115</f>
        <v>12013.469409545913</v>
      </c>
      <c r="AH12" s="243">
        <f>'MC Conservação Rotina'!AH115</f>
        <v>12013.469409545913</v>
      </c>
      <c r="AI12" s="243">
        <f>'MC Conservação Rotina'!AI115</f>
        <v>12013.469409545913</v>
      </c>
      <c r="AJ12" s="246">
        <f t="shared" si="1"/>
        <v>348390.61287683132</v>
      </c>
    </row>
    <row r="13" spans="1:36" x14ac:dyDescent="0.25">
      <c r="B13" s="369" t="s">
        <v>21</v>
      </c>
      <c r="C13" s="370" t="str">
        <f>+CONCATENATE("Programa - ",'MC Conservação Rotina'!C42)</f>
        <v>Programa - DRENAGEM E OAC</v>
      </c>
      <c r="D13" s="371">
        <f>'MC Conservação Rotina'!AJ124</f>
        <v>6746526.1092865467</v>
      </c>
      <c r="E13" s="237" t="s">
        <v>443</v>
      </c>
      <c r="F13" s="238">
        <f t="shared" ref="F13:AI13" si="4">+F14/$D13</f>
        <v>0</v>
      </c>
      <c r="G13" s="239">
        <f t="shared" si="4"/>
        <v>2.3869050122525881E-2</v>
      </c>
      <c r="H13" s="239">
        <f t="shared" si="4"/>
        <v>2.3869050122525881E-2</v>
      </c>
      <c r="I13" s="239">
        <f t="shared" si="4"/>
        <v>2.3869050122525881E-2</v>
      </c>
      <c r="J13" s="239">
        <f t="shared" si="4"/>
        <v>2.4003578487571633E-2</v>
      </c>
      <c r="K13" s="239">
        <f t="shared" si="4"/>
        <v>2.4003578487571633E-2</v>
      </c>
      <c r="L13" s="239">
        <f t="shared" si="4"/>
        <v>2.7584555580496405E-2</v>
      </c>
      <c r="M13" s="239">
        <f t="shared" si="4"/>
        <v>3.132853330146227E-2</v>
      </c>
      <c r="N13" s="239">
        <f t="shared" si="4"/>
        <v>3.4584325143865717E-2</v>
      </c>
      <c r="O13" s="239">
        <f t="shared" si="4"/>
        <v>3.7368441151252173E-2</v>
      </c>
      <c r="P13" s="239">
        <f t="shared" si="4"/>
        <v>3.7368441151252173E-2</v>
      </c>
      <c r="Q13" s="239">
        <f t="shared" si="4"/>
        <v>3.7368441151252173E-2</v>
      </c>
      <c r="R13" s="239">
        <f t="shared" si="4"/>
        <v>3.7368441151252173E-2</v>
      </c>
      <c r="S13" s="239">
        <f t="shared" si="4"/>
        <v>3.7368441151252173E-2</v>
      </c>
      <c r="T13" s="239">
        <f t="shared" si="4"/>
        <v>3.7368441151252173E-2</v>
      </c>
      <c r="U13" s="239">
        <f t="shared" si="4"/>
        <v>3.7368441151252173E-2</v>
      </c>
      <c r="V13" s="239">
        <f t="shared" si="4"/>
        <v>3.7368441151252173E-2</v>
      </c>
      <c r="W13" s="239">
        <f t="shared" si="4"/>
        <v>3.7368441151252173E-2</v>
      </c>
      <c r="X13" s="239">
        <f t="shared" si="4"/>
        <v>3.7368441151252173E-2</v>
      </c>
      <c r="Y13" s="239">
        <f t="shared" si="4"/>
        <v>3.7563987919903022E-2</v>
      </c>
      <c r="Z13" s="239">
        <f t="shared" si="4"/>
        <v>3.7563987919903022E-2</v>
      </c>
      <c r="AA13" s="239">
        <f t="shared" si="4"/>
        <v>3.7563987919903022E-2</v>
      </c>
      <c r="AB13" s="239">
        <f t="shared" si="4"/>
        <v>3.7563987919903022E-2</v>
      </c>
      <c r="AC13" s="239">
        <f t="shared" si="4"/>
        <v>3.7563987919903022E-2</v>
      </c>
      <c r="AD13" s="239">
        <f t="shared" si="4"/>
        <v>3.7563987919903022E-2</v>
      </c>
      <c r="AE13" s="239">
        <f t="shared" si="4"/>
        <v>3.7563987919903022E-2</v>
      </c>
      <c r="AF13" s="239">
        <f t="shared" si="4"/>
        <v>3.7563987919903022E-2</v>
      </c>
      <c r="AG13" s="239">
        <f t="shared" si="4"/>
        <v>3.7563987919903022E-2</v>
      </c>
      <c r="AH13" s="239">
        <f t="shared" si="4"/>
        <v>3.7563987919903022E-2</v>
      </c>
      <c r="AI13" s="240">
        <f t="shared" si="4"/>
        <v>3.7563987919903022E-2</v>
      </c>
      <c r="AJ13" s="241">
        <f t="shared" si="1"/>
        <v>1</v>
      </c>
    </row>
    <row r="14" spans="1:36" x14ac:dyDescent="0.25">
      <c r="B14" s="369"/>
      <c r="C14" s="370"/>
      <c r="D14" s="371"/>
      <c r="E14" s="242" t="s">
        <v>445</v>
      </c>
      <c r="F14" s="243">
        <f>'MC Conservação Rotina'!F124</f>
        <v>0</v>
      </c>
      <c r="G14" s="243">
        <f>'MC Conservação Rotina'!G124</f>
        <v>161033.16985549009</v>
      </c>
      <c r="H14" s="243">
        <f>'MC Conservação Rotina'!H124</f>
        <v>161033.16985549009</v>
      </c>
      <c r="I14" s="243">
        <f>'MC Conservação Rotina'!I124</f>
        <v>161033.16985549009</v>
      </c>
      <c r="J14" s="243">
        <f>'MC Conservação Rotina'!J124</f>
        <v>161940.7689827109</v>
      </c>
      <c r="K14" s="243">
        <f>'MC Conservação Rotina'!K124</f>
        <v>161940.7689827109</v>
      </c>
      <c r="L14" s="243">
        <f>'MC Conservação Rotina'!L124</f>
        <v>186099.9244368849</v>
      </c>
      <c r="M14" s="243">
        <f>'MC Conservação Rotina'!M124</f>
        <v>211358.76788396825</v>
      </c>
      <c r="N14" s="243">
        <f>'MC Conservação Rotina'!N124</f>
        <v>233324.05255514526</v>
      </c>
      <c r="O14" s="243">
        <f>'MC Conservação Rotina'!O124</f>
        <v>252107.16389026059</v>
      </c>
      <c r="P14" s="243">
        <f>'MC Conservação Rotina'!P124</f>
        <v>252107.16389026059</v>
      </c>
      <c r="Q14" s="243">
        <f>'MC Conservação Rotina'!Q124</f>
        <v>252107.16389026059</v>
      </c>
      <c r="R14" s="243">
        <f>'MC Conservação Rotina'!R124</f>
        <v>252107.16389026059</v>
      </c>
      <c r="S14" s="243">
        <f>'MC Conservação Rotina'!S124</f>
        <v>252107.16389026059</v>
      </c>
      <c r="T14" s="243">
        <f>'MC Conservação Rotina'!T124</f>
        <v>252107.16389026059</v>
      </c>
      <c r="U14" s="243">
        <f>'MC Conservação Rotina'!U124</f>
        <v>252107.16389026059</v>
      </c>
      <c r="V14" s="243">
        <f>'MC Conservação Rotina'!V124</f>
        <v>252107.16389026059</v>
      </c>
      <c r="W14" s="243">
        <f>'MC Conservação Rotina'!W124</f>
        <v>252107.16389026059</v>
      </c>
      <c r="X14" s="243">
        <f>'MC Conservação Rotina'!X124</f>
        <v>252107.16389026059</v>
      </c>
      <c r="Y14" s="243">
        <f>'MC Conservação Rotina'!Y124</f>
        <v>253426.42527055016</v>
      </c>
      <c r="Z14" s="243">
        <f>'MC Conservação Rotina'!Z124</f>
        <v>253426.42527055016</v>
      </c>
      <c r="AA14" s="243">
        <f>'MC Conservação Rotina'!AA124</f>
        <v>253426.42527055016</v>
      </c>
      <c r="AB14" s="243">
        <f>'MC Conservação Rotina'!AB124</f>
        <v>253426.42527055016</v>
      </c>
      <c r="AC14" s="243">
        <f>'MC Conservação Rotina'!AC124</f>
        <v>253426.42527055016</v>
      </c>
      <c r="AD14" s="243">
        <f>'MC Conservação Rotina'!AD124</f>
        <v>253426.42527055016</v>
      </c>
      <c r="AE14" s="243">
        <f>'MC Conservação Rotina'!AE124</f>
        <v>253426.42527055016</v>
      </c>
      <c r="AF14" s="243">
        <f>'MC Conservação Rotina'!AF124</f>
        <v>253426.42527055016</v>
      </c>
      <c r="AG14" s="243">
        <f>'MC Conservação Rotina'!AG124</f>
        <v>253426.42527055016</v>
      </c>
      <c r="AH14" s="243">
        <f>'MC Conservação Rotina'!AH124</f>
        <v>253426.42527055016</v>
      </c>
      <c r="AI14" s="243">
        <f>'MC Conservação Rotina'!AI124</f>
        <v>253426.42527055016</v>
      </c>
      <c r="AJ14" s="246">
        <f t="shared" si="1"/>
        <v>6746526.1092865467</v>
      </c>
    </row>
    <row r="15" spans="1:36" x14ac:dyDescent="0.25">
      <c r="B15" s="369" t="s">
        <v>23</v>
      </c>
      <c r="C15" s="370" t="str">
        <f>+CONCATENATE("Programa - ",'MC Conservação Rotina'!C49)</f>
        <v>Programa - TERRAPLENOS E ESTRUTURAS DE CONTENÇÃO</v>
      </c>
      <c r="D15" s="371">
        <f>'MC Conservação Rotina'!AJ133</f>
        <v>2666819.2710162355</v>
      </c>
      <c r="E15" s="237" t="s">
        <v>443</v>
      </c>
      <c r="F15" s="238">
        <f t="shared" ref="F15:AI15" si="5">+F16/$D15</f>
        <v>0</v>
      </c>
      <c r="G15" s="239">
        <f t="shared" si="5"/>
        <v>2.2427609269285637E-2</v>
      </c>
      <c r="H15" s="239">
        <f t="shared" si="5"/>
        <v>2.2427609269285637E-2</v>
      </c>
      <c r="I15" s="239">
        <f t="shared" si="5"/>
        <v>2.2427609269285637E-2</v>
      </c>
      <c r="J15" s="239">
        <f t="shared" si="5"/>
        <v>2.2580407844157678E-2</v>
      </c>
      <c r="K15" s="239">
        <f t="shared" si="5"/>
        <v>2.2580407844157678E-2</v>
      </c>
      <c r="L15" s="239">
        <f t="shared" si="5"/>
        <v>2.6647715108779967E-2</v>
      </c>
      <c r="M15" s="239">
        <f t="shared" si="5"/>
        <v>3.0900160010802761E-2</v>
      </c>
      <c r="N15" s="239">
        <f t="shared" si="5"/>
        <v>3.4598118827369718E-2</v>
      </c>
      <c r="O15" s="239">
        <f t="shared" si="5"/>
        <v>3.776034382031021E-2</v>
      </c>
      <c r="P15" s="239">
        <f t="shared" si="5"/>
        <v>3.776034382031021E-2</v>
      </c>
      <c r="Q15" s="239">
        <f t="shared" si="5"/>
        <v>3.776034382031021E-2</v>
      </c>
      <c r="R15" s="239">
        <f t="shared" si="5"/>
        <v>3.776034382031021E-2</v>
      </c>
      <c r="S15" s="239">
        <f t="shared" si="5"/>
        <v>3.776034382031021E-2</v>
      </c>
      <c r="T15" s="239">
        <f t="shared" si="5"/>
        <v>3.776034382031021E-2</v>
      </c>
      <c r="U15" s="239">
        <f t="shared" si="5"/>
        <v>3.776034382031021E-2</v>
      </c>
      <c r="V15" s="239">
        <f t="shared" si="5"/>
        <v>3.776034382031021E-2</v>
      </c>
      <c r="W15" s="239">
        <f t="shared" si="5"/>
        <v>3.776034382031021E-2</v>
      </c>
      <c r="X15" s="239">
        <f t="shared" si="5"/>
        <v>3.776034382031021E-2</v>
      </c>
      <c r="Y15" s="239">
        <f t="shared" si="5"/>
        <v>3.7982447668524856E-2</v>
      </c>
      <c r="Z15" s="239">
        <f t="shared" si="5"/>
        <v>3.7982447668524856E-2</v>
      </c>
      <c r="AA15" s="239">
        <f t="shared" si="5"/>
        <v>3.7982447668524856E-2</v>
      </c>
      <c r="AB15" s="239">
        <f t="shared" si="5"/>
        <v>3.7982447668524856E-2</v>
      </c>
      <c r="AC15" s="239">
        <f t="shared" si="5"/>
        <v>3.7982447668524856E-2</v>
      </c>
      <c r="AD15" s="239">
        <f t="shared" si="5"/>
        <v>3.7982447668524856E-2</v>
      </c>
      <c r="AE15" s="239">
        <f t="shared" si="5"/>
        <v>3.7982447668524856E-2</v>
      </c>
      <c r="AF15" s="239">
        <f t="shared" si="5"/>
        <v>3.7982447668524856E-2</v>
      </c>
      <c r="AG15" s="239">
        <f t="shared" si="5"/>
        <v>3.7982447668524856E-2</v>
      </c>
      <c r="AH15" s="239">
        <f t="shared" si="5"/>
        <v>3.7982447668524856E-2</v>
      </c>
      <c r="AI15" s="240">
        <f t="shared" si="5"/>
        <v>3.7982447668524856E-2</v>
      </c>
      <c r="AJ15" s="241">
        <f t="shared" si="1"/>
        <v>1.0000000000000007</v>
      </c>
    </row>
    <row r="16" spans="1:36" x14ac:dyDescent="0.25">
      <c r="B16" s="369"/>
      <c r="C16" s="370"/>
      <c r="D16" s="371"/>
      <c r="E16" s="242" t="s">
        <v>445</v>
      </c>
      <c r="F16" s="243">
        <f>'MC Conservação Rotina'!F133</f>
        <v>0</v>
      </c>
      <c r="G16" s="243">
        <f>'MC Conservação Rotina'!G133</f>
        <v>59810.380602153287</v>
      </c>
      <c r="H16" s="243">
        <f>'MC Conservação Rotina'!H133</f>
        <v>59810.380602153287</v>
      </c>
      <c r="I16" s="243">
        <f>'MC Conservação Rotina'!I133</f>
        <v>59810.380602153287</v>
      </c>
      <c r="J16" s="243">
        <f>'MC Conservação Rotina'!J133</f>
        <v>60217.866786205865</v>
      </c>
      <c r="K16" s="243">
        <f>'MC Conservação Rotina'!K133</f>
        <v>60217.866786205865</v>
      </c>
      <c r="L16" s="243">
        <f>'MC Conservação Rotina'!L133</f>
        <v>71064.640180644914</v>
      </c>
      <c r="M16" s="243">
        <f>'MC Conservação Rotina'!M133</f>
        <v>82405.142194294051</v>
      </c>
      <c r="N16" s="243">
        <f>'MC Conservação Rotina'!N133</f>
        <v>92266.930029739204</v>
      </c>
      <c r="O16" s="243">
        <f>'MC Conservação Rotina'!O133</f>
        <v>100700.01258020209</v>
      </c>
      <c r="P16" s="243">
        <f>'MC Conservação Rotina'!P133</f>
        <v>100700.01258020209</v>
      </c>
      <c r="Q16" s="243">
        <f>'MC Conservação Rotina'!Q133</f>
        <v>100700.01258020209</v>
      </c>
      <c r="R16" s="243">
        <f>'MC Conservação Rotina'!R133</f>
        <v>100700.01258020209</v>
      </c>
      <c r="S16" s="243">
        <f>'MC Conservação Rotina'!S133</f>
        <v>100700.01258020209</v>
      </c>
      <c r="T16" s="243">
        <f>'MC Conservação Rotina'!T133</f>
        <v>100700.01258020209</v>
      </c>
      <c r="U16" s="243">
        <f>'MC Conservação Rotina'!U133</f>
        <v>100700.01258020209</v>
      </c>
      <c r="V16" s="243">
        <f>'MC Conservação Rotina'!V133</f>
        <v>100700.01258020209</v>
      </c>
      <c r="W16" s="243">
        <f>'MC Conservação Rotina'!W133</f>
        <v>100700.01258020209</v>
      </c>
      <c r="X16" s="243">
        <f>'MC Conservação Rotina'!X133</f>
        <v>100700.01258020209</v>
      </c>
      <c r="Y16" s="243">
        <f>'MC Conservação Rotina'!Y133</f>
        <v>101292.32340278776</v>
      </c>
      <c r="Z16" s="243">
        <f>'MC Conservação Rotina'!Z133</f>
        <v>101292.32340278776</v>
      </c>
      <c r="AA16" s="243">
        <f>'MC Conservação Rotina'!AA133</f>
        <v>101292.32340278776</v>
      </c>
      <c r="AB16" s="243">
        <f>'MC Conservação Rotina'!AB133</f>
        <v>101292.32340278776</v>
      </c>
      <c r="AC16" s="243">
        <f>'MC Conservação Rotina'!AC133</f>
        <v>101292.32340278776</v>
      </c>
      <c r="AD16" s="243">
        <f>'MC Conservação Rotina'!AD133</f>
        <v>101292.32340278776</v>
      </c>
      <c r="AE16" s="243">
        <f>'MC Conservação Rotina'!AE133</f>
        <v>101292.32340278776</v>
      </c>
      <c r="AF16" s="243">
        <f>'MC Conservação Rotina'!AF133</f>
        <v>101292.32340278776</v>
      </c>
      <c r="AG16" s="243">
        <f>'MC Conservação Rotina'!AG133</f>
        <v>101292.32340278776</v>
      </c>
      <c r="AH16" s="243">
        <f>'MC Conservação Rotina'!AH133</f>
        <v>101292.32340278776</v>
      </c>
      <c r="AI16" s="243">
        <f>'MC Conservação Rotina'!AI133</f>
        <v>101292.32340278776</v>
      </c>
      <c r="AJ16" s="246">
        <f t="shared" si="1"/>
        <v>2666819.2710162355</v>
      </c>
    </row>
    <row r="17" spans="2:38" x14ac:dyDescent="0.25">
      <c r="B17" s="369" t="s">
        <v>25</v>
      </c>
      <c r="C17" s="370" t="str">
        <f>+CONCATENATE("Programa - ",'MC Conservação Rotina'!C54)</f>
        <v>Programa - FAIXA DE DOMÍNIO</v>
      </c>
      <c r="D17" s="371">
        <f>'MC Conservação Rotina'!AJ142</f>
        <v>37296703.188564613</v>
      </c>
      <c r="E17" s="237" t="s">
        <v>443</v>
      </c>
      <c r="F17" s="238">
        <f t="shared" ref="F17:AI17" si="6">+F18/$D17</f>
        <v>0</v>
      </c>
      <c r="G17" s="239">
        <f t="shared" si="6"/>
        <v>3.4076487126377057E-2</v>
      </c>
      <c r="H17" s="239">
        <f t="shared" si="6"/>
        <v>3.4076487126377057E-2</v>
      </c>
      <c r="I17" s="239">
        <f t="shared" si="6"/>
        <v>3.4076487126377057E-2</v>
      </c>
      <c r="J17" s="239">
        <f t="shared" si="6"/>
        <v>3.3960245209637314E-2</v>
      </c>
      <c r="K17" s="239">
        <f t="shared" si="6"/>
        <v>3.3960245209637314E-2</v>
      </c>
      <c r="L17" s="239">
        <f t="shared" si="6"/>
        <v>3.4083509653104811E-2</v>
      </c>
      <c r="M17" s="239">
        <f t="shared" si="6"/>
        <v>3.4266131672808266E-2</v>
      </c>
      <c r="N17" s="239">
        <f t="shared" si="6"/>
        <v>3.447282466014407E-2</v>
      </c>
      <c r="O17" s="239">
        <f t="shared" si="6"/>
        <v>3.4564834117232941E-2</v>
      </c>
      <c r="P17" s="239">
        <f t="shared" si="6"/>
        <v>3.4564834117232941E-2</v>
      </c>
      <c r="Q17" s="239">
        <f t="shared" si="6"/>
        <v>3.4564834117232941E-2</v>
      </c>
      <c r="R17" s="239">
        <f t="shared" si="6"/>
        <v>3.4564834117232941E-2</v>
      </c>
      <c r="S17" s="239">
        <f t="shared" si="6"/>
        <v>3.4564834117232941E-2</v>
      </c>
      <c r="T17" s="239">
        <f t="shared" si="6"/>
        <v>3.4564834117232941E-2</v>
      </c>
      <c r="U17" s="239">
        <f t="shared" si="6"/>
        <v>3.4564834117232941E-2</v>
      </c>
      <c r="V17" s="239">
        <f t="shared" si="6"/>
        <v>3.4564834117232941E-2</v>
      </c>
      <c r="W17" s="239">
        <f t="shared" si="6"/>
        <v>3.4564834117232941E-2</v>
      </c>
      <c r="X17" s="239">
        <f t="shared" si="6"/>
        <v>3.4564834117232941E-2</v>
      </c>
      <c r="Y17" s="239">
        <f t="shared" si="6"/>
        <v>3.467084009483707E-2</v>
      </c>
      <c r="Z17" s="239">
        <f t="shared" si="6"/>
        <v>3.467084009483707E-2</v>
      </c>
      <c r="AA17" s="239">
        <f t="shared" si="6"/>
        <v>3.467084009483707E-2</v>
      </c>
      <c r="AB17" s="239">
        <f t="shared" si="6"/>
        <v>3.467084009483707E-2</v>
      </c>
      <c r="AC17" s="239">
        <f t="shared" si="6"/>
        <v>3.467084009483707E-2</v>
      </c>
      <c r="AD17" s="239">
        <f t="shared" si="6"/>
        <v>3.467084009483707E-2</v>
      </c>
      <c r="AE17" s="239">
        <f t="shared" si="6"/>
        <v>3.467084009483707E-2</v>
      </c>
      <c r="AF17" s="239">
        <f t="shared" si="6"/>
        <v>3.467084009483707E-2</v>
      </c>
      <c r="AG17" s="239">
        <f t="shared" si="6"/>
        <v>3.467084009483707E-2</v>
      </c>
      <c r="AH17" s="239">
        <f t="shared" si="6"/>
        <v>3.467084009483707E-2</v>
      </c>
      <c r="AI17" s="240">
        <f t="shared" si="6"/>
        <v>3.467084009483707E-2</v>
      </c>
      <c r="AJ17" s="241">
        <f t="shared" si="1"/>
        <v>1.0000000000000007</v>
      </c>
    </row>
    <row r="18" spans="2:38" x14ac:dyDescent="0.25">
      <c r="B18" s="369"/>
      <c r="C18" s="370"/>
      <c r="D18" s="371"/>
      <c r="E18" s="242" t="s">
        <v>445</v>
      </c>
      <c r="F18" s="243">
        <f>'MC Conservação Rotina'!F142</f>
        <v>0</v>
      </c>
      <c r="G18" s="243">
        <f>'MC Conservação Rotina'!G142</f>
        <v>1270940.6260614281</v>
      </c>
      <c r="H18" s="243">
        <f>'MC Conservação Rotina'!H142</f>
        <v>1270940.6260614281</v>
      </c>
      <c r="I18" s="243">
        <f>'MC Conservação Rotina'!I142</f>
        <v>1270940.6260614281</v>
      </c>
      <c r="J18" s="243">
        <f>'MC Conservação Rotina'!J142</f>
        <v>1266605.1857947162</v>
      </c>
      <c r="K18" s="243">
        <f>'MC Conservação Rotina'!K142</f>
        <v>1266605.1857947162</v>
      </c>
      <c r="L18" s="243">
        <f>'MC Conservação Rotina'!L142</f>
        <v>1271202.5431564271</v>
      </c>
      <c r="M18" s="243">
        <f>'MC Conservação Rotina'!M142</f>
        <v>1278013.7424210031</v>
      </c>
      <c r="N18" s="243">
        <f>'MC Conservação Rotina'!N142</f>
        <v>1285722.7094208242</v>
      </c>
      <c r="O18" s="243">
        <f>'MC Conservação Rotina'!O142</f>
        <v>1289154.3588324087</v>
      </c>
      <c r="P18" s="243">
        <f>'MC Conservação Rotina'!P142</f>
        <v>1289154.3588324087</v>
      </c>
      <c r="Q18" s="243">
        <f>'MC Conservação Rotina'!Q142</f>
        <v>1289154.3588324087</v>
      </c>
      <c r="R18" s="243">
        <f>'MC Conservação Rotina'!R142</f>
        <v>1289154.3588324087</v>
      </c>
      <c r="S18" s="243">
        <f>'MC Conservação Rotina'!S142</f>
        <v>1289154.3588324087</v>
      </c>
      <c r="T18" s="243">
        <f>'MC Conservação Rotina'!T142</f>
        <v>1289154.3588324087</v>
      </c>
      <c r="U18" s="243">
        <f>'MC Conservação Rotina'!U142</f>
        <v>1289154.3588324087</v>
      </c>
      <c r="V18" s="243">
        <f>'MC Conservação Rotina'!V142</f>
        <v>1289154.3588324087</v>
      </c>
      <c r="W18" s="243">
        <f>'MC Conservação Rotina'!W142</f>
        <v>1289154.3588324087</v>
      </c>
      <c r="X18" s="243">
        <f>'MC Conservação Rotina'!X142</f>
        <v>1289154.3588324087</v>
      </c>
      <c r="Y18" s="243">
        <f>'MC Conservação Rotina'!Y142</f>
        <v>1293108.0323153236</v>
      </c>
      <c r="Z18" s="243">
        <f>'MC Conservação Rotina'!Z142</f>
        <v>1293108.0323153236</v>
      </c>
      <c r="AA18" s="243">
        <f>'MC Conservação Rotina'!AA142</f>
        <v>1293108.0323153236</v>
      </c>
      <c r="AB18" s="243">
        <f>'MC Conservação Rotina'!AB142</f>
        <v>1293108.0323153236</v>
      </c>
      <c r="AC18" s="243">
        <f>'MC Conservação Rotina'!AC142</f>
        <v>1293108.0323153236</v>
      </c>
      <c r="AD18" s="243">
        <f>'MC Conservação Rotina'!AD142</f>
        <v>1293108.0323153236</v>
      </c>
      <c r="AE18" s="243">
        <f>'MC Conservação Rotina'!AE142</f>
        <v>1293108.0323153236</v>
      </c>
      <c r="AF18" s="243">
        <f>'MC Conservação Rotina'!AF142</f>
        <v>1293108.0323153236</v>
      </c>
      <c r="AG18" s="243">
        <f>'MC Conservação Rotina'!AG142</f>
        <v>1293108.0323153236</v>
      </c>
      <c r="AH18" s="243">
        <f>'MC Conservação Rotina'!AH142</f>
        <v>1293108.0323153236</v>
      </c>
      <c r="AI18" s="243">
        <f>'MC Conservação Rotina'!AI142</f>
        <v>1293108.0323153236</v>
      </c>
      <c r="AJ18" s="246">
        <f t="shared" si="1"/>
        <v>37296703.188564613</v>
      </c>
    </row>
    <row r="19" spans="2:38" x14ac:dyDescent="0.25">
      <c r="B19" s="369" t="s">
        <v>27</v>
      </c>
      <c r="C19" s="370" t="str">
        <f>+CONCATENATE("Programa - ",'MC Conservação Rotina'!C62)</f>
        <v>Programa - EDIFICAÇÕES E INSTALAÇÕES OPERACIONAIS</v>
      </c>
      <c r="D19" s="371">
        <f>'MC Conservação Rotina'!AJ151</f>
        <v>1788632.403434695</v>
      </c>
      <c r="E19" s="237" t="s">
        <v>443</v>
      </c>
      <c r="F19" s="238">
        <f t="shared" ref="F19:AI19" si="7">+F20/$D19</f>
        <v>0</v>
      </c>
      <c r="G19" s="239">
        <f t="shared" si="7"/>
        <v>3.4482758620689648E-2</v>
      </c>
      <c r="H19" s="239">
        <f t="shared" si="7"/>
        <v>3.4482758620689648E-2</v>
      </c>
      <c r="I19" s="239">
        <f t="shared" si="7"/>
        <v>3.4482758620689648E-2</v>
      </c>
      <c r="J19" s="239">
        <f t="shared" si="7"/>
        <v>3.4482758620689648E-2</v>
      </c>
      <c r="K19" s="239">
        <f t="shared" si="7"/>
        <v>3.4482758620689648E-2</v>
      </c>
      <c r="L19" s="239">
        <f t="shared" si="7"/>
        <v>3.4482758620689648E-2</v>
      </c>
      <c r="M19" s="239">
        <f t="shared" si="7"/>
        <v>3.4482758620689648E-2</v>
      </c>
      <c r="N19" s="239">
        <f t="shared" si="7"/>
        <v>3.4482758620689648E-2</v>
      </c>
      <c r="O19" s="239">
        <f t="shared" si="7"/>
        <v>3.4482758620689648E-2</v>
      </c>
      <c r="P19" s="239">
        <f t="shared" si="7"/>
        <v>3.4482758620689648E-2</v>
      </c>
      <c r="Q19" s="239">
        <f t="shared" si="7"/>
        <v>3.4482758620689648E-2</v>
      </c>
      <c r="R19" s="239">
        <f t="shared" si="7"/>
        <v>3.4482758620689648E-2</v>
      </c>
      <c r="S19" s="239">
        <f t="shared" si="7"/>
        <v>3.4482758620689648E-2</v>
      </c>
      <c r="T19" s="239">
        <f t="shared" si="7"/>
        <v>3.4482758620689648E-2</v>
      </c>
      <c r="U19" s="239">
        <f t="shared" si="7"/>
        <v>3.4482758620689648E-2</v>
      </c>
      <c r="V19" s="239">
        <f t="shared" si="7"/>
        <v>3.4482758620689648E-2</v>
      </c>
      <c r="W19" s="239">
        <f t="shared" si="7"/>
        <v>3.4482758620689648E-2</v>
      </c>
      <c r="X19" s="239">
        <f t="shared" si="7"/>
        <v>3.4482758620689648E-2</v>
      </c>
      <c r="Y19" s="239">
        <f t="shared" si="7"/>
        <v>3.4482758620689648E-2</v>
      </c>
      <c r="Z19" s="239">
        <f t="shared" si="7"/>
        <v>3.4482758620689648E-2</v>
      </c>
      <c r="AA19" s="239">
        <f t="shared" si="7"/>
        <v>3.4482758620689648E-2</v>
      </c>
      <c r="AB19" s="239">
        <f t="shared" si="7"/>
        <v>3.4482758620689648E-2</v>
      </c>
      <c r="AC19" s="239">
        <f t="shared" si="7"/>
        <v>3.4482758620689648E-2</v>
      </c>
      <c r="AD19" s="239">
        <f t="shared" si="7"/>
        <v>3.4482758620689648E-2</v>
      </c>
      <c r="AE19" s="239">
        <f t="shared" si="7"/>
        <v>3.4482758620689648E-2</v>
      </c>
      <c r="AF19" s="239">
        <f t="shared" si="7"/>
        <v>3.4482758620689648E-2</v>
      </c>
      <c r="AG19" s="239">
        <f t="shared" si="7"/>
        <v>3.4482758620689648E-2</v>
      </c>
      <c r="AH19" s="239">
        <f t="shared" si="7"/>
        <v>3.4482758620689648E-2</v>
      </c>
      <c r="AI19" s="240">
        <f t="shared" si="7"/>
        <v>3.4482758620689648E-2</v>
      </c>
      <c r="AJ19" s="241">
        <f t="shared" si="1"/>
        <v>0.99999999999999944</v>
      </c>
    </row>
    <row r="20" spans="2:38" x14ac:dyDescent="0.25">
      <c r="B20" s="369"/>
      <c r="C20" s="370"/>
      <c r="D20" s="371"/>
      <c r="E20" s="242" t="s">
        <v>445</v>
      </c>
      <c r="F20" s="243">
        <f>'MC Conservação Rotina'!F151</f>
        <v>0</v>
      </c>
      <c r="G20" s="243">
        <f>'MC Conservação Rotina'!G151</f>
        <v>61676.979428782572</v>
      </c>
      <c r="H20" s="243">
        <f>'MC Conservação Rotina'!H151</f>
        <v>61676.979428782572</v>
      </c>
      <c r="I20" s="243">
        <f>'MC Conservação Rotina'!I151</f>
        <v>61676.979428782572</v>
      </c>
      <c r="J20" s="243">
        <f>'MC Conservação Rotina'!J151</f>
        <v>61676.979428782572</v>
      </c>
      <c r="K20" s="243">
        <f>'MC Conservação Rotina'!K151</f>
        <v>61676.979428782572</v>
      </c>
      <c r="L20" s="243">
        <f>'MC Conservação Rotina'!L151</f>
        <v>61676.979428782572</v>
      </c>
      <c r="M20" s="243">
        <f>'MC Conservação Rotina'!M151</f>
        <v>61676.979428782572</v>
      </c>
      <c r="N20" s="243">
        <f>'MC Conservação Rotina'!N151</f>
        <v>61676.979428782572</v>
      </c>
      <c r="O20" s="243">
        <f>'MC Conservação Rotina'!O151</f>
        <v>61676.979428782572</v>
      </c>
      <c r="P20" s="243">
        <f>'MC Conservação Rotina'!P151</f>
        <v>61676.979428782572</v>
      </c>
      <c r="Q20" s="243">
        <f>'MC Conservação Rotina'!Q151</f>
        <v>61676.979428782572</v>
      </c>
      <c r="R20" s="243">
        <f>'MC Conservação Rotina'!R151</f>
        <v>61676.979428782572</v>
      </c>
      <c r="S20" s="243">
        <f>'MC Conservação Rotina'!S151</f>
        <v>61676.979428782572</v>
      </c>
      <c r="T20" s="243">
        <f>'MC Conservação Rotina'!T151</f>
        <v>61676.979428782572</v>
      </c>
      <c r="U20" s="243">
        <f>'MC Conservação Rotina'!U151</f>
        <v>61676.979428782572</v>
      </c>
      <c r="V20" s="243">
        <f>'MC Conservação Rotina'!V151</f>
        <v>61676.979428782572</v>
      </c>
      <c r="W20" s="243">
        <f>'MC Conservação Rotina'!W151</f>
        <v>61676.979428782572</v>
      </c>
      <c r="X20" s="243">
        <f>'MC Conservação Rotina'!X151</f>
        <v>61676.979428782572</v>
      </c>
      <c r="Y20" s="243">
        <f>'MC Conservação Rotina'!Y151</f>
        <v>61676.979428782572</v>
      </c>
      <c r="Z20" s="243">
        <f>'MC Conservação Rotina'!Z151</f>
        <v>61676.979428782572</v>
      </c>
      <c r="AA20" s="243">
        <f>'MC Conservação Rotina'!AA151</f>
        <v>61676.979428782572</v>
      </c>
      <c r="AB20" s="243">
        <f>'MC Conservação Rotina'!AB151</f>
        <v>61676.979428782572</v>
      </c>
      <c r="AC20" s="243">
        <f>'MC Conservação Rotina'!AC151</f>
        <v>61676.979428782572</v>
      </c>
      <c r="AD20" s="243">
        <f>'MC Conservação Rotina'!AD151</f>
        <v>61676.979428782572</v>
      </c>
      <c r="AE20" s="243">
        <f>'MC Conservação Rotina'!AE151</f>
        <v>61676.979428782572</v>
      </c>
      <c r="AF20" s="243">
        <f>'MC Conservação Rotina'!AF151</f>
        <v>61676.979428782572</v>
      </c>
      <c r="AG20" s="243">
        <f>'MC Conservação Rotina'!AG151</f>
        <v>61676.979428782572</v>
      </c>
      <c r="AH20" s="243">
        <f>'MC Conservação Rotina'!AH151</f>
        <v>61676.979428782572</v>
      </c>
      <c r="AI20" s="243">
        <f>'MC Conservação Rotina'!AI151</f>
        <v>61676.979428782572</v>
      </c>
      <c r="AJ20" s="246">
        <f t="shared" si="1"/>
        <v>1788632.403434695</v>
      </c>
    </row>
    <row r="21" spans="2:38" x14ac:dyDescent="0.25">
      <c r="B21" s="369" t="s">
        <v>29</v>
      </c>
      <c r="C21" s="370" t="str">
        <f>+CONCATENATE("Programa - ",'MC Conservação Rotina'!C65)</f>
        <v>Programa - ILUMINAÇÃO</v>
      </c>
      <c r="D21" s="371">
        <f>'MC Conservação Rotina'!AJ160</f>
        <v>2358161.9253299828</v>
      </c>
      <c r="E21" s="237" t="s">
        <v>443</v>
      </c>
      <c r="F21" s="238">
        <f t="shared" ref="F21:AI21" si="8">+F22/$D21</f>
        <v>0</v>
      </c>
      <c r="G21" s="239">
        <f t="shared" si="8"/>
        <v>3.4482758620689669E-2</v>
      </c>
      <c r="H21" s="239">
        <f t="shared" si="8"/>
        <v>3.4482758620689669E-2</v>
      </c>
      <c r="I21" s="239">
        <f t="shared" si="8"/>
        <v>3.4482758620689669E-2</v>
      </c>
      <c r="J21" s="239">
        <f t="shared" si="8"/>
        <v>3.4482758620689669E-2</v>
      </c>
      <c r="K21" s="239">
        <f t="shared" si="8"/>
        <v>3.4482758620689669E-2</v>
      </c>
      <c r="L21" s="239">
        <f t="shared" si="8"/>
        <v>3.4482758620689669E-2</v>
      </c>
      <c r="M21" s="239">
        <f t="shared" si="8"/>
        <v>3.4482758620689669E-2</v>
      </c>
      <c r="N21" s="239">
        <f t="shared" si="8"/>
        <v>3.4482758620689669E-2</v>
      </c>
      <c r="O21" s="239">
        <f t="shared" si="8"/>
        <v>3.4482758620689669E-2</v>
      </c>
      <c r="P21" s="239">
        <f t="shared" si="8"/>
        <v>3.4482758620689669E-2</v>
      </c>
      <c r="Q21" s="239">
        <f t="shared" si="8"/>
        <v>3.4482758620689669E-2</v>
      </c>
      <c r="R21" s="239">
        <f t="shared" si="8"/>
        <v>3.4482758620689669E-2</v>
      </c>
      <c r="S21" s="239">
        <f t="shared" si="8"/>
        <v>3.4482758620689669E-2</v>
      </c>
      <c r="T21" s="239">
        <f t="shared" si="8"/>
        <v>3.4482758620689669E-2</v>
      </c>
      <c r="U21" s="239">
        <f t="shared" si="8"/>
        <v>3.4482758620689669E-2</v>
      </c>
      <c r="V21" s="239">
        <f t="shared" si="8"/>
        <v>3.4482758620689669E-2</v>
      </c>
      <c r="W21" s="239">
        <f t="shared" si="8"/>
        <v>3.4482758620689669E-2</v>
      </c>
      <c r="X21" s="239">
        <f t="shared" si="8"/>
        <v>3.4482758620689669E-2</v>
      </c>
      <c r="Y21" s="239">
        <f t="shared" si="8"/>
        <v>3.4482758620689669E-2</v>
      </c>
      <c r="Z21" s="239">
        <f t="shared" si="8"/>
        <v>3.4482758620689669E-2</v>
      </c>
      <c r="AA21" s="239">
        <f t="shared" si="8"/>
        <v>3.4482758620689669E-2</v>
      </c>
      <c r="AB21" s="239">
        <f t="shared" si="8"/>
        <v>3.4482758620689669E-2</v>
      </c>
      <c r="AC21" s="239">
        <f t="shared" si="8"/>
        <v>3.4482758620689669E-2</v>
      </c>
      <c r="AD21" s="239">
        <f t="shared" si="8"/>
        <v>3.4482758620689669E-2</v>
      </c>
      <c r="AE21" s="239">
        <f t="shared" si="8"/>
        <v>3.4482758620689669E-2</v>
      </c>
      <c r="AF21" s="239">
        <f t="shared" si="8"/>
        <v>3.4482758620689669E-2</v>
      </c>
      <c r="AG21" s="239">
        <f t="shared" si="8"/>
        <v>3.4482758620689669E-2</v>
      </c>
      <c r="AH21" s="239">
        <f t="shared" si="8"/>
        <v>3.4482758620689669E-2</v>
      </c>
      <c r="AI21" s="240">
        <f t="shared" si="8"/>
        <v>3.4482758620689669E-2</v>
      </c>
      <c r="AJ21" s="241">
        <f t="shared" si="1"/>
        <v>1.0000000000000011</v>
      </c>
    </row>
    <row r="22" spans="2:38" x14ac:dyDescent="0.25">
      <c r="B22" s="369"/>
      <c r="C22" s="370"/>
      <c r="D22" s="371"/>
      <c r="E22" s="242" t="s">
        <v>445</v>
      </c>
      <c r="F22" s="243">
        <f>'MC Conservação Rotina'!F160</f>
        <v>0</v>
      </c>
      <c r="G22" s="243">
        <f>'MC Conservação Rotina'!G160</f>
        <v>81315.928459654606</v>
      </c>
      <c r="H22" s="243">
        <f>'MC Conservação Rotina'!H160</f>
        <v>81315.928459654606</v>
      </c>
      <c r="I22" s="243">
        <f>'MC Conservação Rotina'!I160</f>
        <v>81315.928459654606</v>
      </c>
      <c r="J22" s="243">
        <f>'MC Conservação Rotina'!J160</f>
        <v>81315.928459654606</v>
      </c>
      <c r="K22" s="243">
        <f>'MC Conservação Rotina'!K160</f>
        <v>81315.928459654606</v>
      </c>
      <c r="L22" s="243">
        <f>'MC Conservação Rotina'!L160</f>
        <v>81315.928459654606</v>
      </c>
      <c r="M22" s="243">
        <f>'MC Conservação Rotina'!M160</f>
        <v>81315.928459654606</v>
      </c>
      <c r="N22" s="243">
        <f>'MC Conservação Rotina'!N160</f>
        <v>81315.928459654606</v>
      </c>
      <c r="O22" s="243">
        <f>'MC Conservação Rotina'!O160</f>
        <v>81315.928459654606</v>
      </c>
      <c r="P22" s="243">
        <f>'MC Conservação Rotina'!P160</f>
        <v>81315.928459654606</v>
      </c>
      <c r="Q22" s="243">
        <f>'MC Conservação Rotina'!Q160</f>
        <v>81315.928459654606</v>
      </c>
      <c r="R22" s="243">
        <f>'MC Conservação Rotina'!R160</f>
        <v>81315.928459654606</v>
      </c>
      <c r="S22" s="243">
        <f>'MC Conservação Rotina'!S160</f>
        <v>81315.928459654606</v>
      </c>
      <c r="T22" s="243">
        <f>'MC Conservação Rotina'!T160</f>
        <v>81315.928459654606</v>
      </c>
      <c r="U22" s="243">
        <f>'MC Conservação Rotina'!U160</f>
        <v>81315.928459654606</v>
      </c>
      <c r="V22" s="243">
        <f>'MC Conservação Rotina'!V160</f>
        <v>81315.928459654606</v>
      </c>
      <c r="W22" s="243">
        <f>'MC Conservação Rotina'!W160</f>
        <v>81315.928459654606</v>
      </c>
      <c r="X22" s="243">
        <f>'MC Conservação Rotina'!X160</f>
        <v>81315.928459654606</v>
      </c>
      <c r="Y22" s="243">
        <f>'MC Conservação Rotina'!Y160</f>
        <v>81315.928459654606</v>
      </c>
      <c r="Z22" s="243">
        <f>'MC Conservação Rotina'!Z160</f>
        <v>81315.928459654606</v>
      </c>
      <c r="AA22" s="243">
        <f>'MC Conservação Rotina'!AA160</f>
        <v>81315.928459654606</v>
      </c>
      <c r="AB22" s="243">
        <f>'MC Conservação Rotina'!AB160</f>
        <v>81315.928459654606</v>
      </c>
      <c r="AC22" s="243">
        <f>'MC Conservação Rotina'!AC160</f>
        <v>81315.928459654606</v>
      </c>
      <c r="AD22" s="243">
        <f>'MC Conservação Rotina'!AD160</f>
        <v>81315.928459654606</v>
      </c>
      <c r="AE22" s="243">
        <f>'MC Conservação Rotina'!AE160</f>
        <v>81315.928459654606</v>
      </c>
      <c r="AF22" s="243">
        <f>'MC Conservação Rotina'!AF160</f>
        <v>81315.928459654606</v>
      </c>
      <c r="AG22" s="243">
        <f>'MC Conservação Rotina'!AG160</f>
        <v>81315.928459654606</v>
      </c>
      <c r="AH22" s="243">
        <f>'MC Conservação Rotina'!AH160</f>
        <v>81315.928459654606</v>
      </c>
      <c r="AI22" s="243">
        <f>'MC Conservação Rotina'!AI160</f>
        <v>81315.928459654606</v>
      </c>
      <c r="AJ22" s="246">
        <f t="shared" si="1"/>
        <v>2358161.9253299828</v>
      </c>
      <c r="AL22" s="229"/>
    </row>
    <row r="23" spans="2:38" x14ac:dyDescent="0.25">
      <c r="B23" s="374"/>
      <c r="C23" s="370" t="s">
        <v>446</v>
      </c>
      <c r="D23" s="371">
        <f>+SUM(D7:D22)</f>
        <v>118780351.29976566</v>
      </c>
      <c r="E23" s="237" t="s">
        <v>443</v>
      </c>
      <c r="F23" s="238">
        <f t="shared" ref="F23:AI23" si="9">+F24/$D23</f>
        <v>0</v>
      </c>
      <c r="G23" s="239">
        <f t="shared" si="9"/>
        <v>2.7873595810057775E-2</v>
      </c>
      <c r="H23" s="239">
        <f t="shared" si="9"/>
        <v>2.7873595810057775E-2</v>
      </c>
      <c r="I23" s="239">
        <f t="shared" si="9"/>
        <v>2.7873595810057775E-2</v>
      </c>
      <c r="J23" s="239">
        <f t="shared" si="9"/>
        <v>2.7910103106699117E-2</v>
      </c>
      <c r="K23" s="239">
        <f t="shared" si="9"/>
        <v>2.7910103106699117E-2</v>
      </c>
      <c r="L23" s="239">
        <f t="shared" si="9"/>
        <v>3.0138442695648662E-2</v>
      </c>
      <c r="M23" s="239">
        <f t="shared" si="9"/>
        <v>3.2485089248401704E-2</v>
      </c>
      <c r="N23" s="239">
        <f t="shared" si="9"/>
        <v>3.4540786430878725E-2</v>
      </c>
      <c r="O23" s="239">
        <f t="shared" si="9"/>
        <v>3.6272060993155254E-2</v>
      </c>
      <c r="P23" s="239">
        <f t="shared" si="9"/>
        <v>3.6272060993155254E-2</v>
      </c>
      <c r="Q23" s="239">
        <f t="shared" si="9"/>
        <v>3.6272060993155254E-2</v>
      </c>
      <c r="R23" s="239">
        <f t="shared" si="9"/>
        <v>3.6272060993155254E-2</v>
      </c>
      <c r="S23" s="239">
        <f t="shared" si="9"/>
        <v>3.6272060993155254E-2</v>
      </c>
      <c r="T23" s="239">
        <f t="shared" si="9"/>
        <v>3.6272060993155254E-2</v>
      </c>
      <c r="U23" s="239">
        <f t="shared" si="9"/>
        <v>3.6272060993155254E-2</v>
      </c>
      <c r="V23" s="239">
        <f t="shared" si="9"/>
        <v>3.6272060993155254E-2</v>
      </c>
      <c r="W23" s="239">
        <f t="shared" si="9"/>
        <v>3.6272060993155254E-2</v>
      </c>
      <c r="X23" s="239">
        <f t="shared" si="9"/>
        <v>3.6272060993155254E-2</v>
      </c>
      <c r="Y23" s="239">
        <f t="shared" si="9"/>
        <v>3.6424916186358777E-2</v>
      </c>
      <c r="Z23" s="239">
        <f t="shared" si="9"/>
        <v>3.6424916186358777E-2</v>
      </c>
      <c r="AA23" s="239">
        <f t="shared" si="9"/>
        <v>3.6424916186358777E-2</v>
      </c>
      <c r="AB23" s="239">
        <f t="shared" si="9"/>
        <v>3.6424916186358777E-2</v>
      </c>
      <c r="AC23" s="239">
        <f t="shared" si="9"/>
        <v>3.6424916186358777E-2</v>
      </c>
      <c r="AD23" s="239">
        <f t="shared" si="9"/>
        <v>3.6424916186358777E-2</v>
      </c>
      <c r="AE23" s="239">
        <f t="shared" si="9"/>
        <v>3.6424916186358777E-2</v>
      </c>
      <c r="AF23" s="239">
        <f t="shared" si="9"/>
        <v>3.6424916186358777E-2</v>
      </c>
      <c r="AG23" s="239">
        <f t="shared" si="9"/>
        <v>3.6424916186358777E-2</v>
      </c>
      <c r="AH23" s="239">
        <f t="shared" si="9"/>
        <v>3.6424916186358777E-2</v>
      </c>
      <c r="AI23" s="240">
        <f t="shared" si="9"/>
        <v>3.6424916186358777E-2</v>
      </c>
      <c r="AJ23" s="241">
        <f t="shared" si="1"/>
        <v>1</v>
      </c>
      <c r="AL23" s="229"/>
    </row>
    <row r="24" spans="2:38" x14ac:dyDescent="0.25">
      <c r="B24" s="374"/>
      <c r="C24" s="370"/>
      <c r="D24" s="371"/>
      <c r="E24" s="242" t="s">
        <v>445</v>
      </c>
      <c r="F24" s="243">
        <f t="shared" ref="F24:AI24" si="10">+SUMIF($E$7:$E$22,"Valor",F7:F22)</f>
        <v>0</v>
      </c>
      <c r="G24" s="244">
        <f t="shared" si="10"/>
        <v>3310835.5023063389</v>
      </c>
      <c r="H24" s="244">
        <f t="shared" si="10"/>
        <v>3310835.5023063389</v>
      </c>
      <c r="I24" s="244">
        <f t="shared" si="10"/>
        <v>3310835.5023063389</v>
      </c>
      <c r="J24" s="244">
        <f t="shared" si="10"/>
        <v>3315171.8518264019</v>
      </c>
      <c r="K24" s="244">
        <f t="shared" si="10"/>
        <v>3315171.8518264019</v>
      </c>
      <c r="L24" s="244">
        <f t="shared" si="10"/>
        <v>3579854.8110170043</v>
      </c>
      <c r="M24" s="244">
        <f t="shared" si="10"/>
        <v>3858590.3129293951</v>
      </c>
      <c r="N24" s="244">
        <f t="shared" si="10"/>
        <v>4102766.7464299542</v>
      </c>
      <c r="O24" s="244">
        <f t="shared" si="10"/>
        <v>4308408.1471335078</v>
      </c>
      <c r="P24" s="244">
        <f t="shared" si="10"/>
        <v>4308408.1471335078</v>
      </c>
      <c r="Q24" s="244">
        <f t="shared" si="10"/>
        <v>4308408.1471335078</v>
      </c>
      <c r="R24" s="244">
        <f t="shared" si="10"/>
        <v>4308408.1471335078</v>
      </c>
      <c r="S24" s="244">
        <f t="shared" si="10"/>
        <v>4308408.1471335078</v>
      </c>
      <c r="T24" s="244">
        <f t="shared" si="10"/>
        <v>4308408.1471335078</v>
      </c>
      <c r="U24" s="244">
        <f t="shared" si="10"/>
        <v>4308408.1471335078</v>
      </c>
      <c r="V24" s="244">
        <f t="shared" si="10"/>
        <v>4308408.1471335078</v>
      </c>
      <c r="W24" s="244">
        <f t="shared" si="10"/>
        <v>4308408.1471335078</v>
      </c>
      <c r="X24" s="244">
        <f t="shared" si="10"/>
        <v>4308408.1471335078</v>
      </c>
      <c r="Y24" s="244">
        <f t="shared" si="10"/>
        <v>4326564.3406802164</v>
      </c>
      <c r="Z24" s="244">
        <f t="shared" si="10"/>
        <v>4326564.3406802164</v>
      </c>
      <c r="AA24" s="244">
        <f t="shared" si="10"/>
        <v>4326564.3406802164</v>
      </c>
      <c r="AB24" s="244">
        <f t="shared" si="10"/>
        <v>4326564.3406802164</v>
      </c>
      <c r="AC24" s="244">
        <f t="shared" si="10"/>
        <v>4326564.3406802164</v>
      </c>
      <c r="AD24" s="244">
        <f t="shared" si="10"/>
        <v>4326564.3406802164</v>
      </c>
      <c r="AE24" s="244">
        <f t="shared" si="10"/>
        <v>4326564.3406802164</v>
      </c>
      <c r="AF24" s="244">
        <f t="shared" si="10"/>
        <v>4326564.3406802164</v>
      </c>
      <c r="AG24" s="244">
        <f t="shared" si="10"/>
        <v>4326564.3406802164</v>
      </c>
      <c r="AH24" s="244">
        <f t="shared" si="10"/>
        <v>4326564.3406802164</v>
      </c>
      <c r="AI24" s="245">
        <f t="shared" si="10"/>
        <v>4326564.3406802164</v>
      </c>
      <c r="AJ24" s="246">
        <f t="shared" si="1"/>
        <v>118780351.29976557</v>
      </c>
      <c r="AL24" s="229"/>
    </row>
    <row r="25" spans="2:38" x14ac:dyDescent="0.25">
      <c r="AL25" s="229"/>
    </row>
    <row r="26" spans="2:38" x14ac:dyDescent="0.25">
      <c r="D26" s="247" t="s">
        <v>447</v>
      </c>
      <c r="F26" s="226">
        <f>+F24/'MS 112 Ext Equival'!D238</f>
        <v>0</v>
      </c>
      <c r="G26" s="226">
        <f>+G24/'MS 112 Ext Equival'!E238</f>
        <v>28307.820468597129</v>
      </c>
      <c r="H26" s="226">
        <f>+H24/'MS 112 Ext Equival'!F238</f>
        <v>28307.820468597129</v>
      </c>
      <c r="I26" s="226">
        <f>+I24/'MS 112 Ext Equival'!G238</f>
        <v>28307.820468597129</v>
      </c>
      <c r="J26" s="226">
        <f>+J24/'MS 112 Ext Equival'!H238</f>
        <v>28522.718925912759</v>
      </c>
      <c r="K26" s="226">
        <f>+K24/'MS 112 Ext Equival'!I238</f>
        <v>28522.718925912759</v>
      </c>
      <c r="L26" s="226">
        <f>+L24/'MS 112 Ext Equival'!J238</f>
        <v>26046.697226820124</v>
      </c>
      <c r="M26" s="226">
        <f>+M24/'MS 112 Ext Equival'!K238</f>
        <v>24174.198088174209</v>
      </c>
      <c r="N26" s="226">
        <f>+N24/'MS 112 Ext Equival'!L238</f>
        <v>22933.213724964171</v>
      </c>
      <c r="O26" s="226">
        <f>+O24/'MS 112 Ext Equival'!M238</f>
        <v>22050.1402806427</v>
      </c>
      <c r="P26" s="226">
        <f>+P24/'MS 112 Ext Equival'!N238</f>
        <v>22050.1402806427</v>
      </c>
      <c r="Q26" s="226">
        <f>+Q24/'MS 112 Ext Equival'!O238</f>
        <v>22050.1402806427</v>
      </c>
      <c r="R26" s="226">
        <f>+R24/'MS 112 Ext Equival'!P238</f>
        <v>22050.1402806427</v>
      </c>
      <c r="S26" s="226">
        <f>+S24/'MS 112 Ext Equival'!Q238</f>
        <v>22050.1402806427</v>
      </c>
      <c r="T26" s="226">
        <f>+T24/'MS 112 Ext Equival'!R238</f>
        <v>22050.1402806427</v>
      </c>
      <c r="U26" s="226">
        <f>+U24/'MS 112 Ext Equival'!S238</f>
        <v>22050.1402806427</v>
      </c>
      <c r="V26" s="226">
        <f>+V24/'MS 112 Ext Equival'!T238</f>
        <v>22050.1402806427</v>
      </c>
      <c r="W26" s="226">
        <f>+W24/'MS 112 Ext Equival'!U238</f>
        <v>22050.1402806427</v>
      </c>
      <c r="X26" s="226">
        <f>+X24/'MS 112 Ext Equival'!V238</f>
        <v>22050.1402806427</v>
      </c>
      <c r="Y26" s="226">
        <f>+Y24/'MS 112 Ext Equival'!W238</f>
        <v>22012.574728573716</v>
      </c>
      <c r="Z26" s="226">
        <f>+Z24/'MS 112 Ext Equival'!X238</f>
        <v>22012.574728573716</v>
      </c>
      <c r="AA26" s="226">
        <f>+AA24/'MS 112 Ext Equival'!Y238</f>
        <v>22012.574728573716</v>
      </c>
      <c r="AB26" s="226">
        <f>+AB24/'MS 112 Ext Equival'!Z238</f>
        <v>22012.574728573716</v>
      </c>
      <c r="AC26" s="226">
        <f>+AC24/'MS 112 Ext Equival'!AA238</f>
        <v>22012.574728573716</v>
      </c>
      <c r="AD26" s="226">
        <f>+AD24/'MS 112 Ext Equival'!AB238</f>
        <v>22012.574728573716</v>
      </c>
      <c r="AE26" s="226">
        <f>+AE24/'MS 112 Ext Equival'!AC238</f>
        <v>22012.574728573716</v>
      </c>
      <c r="AF26" s="226">
        <f>+AF24/'MS 112 Ext Equival'!AD238</f>
        <v>22012.574728573716</v>
      </c>
      <c r="AG26" s="226">
        <f>+AG24/'MS 112 Ext Equival'!AE238</f>
        <v>22012.574728573716</v>
      </c>
      <c r="AH26" s="226">
        <f>+AH24/'MS 112 Ext Equival'!AF238</f>
        <v>22012.574728573716</v>
      </c>
      <c r="AI26" s="226">
        <f>+AI24/'MS 112 Ext Equival'!AG238</f>
        <v>22012.574728573716</v>
      </c>
      <c r="AJ26" s="226"/>
      <c r="AL26" s="229"/>
    </row>
    <row r="27" spans="2:38" x14ac:dyDescent="0.25"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L27" s="229"/>
    </row>
    <row r="28" spans="2:38" x14ac:dyDescent="0.25">
      <c r="D28" s="247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L28" s="229"/>
    </row>
    <row r="29" spans="2:38" x14ac:dyDescent="0.25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L29" s="229"/>
    </row>
  </sheetData>
  <mergeCells count="60">
    <mergeCell ref="B23:B24"/>
    <mergeCell ref="C23:C24"/>
    <mergeCell ref="D23:D24"/>
    <mergeCell ref="F4:F5"/>
    <mergeCell ref="G4:G5"/>
    <mergeCell ref="B13:B14"/>
    <mergeCell ref="C13:C14"/>
    <mergeCell ref="D13:D14"/>
    <mergeCell ref="B9:B10"/>
    <mergeCell ref="C9:C10"/>
    <mergeCell ref="D9:D10"/>
    <mergeCell ref="B4:B5"/>
    <mergeCell ref="C4:C5"/>
    <mergeCell ref="H4:H5"/>
    <mergeCell ref="B19:B20"/>
    <mergeCell ref="C19:C20"/>
    <mergeCell ref="D19:D20"/>
    <mergeCell ref="B21:B22"/>
    <mergeCell ref="C21:C22"/>
    <mergeCell ref="D21:D22"/>
    <mergeCell ref="B15:B16"/>
    <mergeCell ref="C15:C16"/>
    <mergeCell ref="D15:D16"/>
    <mergeCell ref="B17:B18"/>
    <mergeCell ref="C17:C18"/>
    <mergeCell ref="D17:D18"/>
    <mergeCell ref="B11:B12"/>
    <mergeCell ref="C11:C12"/>
    <mergeCell ref="D11:D12"/>
    <mergeCell ref="AH4:AH5"/>
    <mergeCell ref="AI4:AI5"/>
    <mergeCell ref="AJ4:AJ5"/>
    <mergeCell ref="B7:B8"/>
    <mergeCell ref="C7:C8"/>
    <mergeCell ref="D7:D8"/>
    <mergeCell ref="I4:I5"/>
    <mergeCell ref="J4:J5"/>
    <mergeCell ref="K4:K5"/>
    <mergeCell ref="AB4:AB5"/>
    <mergeCell ref="AC4:AC5"/>
    <mergeCell ref="AD4:AD5"/>
    <mergeCell ref="AE4:AE5"/>
    <mergeCell ref="AF4:AF5"/>
    <mergeCell ref="AG4:AG5"/>
    <mergeCell ref="V4:V5"/>
    <mergeCell ref="W4:W5"/>
    <mergeCell ref="X4:X5"/>
    <mergeCell ref="Y4:Y5"/>
    <mergeCell ref="Z4:Z5"/>
    <mergeCell ref="AA4:AA5"/>
    <mergeCell ref="U4:U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511811024" right="0.511811024" top="0.78740157499999996" bottom="0.78740157499999996" header="0.31496062000000002" footer="0.31496062000000002"/>
  <ignoredErrors>
    <ignoredError sqref="F8:AI8 F10:AI10 F12:AI12 F14:AI14 F16:AI16 F18:AI18 F20:AI20 F22:AI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5F694-2A6B-42C4-B292-52F3C6482F6A}">
  <sheetPr>
    <tabColor theme="9" tint="0.59999389629810485"/>
    <pageSetUpPr fitToPage="1"/>
  </sheetPr>
  <dimension ref="A1:AM181"/>
  <sheetViews>
    <sheetView showGridLines="0" zoomScale="80" zoomScaleNormal="80" zoomScaleSheetLayoutView="100" workbookViewId="0"/>
  </sheetViews>
  <sheetFormatPr defaultColWidth="10" defaultRowHeight="13.8" outlineLevelCol="1" x14ac:dyDescent="0.25"/>
  <cols>
    <col min="1" max="1" width="4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5" style="1" bestFit="1" customWidth="1"/>
    <col min="39" max="16384" width="10" style="1"/>
  </cols>
  <sheetData>
    <row r="1" spans="1:38" ht="18" x14ac:dyDescent="0.25">
      <c r="A1" s="281"/>
      <c r="B1" s="164"/>
      <c r="C1" s="50" t="s">
        <v>0</v>
      </c>
      <c r="D1" s="50" t="s">
        <v>1</v>
      </c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6"/>
    </row>
    <row r="2" spans="1:38" ht="15" x14ac:dyDescent="0.25">
      <c r="B2" s="167"/>
      <c r="C2" s="272" t="s">
        <v>309</v>
      </c>
      <c r="D2" s="273" t="s">
        <v>124</v>
      </c>
      <c r="E2" s="274" t="s">
        <v>1048</v>
      </c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168"/>
    </row>
    <row r="3" spans="1:38" x14ac:dyDescent="0.25">
      <c r="B3" s="56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275"/>
      <c r="O3" s="275"/>
      <c r="P3" s="58"/>
      <c r="Q3" s="58"/>
      <c r="R3" s="58"/>
      <c r="S3" s="58"/>
      <c r="T3" s="275"/>
      <c r="U3" s="275"/>
      <c r="V3" s="275"/>
      <c r="W3" s="58"/>
      <c r="X3" s="58"/>
      <c r="Y3" s="58"/>
      <c r="Z3" s="58"/>
      <c r="AA3" s="58"/>
      <c r="AB3" s="275"/>
      <c r="AC3" s="275"/>
      <c r="AD3" s="58"/>
      <c r="AE3" s="58"/>
      <c r="AF3" s="58"/>
      <c r="AG3" s="275"/>
      <c r="AH3" s="58"/>
      <c r="AI3" s="58"/>
      <c r="AJ3" s="225"/>
    </row>
    <row r="4" spans="1:38" ht="26.4" x14ac:dyDescent="0.25">
      <c r="B4" s="379" t="s">
        <v>128</v>
      </c>
      <c r="C4" s="379"/>
      <c r="D4" s="271" t="s">
        <v>5</v>
      </c>
      <c r="E4" s="271" t="s">
        <v>310</v>
      </c>
      <c r="F4" s="268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70"/>
    </row>
    <row r="5" spans="1:38" ht="21" customHeight="1" x14ac:dyDescent="0.25">
      <c r="B5" s="64" t="s">
        <v>133</v>
      </c>
      <c r="C5" s="65" t="s">
        <v>134</v>
      </c>
      <c r="D5" s="65"/>
      <c r="E5" s="162" t="s">
        <v>311</v>
      </c>
      <c r="F5" s="162" t="s">
        <v>222</v>
      </c>
      <c r="G5" s="162" t="s">
        <v>223</v>
      </c>
      <c r="H5" s="162" t="s">
        <v>224</v>
      </c>
      <c r="I5" s="162" t="s">
        <v>225</v>
      </c>
      <c r="J5" s="162" t="s">
        <v>226</v>
      </c>
      <c r="K5" s="162" t="s">
        <v>227</v>
      </c>
      <c r="L5" s="227" t="s">
        <v>228</v>
      </c>
      <c r="M5" s="227" t="s">
        <v>229</v>
      </c>
      <c r="N5" s="227" t="s">
        <v>230</v>
      </c>
      <c r="O5" s="227" t="s">
        <v>231</v>
      </c>
      <c r="P5" s="227" t="s">
        <v>232</v>
      </c>
      <c r="Q5" s="227" t="s">
        <v>233</v>
      </c>
      <c r="R5" s="227" t="s">
        <v>234</v>
      </c>
      <c r="S5" s="227" t="s">
        <v>235</v>
      </c>
      <c r="T5" s="227" t="s">
        <v>236</v>
      </c>
      <c r="U5" s="227" t="s">
        <v>237</v>
      </c>
      <c r="V5" s="227" t="s">
        <v>238</v>
      </c>
      <c r="W5" s="227" t="s">
        <v>239</v>
      </c>
      <c r="X5" s="227" t="s">
        <v>240</v>
      </c>
      <c r="Y5" s="227" t="s">
        <v>241</v>
      </c>
      <c r="Z5" s="227" t="s">
        <v>242</v>
      </c>
      <c r="AA5" s="227" t="s">
        <v>243</v>
      </c>
      <c r="AB5" s="227" t="s">
        <v>244</v>
      </c>
      <c r="AC5" s="227" t="s">
        <v>245</v>
      </c>
      <c r="AD5" s="227" t="s">
        <v>246</v>
      </c>
      <c r="AE5" s="227" t="s">
        <v>247</v>
      </c>
      <c r="AF5" s="227" t="s">
        <v>248</v>
      </c>
      <c r="AG5" s="227" t="s">
        <v>249</v>
      </c>
      <c r="AH5" s="227" t="s">
        <v>250</v>
      </c>
      <c r="AI5" s="227" t="s">
        <v>251</v>
      </c>
      <c r="AJ5" s="228" t="s">
        <v>312</v>
      </c>
    </row>
    <row r="6" spans="1:38" x14ac:dyDescent="0.25">
      <c r="B6" s="61"/>
      <c r="C6" s="66" t="s">
        <v>136</v>
      </c>
      <c r="D6" s="66"/>
      <c r="E6" s="93"/>
      <c r="F6" s="169">
        <f t="shared" ref="F6:AH6" si="0">+SUBTOTAL(9,F7:F20)</f>
        <v>0</v>
      </c>
      <c r="G6" s="169">
        <f t="shared" si="0"/>
        <v>892117.96349720471</v>
      </c>
      <c r="H6" s="169">
        <f t="shared" si="0"/>
        <v>892117.96349720471</v>
      </c>
      <c r="I6" s="169">
        <f t="shared" si="0"/>
        <v>892117.96349720471</v>
      </c>
      <c r="J6" s="169">
        <f t="shared" si="0"/>
        <v>896925.07380204101</v>
      </c>
      <c r="K6" s="169">
        <f t="shared" si="0"/>
        <v>896925.07380204101</v>
      </c>
      <c r="L6" s="169">
        <f t="shared" si="0"/>
        <v>1046775.3935086138</v>
      </c>
      <c r="M6" s="169">
        <f t="shared" si="0"/>
        <v>1203446.6717386546</v>
      </c>
      <c r="N6" s="169">
        <f t="shared" si="0"/>
        <v>1339689.2211384138</v>
      </c>
      <c r="O6" s="169">
        <f t="shared" si="0"/>
        <v>1456193.9244584502</v>
      </c>
      <c r="P6" s="169">
        <f t="shared" si="0"/>
        <v>1456193.9244584502</v>
      </c>
      <c r="Q6" s="169">
        <f t="shared" si="0"/>
        <v>1456193.9244584502</v>
      </c>
      <c r="R6" s="169">
        <f t="shared" si="0"/>
        <v>1456193.9244584502</v>
      </c>
      <c r="S6" s="169">
        <f t="shared" si="0"/>
        <v>1456193.9244584502</v>
      </c>
      <c r="T6" s="169">
        <f t="shared" si="0"/>
        <v>1456193.9244584502</v>
      </c>
      <c r="U6" s="169">
        <f t="shared" si="0"/>
        <v>1456193.9244584502</v>
      </c>
      <c r="V6" s="169">
        <f t="shared" si="0"/>
        <v>1456193.9244584502</v>
      </c>
      <c r="W6" s="169">
        <f t="shared" si="0"/>
        <v>1456193.9244584502</v>
      </c>
      <c r="X6" s="169">
        <f t="shared" si="0"/>
        <v>1456193.9244584502</v>
      </c>
      <c r="Y6" s="169">
        <f t="shared" si="0"/>
        <v>1464376.8156190256</v>
      </c>
      <c r="Z6" s="169">
        <f t="shared" si="0"/>
        <v>1464376.8156190256</v>
      </c>
      <c r="AA6" s="169">
        <f t="shared" si="0"/>
        <v>1464376.8156190256</v>
      </c>
      <c r="AB6" s="169">
        <f t="shared" si="0"/>
        <v>1464376.8156190256</v>
      </c>
      <c r="AC6" s="169">
        <f t="shared" si="0"/>
        <v>1464376.8156190256</v>
      </c>
      <c r="AD6" s="169">
        <f t="shared" si="0"/>
        <v>1464376.8156190256</v>
      </c>
      <c r="AE6" s="169">
        <f t="shared" si="0"/>
        <v>1464376.8156190256</v>
      </c>
      <c r="AF6" s="169">
        <f t="shared" si="0"/>
        <v>1464376.8156190256</v>
      </c>
      <c r="AG6" s="169">
        <f t="shared" si="0"/>
        <v>1464376.8156190256</v>
      </c>
      <c r="AH6" s="169">
        <f t="shared" si="0"/>
        <v>1464376.8156190256</v>
      </c>
      <c r="AI6" s="169">
        <f>+SUBTOTAL(9,AI7:AI20)</f>
        <v>1464376.8156190256</v>
      </c>
      <c r="AJ6" s="170">
        <f t="shared" ref="AJ6:AJ51" si="1">+SUM(F6:AI6)</f>
        <v>38730199.540875174</v>
      </c>
      <c r="AK6" s="4"/>
      <c r="AL6" s="4"/>
    </row>
    <row r="7" spans="1:38" x14ac:dyDescent="0.25">
      <c r="B7" s="77"/>
      <c r="C7" s="68" t="s">
        <v>137</v>
      </c>
      <c r="D7" s="68"/>
      <c r="E7" s="69"/>
      <c r="F7" s="171">
        <f>+SUBTOTAL(9,F8:F15)</f>
        <v>0</v>
      </c>
      <c r="G7" s="172">
        <f t="shared" ref="G7:AI7" si="2">+SUBTOTAL(9,G8:G15)</f>
        <v>370975.11729999993</v>
      </c>
      <c r="H7" s="172">
        <f t="shared" si="2"/>
        <v>370975.11729999993</v>
      </c>
      <c r="I7" s="172">
        <f t="shared" si="2"/>
        <v>370975.11729999993</v>
      </c>
      <c r="J7" s="172">
        <f t="shared" si="2"/>
        <v>372231.69828859996</v>
      </c>
      <c r="K7" s="172">
        <f t="shared" si="2"/>
        <v>372231.69828859996</v>
      </c>
      <c r="L7" s="172">
        <f t="shared" si="2"/>
        <v>427571.36111714994</v>
      </c>
      <c r="M7" s="172">
        <f t="shared" si="2"/>
        <v>485430.00118642498</v>
      </c>
      <c r="N7" s="172">
        <f t="shared" si="2"/>
        <v>535744.319910925</v>
      </c>
      <c r="O7" s="172">
        <f t="shared" si="2"/>
        <v>578769.46001269994</v>
      </c>
      <c r="P7" s="172">
        <f t="shared" si="2"/>
        <v>578769.46001269994</v>
      </c>
      <c r="Q7" s="172">
        <f t="shared" si="2"/>
        <v>578769.46001269994</v>
      </c>
      <c r="R7" s="172">
        <f t="shared" si="2"/>
        <v>578769.46001269994</v>
      </c>
      <c r="S7" s="172">
        <f t="shared" si="2"/>
        <v>578769.46001269994</v>
      </c>
      <c r="T7" s="172">
        <f t="shared" si="2"/>
        <v>578769.46001269994</v>
      </c>
      <c r="U7" s="172">
        <f t="shared" si="2"/>
        <v>578769.46001269994</v>
      </c>
      <c r="V7" s="172">
        <f t="shared" si="2"/>
        <v>578769.46001269994</v>
      </c>
      <c r="W7" s="172">
        <f t="shared" si="2"/>
        <v>578769.46001269994</v>
      </c>
      <c r="X7" s="172">
        <f t="shared" si="2"/>
        <v>578769.46001269994</v>
      </c>
      <c r="Y7" s="172">
        <f t="shared" si="2"/>
        <v>581791.39842881868</v>
      </c>
      <c r="Z7" s="172">
        <f t="shared" si="2"/>
        <v>581791.39842881868</v>
      </c>
      <c r="AA7" s="172">
        <f t="shared" si="2"/>
        <v>581791.39842881868</v>
      </c>
      <c r="AB7" s="172">
        <f t="shared" si="2"/>
        <v>581791.39842881868</v>
      </c>
      <c r="AC7" s="172">
        <f t="shared" si="2"/>
        <v>581791.39842881868</v>
      </c>
      <c r="AD7" s="172">
        <f t="shared" si="2"/>
        <v>581791.39842881868</v>
      </c>
      <c r="AE7" s="172">
        <f t="shared" si="2"/>
        <v>581791.39842881868</v>
      </c>
      <c r="AF7" s="172">
        <f t="shared" si="2"/>
        <v>581791.39842881868</v>
      </c>
      <c r="AG7" s="172">
        <f t="shared" si="2"/>
        <v>581791.39842881868</v>
      </c>
      <c r="AH7" s="172">
        <f t="shared" si="2"/>
        <v>581791.39842881868</v>
      </c>
      <c r="AI7" s="172">
        <f t="shared" si="2"/>
        <v>581791.39842881868</v>
      </c>
      <c r="AJ7" s="172">
        <f t="shared" si="1"/>
        <v>15493534.413535703</v>
      </c>
    </row>
    <row r="8" spans="1:38" x14ac:dyDescent="0.25">
      <c r="B8" s="173">
        <v>4915757</v>
      </c>
      <c r="C8" s="174" t="s">
        <v>138</v>
      </c>
      <c r="D8" s="71" t="s">
        <v>313</v>
      </c>
      <c r="E8" s="104">
        <f>'Preços Unitários'!D8</f>
        <v>375.87</v>
      </c>
      <c r="F8" s="98">
        <f>$E$8*Quantidades!F9</f>
        <v>0</v>
      </c>
      <c r="G8" s="104">
        <f>$E$8*Quantidades!G9</f>
        <v>43961.128749999996</v>
      </c>
      <c r="H8" s="104">
        <f>$E$8*Quantidades!H9</f>
        <v>43961.128749999996</v>
      </c>
      <c r="I8" s="104">
        <f>$E$8*Quantidades!I9</f>
        <v>43961.128749999996</v>
      </c>
      <c r="J8" s="104">
        <f>$E$8*Quantidades!J9</f>
        <v>44260.634494999998</v>
      </c>
      <c r="K8" s="104">
        <f>$E$8*Quantidades!K9</f>
        <v>44260.634494999998</v>
      </c>
      <c r="L8" s="104">
        <f>$E$8*Quantidades!L9</f>
        <v>52233.103436250007</v>
      </c>
      <c r="M8" s="104">
        <f>$E$8*Quantidades!M9</f>
        <v>60568.467031875007</v>
      </c>
      <c r="N8" s="104">
        <f>$E$8*Quantidades!N9</f>
        <v>67816.963369375007</v>
      </c>
      <c r="O8" s="104">
        <f>$E$8*Quantidades!O9</f>
        <v>74015.349402499996</v>
      </c>
      <c r="P8" s="104">
        <f>$E$8*Quantidades!P9</f>
        <v>74015.349402499996</v>
      </c>
      <c r="Q8" s="104">
        <f>$E$8*Quantidades!Q9</f>
        <v>74015.349402499996</v>
      </c>
      <c r="R8" s="104">
        <f>$E$8*Quantidades!R9</f>
        <v>74015.349402499996</v>
      </c>
      <c r="S8" s="104">
        <f>$E$8*Quantidades!S9</f>
        <v>74015.349402499996</v>
      </c>
      <c r="T8" s="104">
        <f>$E$8*Quantidades!T9</f>
        <v>74015.349402499996</v>
      </c>
      <c r="U8" s="104">
        <f>$E$8*Quantidades!U9</f>
        <v>74015.349402499996</v>
      </c>
      <c r="V8" s="104">
        <f>$E$8*Quantidades!V9</f>
        <v>74015.349402499996</v>
      </c>
      <c r="W8" s="104">
        <f>$E$8*Quantidades!W9</f>
        <v>74015.349402499996</v>
      </c>
      <c r="X8" s="104">
        <f>$E$8*Quantidades!X9</f>
        <v>74015.349402499996</v>
      </c>
      <c r="Y8" s="104">
        <f>$E$8*Quantidades!Y9</f>
        <v>74450.702798842845</v>
      </c>
      <c r="Z8" s="104">
        <f>$E$8*Quantidades!Z9</f>
        <v>74450.702798842845</v>
      </c>
      <c r="AA8" s="104">
        <f>$E$8*Quantidades!AA9</f>
        <v>74450.702798842845</v>
      </c>
      <c r="AB8" s="104">
        <f>$E$8*Quantidades!AB9</f>
        <v>74450.702798842845</v>
      </c>
      <c r="AC8" s="104">
        <f>$E$8*Quantidades!AC9</f>
        <v>74450.702798842845</v>
      </c>
      <c r="AD8" s="104">
        <f>$E$8*Quantidades!AD9</f>
        <v>74450.702798842845</v>
      </c>
      <c r="AE8" s="104">
        <f>$E$8*Quantidades!AE9</f>
        <v>74450.702798842845</v>
      </c>
      <c r="AF8" s="104">
        <f>$E$8*Quantidades!AF9</f>
        <v>74450.702798842845</v>
      </c>
      <c r="AG8" s="104">
        <f>$E$8*Quantidades!AG9</f>
        <v>74450.702798842845</v>
      </c>
      <c r="AH8" s="104">
        <f>$E$8*Quantidades!AH9</f>
        <v>74450.702798842845</v>
      </c>
      <c r="AI8" s="104">
        <f>$E$8*Quantidades!AI9</f>
        <v>74450.702798842845</v>
      </c>
      <c r="AJ8" s="104">
        <f t="shared" si="1"/>
        <v>1960134.413889772</v>
      </c>
      <c r="AK8" s="4"/>
    </row>
    <row r="9" spans="1:38" x14ac:dyDescent="0.25">
      <c r="B9" s="173">
        <v>4011480</v>
      </c>
      <c r="C9" s="174" t="s">
        <v>140</v>
      </c>
      <c r="D9" s="71" t="s">
        <v>313</v>
      </c>
      <c r="E9" s="104">
        <f>'Preços Unitários'!D9</f>
        <v>91.12</v>
      </c>
      <c r="F9" s="98">
        <f>$E$9*Quantidades!F10</f>
        <v>0</v>
      </c>
      <c r="G9" s="104">
        <f>$E$9*Quantidades!G10</f>
        <v>22380.211000000003</v>
      </c>
      <c r="H9" s="104">
        <f>$E$9*Quantidades!H10</f>
        <v>22380.211000000003</v>
      </c>
      <c r="I9" s="104">
        <f>$E$9*Quantidades!I10</f>
        <v>22380.211000000003</v>
      </c>
      <c r="J9" s="104">
        <f>$E$9*Quantidades!J10</f>
        <v>22532.686652</v>
      </c>
      <c r="K9" s="104">
        <f>$E$9*Quantidades!K10</f>
        <v>22532.686652</v>
      </c>
      <c r="L9" s="104">
        <f>$E$9*Quantidades!L10</f>
        <v>26591.398113000003</v>
      </c>
      <c r="M9" s="104">
        <f>$E$9*Quantidades!M10</f>
        <v>30834.855943500002</v>
      </c>
      <c r="N9" s="104">
        <f>$E$9*Quantidades!N10</f>
        <v>34524.999533500006</v>
      </c>
      <c r="O9" s="104">
        <f>$E$9*Quantidades!O10</f>
        <v>37680.541514000004</v>
      </c>
      <c r="P9" s="104">
        <f>$E$9*Quantidades!P10</f>
        <v>37680.541514000004</v>
      </c>
      <c r="Q9" s="104">
        <f>$E$9*Quantidades!Q10</f>
        <v>37680.541514000004</v>
      </c>
      <c r="R9" s="104">
        <f>$E$9*Quantidades!R10</f>
        <v>37680.541514000004</v>
      </c>
      <c r="S9" s="104">
        <f>$E$9*Quantidades!S10</f>
        <v>37680.541514000004</v>
      </c>
      <c r="T9" s="104">
        <f>$E$9*Quantidades!T10</f>
        <v>37680.541514000004</v>
      </c>
      <c r="U9" s="104">
        <f>$E$9*Quantidades!U10</f>
        <v>37680.541514000004</v>
      </c>
      <c r="V9" s="104">
        <f>$E$9*Quantidades!V10</f>
        <v>37680.541514000004</v>
      </c>
      <c r="W9" s="104">
        <f>$E$9*Quantidades!W10</f>
        <v>37680.541514000004</v>
      </c>
      <c r="X9" s="104">
        <f>$E$9*Quantidades!X10</f>
        <v>37680.541514000004</v>
      </c>
      <c r="Y9" s="104">
        <f>$E$9*Quantidades!Y10</f>
        <v>37902.17597032</v>
      </c>
      <c r="Z9" s="104">
        <f>$E$9*Quantidades!Z10</f>
        <v>37902.17597032</v>
      </c>
      <c r="AA9" s="104">
        <f>$E$9*Quantidades!AA10</f>
        <v>37902.17597032</v>
      </c>
      <c r="AB9" s="104">
        <f>$E$9*Quantidades!AB10</f>
        <v>37902.17597032</v>
      </c>
      <c r="AC9" s="104">
        <f>$E$9*Quantidades!AC10</f>
        <v>37902.17597032</v>
      </c>
      <c r="AD9" s="104">
        <f>$E$9*Quantidades!AD10</f>
        <v>37902.17597032</v>
      </c>
      <c r="AE9" s="104">
        <f>$E$9*Quantidades!AE10</f>
        <v>37902.17597032</v>
      </c>
      <c r="AF9" s="104">
        <f>$E$9*Quantidades!AF10</f>
        <v>37902.17597032</v>
      </c>
      <c r="AG9" s="104">
        <f>$E$9*Quantidades!AG10</f>
        <v>37902.17597032</v>
      </c>
      <c r="AH9" s="104">
        <f>$E$9*Quantidades!AH10</f>
        <v>37902.17597032</v>
      </c>
      <c r="AI9" s="104">
        <f>$E$9*Quantidades!AI10</f>
        <v>37902.17597032</v>
      </c>
      <c r="AJ9" s="104">
        <f t="shared" si="1"/>
        <v>997886.61070752004</v>
      </c>
      <c r="AK9" s="4"/>
    </row>
    <row r="10" spans="1:38" x14ac:dyDescent="0.25">
      <c r="B10" s="173">
        <v>4011353</v>
      </c>
      <c r="C10" s="174" t="s">
        <v>141</v>
      </c>
      <c r="D10" s="71" t="s">
        <v>54</v>
      </c>
      <c r="E10" s="104">
        <f>'Preços Unitários'!D10</f>
        <v>0.24</v>
      </c>
      <c r="F10" s="98">
        <f>$E$10*Quantidades!F11</f>
        <v>0</v>
      </c>
      <c r="G10" s="104">
        <f>$E$10*Quantidades!G11</f>
        <v>1964.8999999999999</v>
      </c>
      <c r="H10" s="104">
        <f>$E$10*Quantidades!H11</f>
        <v>1964.8999999999999</v>
      </c>
      <c r="I10" s="104">
        <f>$E$10*Quantidades!I11</f>
        <v>1964.8999999999999</v>
      </c>
      <c r="J10" s="104">
        <f>$E$10*Quantidades!J11</f>
        <v>1978.2868000000001</v>
      </c>
      <c r="K10" s="104">
        <f>$E$10*Quantidades!K11</f>
        <v>1978.2868000000001</v>
      </c>
      <c r="L10" s="104">
        <f>$E$10*Quantidades!L11</f>
        <v>2334.6266999999998</v>
      </c>
      <c r="M10" s="104">
        <f>$E$10*Quantidades!M11</f>
        <v>2707.1866500000001</v>
      </c>
      <c r="N10" s="104">
        <f>$E$10*Quantidades!N11</f>
        <v>3031.1676500000003</v>
      </c>
      <c r="O10" s="104">
        <f>$E$10*Quantidades!O11</f>
        <v>3308.2125999999998</v>
      </c>
      <c r="P10" s="104">
        <f>$E$10*Quantidades!P11</f>
        <v>3308.2125999999998</v>
      </c>
      <c r="Q10" s="104">
        <f>$E$10*Quantidades!Q11</f>
        <v>3308.2125999999998</v>
      </c>
      <c r="R10" s="104">
        <f>$E$10*Quantidades!R11</f>
        <v>3308.2125999999998</v>
      </c>
      <c r="S10" s="104">
        <f>$E$10*Quantidades!S11</f>
        <v>3308.2125999999998</v>
      </c>
      <c r="T10" s="104">
        <f>$E$10*Quantidades!T11</f>
        <v>3308.2125999999998</v>
      </c>
      <c r="U10" s="104">
        <f>$E$10*Quantidades!U11</f>
        <v>3308.2125999999998</v>
      </c>
      <c r="V10" s="104">
        <f>$E$10*Quantidades!V11</f>
        <v>3308.2125999999998</v>
      </c>
      <c r="W10" s="104">
        <f>$E$10*Quantidades!W11</f>
        <v>3308.2125999999998</v>
      </c>
      <c r="X10" s="104">
        <f>$E$10*Quantidades!X11</f>
        <v>3308.2125999999998</v>
      </c>
      <c r="Y10" s="104">
        <f>$E$10*Quantidades!Y11</f>
        <v>3327.6712879999995</v>
      </c>
      <c r="Z10" s="104">
        <f>$E$10*Quantidades!Z11</f>
        <v>3327.6712879999995</v>
      </c>
      <c r="AA10" s="104">
        <f>$E$10*Quantidades!AA11</f>
        <v>3327.6712879999995</v>
      </c>
      <c r="AB10" s="104">
        <f>$E$10*Quantidades!AB11</f>
        <v>3327.6712879999995</v>
      </c>
      <c r="AC10" s="104">
        <f>$E$10*Quantidades!AC11</f>
        <v>3327.6712879999995</v>
      </c>
      <c r="AD10" s="104">
        <f>$E$10*Quantidades!AD11</f>
        <v>3327.6712879999995</v>
      </c>
      <c r="AE10" s="104">
        <f>$E$10*Quantidades!AE11</f>
        <v>3327.6712879999995</v>
      </c>
      <c r="AF10" s="104">
        <f>$E$10*Quantidades!AF11</f>
        <v>3327.6712879999995</v>
      </c>
      <c r="AG10" s="104">
        <f>$E$10*Quantidades!AG11</f>
        <v>3327.6712879999995</v>
      </c>
      <c r="AH10" s="104">
        <f>$E$10*Quantidades!AH11</f>
        <v>3327.6712879999995</v>
      </c>
      <c r="AI10" s="104">
        <f>$E$10*Quantidades!AI11</f>
        <v>3327.6712879999995</v>
      </c>
      <c r="AJ10" s="104">
        <f t="shared" si="1"/>
        <v>87610.764767999965</v>
      </c>
      <c r="AK10" s="4"/>
    </row>
    <row r="11" spans="1:38" ht="14.4" x14ac:dyDescent="0.25">
      <c r="B11" s="173">
        <v>4011463</v>
      </c>
      <c r="C11" s="174" t="s">
        <v>143</v>
      </c>
      <c r="D11" s="175" t="s">
        <v>314</v>
      </c>
      <c r="E11" s="104">
        <f>'Preços Unitários'!D11</f>
        <v>203.79</v>
      </c>
      <c r="F11" s="98">
        <f>$E$11*Quantidades!F12</f>
        <v>0</v>
      </c>
      <c r="G11" s="104">
        <f>$E$11*Quantidades!G12</f>
        <v>120128.0913</v>
      </c>
      <c r="H11" s="104">
        <f>$E$11*Quantidades!H12</f>
        <v>120128.0913</v>
      </c>
      <c r="I11" s="104">
        <f>$E$11*Quantidades!I12</f>
        <v>120128.0913</v>
      </c>
      <c r="J11" s="104">
        <f>$E$11*Quantidades!J12</f>
        <v>120946.5200916</v>
      </c>
      <c r="K11" s="104">
        <f>$E$11*Quantidades!K12</f>
        <v>120946.5200916</v>
      </c>
      <c r="L11" s="104">
        <f>$E$11*Quantidades!L12</f>
        <v>142732.07255789998</v>
      </c>
      <c r="M11" s="104">
        <f>$E$11*Quantidades!M12</f>
        <v>165509.27022105001</v>
      </c>
      <c r="N11" s="104">
        <f>$E$11*Quantidades!N12</f>
        <v>185316.49661805001</v>
      </c>
      <c r="O11" s="104">
        <f>$E$11*Quantidades!O12</f>
        <v>202254.1937262</v>
      </c>
      <c r="P11" s="104">
        <f>$E$11*Quantidades!P12</f>
        <v>202254.1937262</v>
      </c>
      <c r="Q11" s="104">
        <f>$E$11*Quantidades!Q12</f>
        <v>202254.1937262</v>
      </c>
      <c r="R11" s="104">
        <f>$E$11*Quantidades!R12</f>
        <v>202254.1937262</v>
      </c>
      <c r="S11" s="104">
        <f>$E$11*Quantidades!S12</f>
        <v>202254.1937262</v>
      </c>
      <c r="T11" s="104">
        <f>$E$11*Quantidades!T12</f>
        <v>202254.1937262</v>
      </c>
      <c r="U11" s="104">
        <f>$E$11*Quantidades!U12</f>
        <v>202254.1937262</v>
      </c>
      <c r="V11" s="104">
        <f>$E$11*Quantidades!V12</f>
        <v>202254.1937262</v>
      </c>
      <c r="W11" s="104">
        <f>$E$11*Quantidades!W12</f>
        <v>202254.1937262</v>
      </c>
      <c r="X11" s="104">
        <f>$E$11*Quantidades!X12</f>
        <v>202254.1937262</v>
      </c>
      <c r="Y11" s="104">
        <f>$E$11*Quantidades!Y12</f>
        <v>203443.83953445597</v>
      </c>
      <c r="Z11" s="104">
        <f>$E$11*Quantidades!Z12</f>
        <v>203443.83953445597</v>
      </c>
      <c r="AA11" s="104">
        <f>$E$11*Quantidades!AA12</f>
        <v>203443.83953445597</v>
      </c>
      <c r="AB11" s="104">
        <f>$E$11*Quantidades!AB12</f>
        <v>203443.83953445597</v>
      </c>
      <c r="AC11" s="104">
        <f>$E$11*Quantidades!AC12</f>
        <v>203443.83953445597</v>
      </c>
      <c r="AD11" s="104">
        <f>$E$11*Quantidades!AD12</f>
        <v>203443.83953445597</v>
      </c>
      <c r="AE11" s="104">
        <f>$E$11*Quantidades!AE12</f>
        <v>203443.83953445597</v>
      </c>
      <c r="AF11" s="104">
        <f>$E$11*Quantidades!AF12</f>
        <v>203443.83953445597</v>
      </c>
      <c r="AG11" s="104">
        <f>$E$11*Quantidades!AG12</f>
        <v>203443.83953445597</v>
      </c>
      <c r="AH11" s="104">
        <f>$E$11*Quantidades!AH12</f>
        <v>203443.83953445597</v>
      </c>
      <c r="AI11" s="104">
        <f>$E$11*Quantidades!AI12</f>
        <v>203443.83953445597</v>
      </c>
      <c r="AJ11" s="104">
        <f t="shared" si="1"/>
        <v>5356259.3256212156</v>
      </c>
      <c r="AK11" s="4"/>
    </row>
    <row r="12" spans="1:38" ht="14.4" x14ac:dyDescent="0.25">
      <c r="B12" s="173">
        <v>4915694</v>
      </c>
      <c r="C12" s="174" t="s">
        <v>145</v>
      </c>
      <c r="D12" s="175" t="s">
        <v>315</v>
      </c>
      <c r="E12" s="104">
        <f>'Preços Unitários'!D12</f>
        <v>22.95</v>
      </c>
      <c r="F12" s="98">
        <f>$E$12*Quantidades!F13</f>
        <v>0</v>
      </c>
      <c r="G12" s="104">
        <f>$E$12*Quantidades!G13</f>
        <v>53683.874999999993</v>
      </c>
      <c r="H12" s="104">
        <f>$E$12*Quantidades!H13</f>
        <v>53683.874999999993</v>
      </c>
      <c r="I12" s="104">
        <f>$E$12*Quantidades!I13</f>
        <v>53683.874999999993</v>
      </c>
      <c r="J12" s="104">
        <f>$E$12*Quantidades!J13</f>
        <v>54049.621500000001</v>
      </c>
      <c r="K12" s="104">
        <f>$E$12*Quantidades!K13</f>
        <v>54049.621500000001</v>
      </c>
      <c r="L12" s="104">
        <f>$E$12*Quantidades!L13</f>
        <v>63785.336625000004</v>
      </c>
      <c r="M12" s="104">
        <f>$E$12*Quantidades!M13</f>
        <v>73964.206687500002</v>
      </c>
      <c r="N12" s="104">
        <f>$E$12*Quantidades!N13</f>
        <v>82815.830437500001</v>
      </c>
      <c r="O12" s="104">
        <f>$E$12*Quantidades!O13</f>
        <v>90385.094249999995</v>
      </c>
      <c r="P12" s="104">
        <f>$E$12*Quantidades!P13</f>
        <v>90385.094249999995</v>
      </c>
      <c r="Q12" s="104">
        <f>$E$12*Quantidades!Q13</f>
        <v>90385.094249999995</v>
      </c>
      <c r="R12" s="104">
        <f>$E$12*Quantidades!R13</f>
        <v>90385.094249999995</v>
      </c>
      <c r="S12" s="104">
        <f>$E$12*Quantidades!S13</f>
        <v>90385.094249999995</v>
      </c>
      <c r="T12" s="104">
        <f>$E$12*Quantidades!T13</f>
        <v>90385.094249999995</v>
      </c>
      <c r="U12" s="104">
        <f>$E$12*Quantidades!U13</f>
        <v>90385.094249999995</v>
      </c>
      <c r="V12" s="104">
        <f>$E$12*Quantidades!V13</f>
        <v>90385.094249999995</v>
      </c>
      <c r="W12" s="104">
        <f>$E$12*Quantidades!W13</f>
        <v>90385.094249999995</v>
      </c>
      <c r="X12" s="104">
        <f>$E$12*Quantidades!X13</f>
        <v>90385.094249999995</v>
      </c>
      <c r="Y12" s="104">
        <f>$E$12*Quantidades!Y13</f>
        <v>90916.733404285696</v>
      </c>
      <c r="Z12" s="104">
        <f>$E$12*Quantidades!Z13</f>
        <v>90916.733404285696</v>
      </c>
      <c r="AA12" s="104">
        <f>$E$12*Quantidades!AA13</f>
        <v>90916.733404285696</v>
      </c>
      <c r="AB12" s="104">
        <f>$E$12*Quantidades!AB13</f>
        <v>90916.733404285696</v>
      </c>
      <c r="AC12" s="104">
        <f>$E$12*Quantidades!AC13</f>
        <v>90916.733404285696</v>
      </c>
      <c r="AD12" s="104">
        <f>$E$12*Quantidades!AD13</f>
        <v>90916.733404285696</v>
      </c>
      <c r="AE12" s="104">
        <f>$E$12*Quantidades!AE13</f>
        <v>90916.733404285696</v>
      </c>
      <c r="AF12" s="104">
        <f>$E$12*Quantidades!AF13</f>
        <v>90916.733404285696</v>
      </c>
      <c r="AG12" s="104">
        <f>$E$12*Quantidades!AG13</f>
        <v>90916.733404285696</v>
      </c>
      <c r="AH12" s="104">
        <f>$E$12*Quantidades!AH13</f>
        <v>90916.733404285696</v>
      </c>
      <c r="AI12" s="104">
        <f>$E$12*Quantidades!AI13</f>
        <v>90916.733404285696</v>
      </c>
      <c r="AJ12" s="104">
        <f t="shared" si="1"/>
        <v>2393651.2516971431</v>
      </c>
      <c r="AK12" s="4"/>
    </row>
    <row r="13" spans="1:38" x14ac:dyDescent="0.25">
      <c r="B13" s="173">
        <v>4915698</v>
      </c>
      <c r="C13" s="174" t="s">
        <v>147</v>
      </c>
      <c r="D13" s="71" t="s">
        <v>54</v>
      </c>
      <c r="E13" s="104">
        <f>'Preços Unitários'!D13</f>
        <v>29.94</v>
      </c>
      <c r="F13" s="98">
        <f>$E$13*Quantidades!F14</f>
        <v>0</v>
      </c>
      <c r="G13" s="102">
        <f>$E$13*Quantidades!G14</f>
        <v>63031.185000000005</v>
      </c>
      <c r="H13" s="102">
        <f>$E$13*Quantidades!H14</f>
        <v>63031.185000000005</v>
      </c>
      <c r="I13" s="102">
        <f>$E$13*Quantidades!I14</f>
        <v>63031.185000000005</v>
      </c>
      <c r="J13" s="102">
        <f>$E$13*Quantidades!J14</f>
        <v>62638.222500000003</v>
      </c>
      <c r="K13" s="102">
        <f>$E$13*Quantidades!K14</f>
        <v>62638.222500000003</v>
      </c>
      <c r="L13" s="102">
        <f>$E$13*Quantidades!L14</f>
        <v>74069.097435000003</v>
      </c>
      <c r="M13" s="102">
        <f>$E$13*Quantidades!M14</f>
        <v>86020.288402500009</v>
      </c>
      <c r="N13" s="102">
        <f>$E$13*Quantidades!N14</f>
        <v>96413.136052500005</v>
      </c>
      <c r="O13" s="102">
        <f>$E$13*Quantidades!O14</f>
        <v>105300.34227000001</v>
      </c>
      <c r="P13" s="102">
        <f>$E$13*Quantidades!P14</f>
        <v>105300.34227000001</v>
      </c>
      <c r="Q13" s="102">
        <f>$E$13*Quantidades!Q14</f>
        <v>105300.34227000001</v>
      </c>
      <c r="R13" s="102">
        <f>$E$13*Quantidades!R14</f>
        <v>105300.34227000001</v>
      </c>
      <c r="S13" s="102">
        <f>$E$13*Quantidades!S14</f>
        <v>105300.34227000001</v>
      </c>
      <c r="T13" s="102">
        <f>$E$13*Quantidades!T14</f>
        <v>105300.34227000001</v>
      </c>
      <c r="U13" s="102">
        <f>$E$13*Quantidades!U14</f>
        <v>105300.34227000001</v>
      </c>
      <c r="V13" s="102">
        <f>$E$13*Quantidades!V14</f>
        <v>105300.34227000001</v>
      </c>
      <c r="W13" s="102">
        <f>$E$13*Quantidades!W14</f>
        <v>105300.34227000001</v>
      </c>
      <c r="X13" s="102">
        <f>$E$13*Quantidades!X14</f>
        <v>105300.34227000001</v>
      </c>
      <c r="Y13" s="102">
        <f>$E$13*Quantidades!Y14</f>
        <v>105924.54918291428</v>
      </c>
      <c r="Z13" s="102">
        <f>$E$13*Quantidades!Z14</f>
        <v>105924.54918291428</v>
      </c>
      <c r="AA13" s="102">
        <f>$E$13*Quantidades!AA14</f>
        <v>105924.54918291428</v>
      </c>
      <c r="AB13" s="102">
        <f>$E$13*Quantidades!AB14</f>
        <v>105924.54918291428</v>
      </c>
      <c r="AC13" s="102">
        <f>$E$13*Quantidades!AC14</f>
        <v>105924.54918291428</v>
      </c>
      <c r="AD13" s="102">
        <f>$E$13*Quantidades!AD14</f>
        <v>105924.54918291428</v>
      </c>
      <c r="AE13" s="102">
        <f>$E$13*Quantidades!AE14</f>
        <v>105924.54918291428</v>
      </c>
      <c r="AF13" s="102">
        <f>$E$13*Quantidades!AF14</f>
        <v>105924.54918291428</v>
      </c>
      <c r="AG13" s="102">
        <f>$E$13*Quantidades!AG14</f>
        <v>105924.54918291428</v>
      </c>
      <c r="AH13" s="102">
        <f>$E$13*Quantidades!AH14</f>
        <v>105924.54918291428</v>
      </c>
      <c r="AI13" s="102">
        <f>$E$13*Quantidades!AI14</f>
        <v>105924.54918291428</v>
      </c>
      <c r="AJ13" s="104">
        <f t="shared" si="1"/>
        <v>2789045.9856020557</v>
      </c>
      <c r="AK13" s="4"/>
      <c r="AL13" s="4"/>
    </row>
    <row r="14" spans="1:38" x14ac:dyDescent="0.25">
      <c r="B14" s="173">
        <v>4915753</v>
      </c>
      <c r="C14" s="176" t="s">
        <v>149</v>
      </c>
      <c r="D14" s="71" t="s">
        <v>313</v>
      </c>
      <c r="E14" s="104">
        <f>'Preços Unitários'!D14</f>
        <v>1098</v>
      </c>
      <c r="F14" s="98">
        <f>$E$14*Quantidades!F15</f>
        <v>0</v>
      </c>
      <c r="G14" s="102">
        <f>$E$14*Quantidades!G15</f>
        <v>64831.190399999992</v>
      </c>
      <c r="H14" s="102">
        <f>$E$14*Quantidades!H15</f>
        <v>64831.190399999992</v>
      </c>
      <c r="I14" s="102">
        <f>$E$14*Quantidades!I15</f>
        <v>64831.190399999992</v>
      </c>
      <c r="J14" s="102">
        <f>$E$14*Quantidades!J15</f>
        <v>64831.190399999992</v>
      </c>
      <c r="K14" s="102">
        <f>$E$14*Quantidades!K15</f>
        <v>64831.190399999992</v>
      </c>
      <c r="L14" s="102">
        <f>$E$14*Quantidades!L15</f>
        <v>64831.190399999992</v>
      </c>
      <c r="M14" s="102">
        <f>$E$14*Quantidades!M15</f>
        <v>64831.190399999992</v>
      </c>
      <c r="N14" s="102">
        <f>$E$14*Quantidades!N15</f>
        <v>64831.190399999992</v>
      </c>
      <c r="O14" s="102">
        <f>$E$14*Quantidades!O15</f>
        <v>64831.190399999992</v>
      </c>
      <c r="P14" s="102">
        <f>$E$14*Quantidades!P15</f>
        <v>64831.190399999992</v>
      </c>
      <c r="Q14" s="102">
        <f>$E$14*Quantidades!Q15</f>
        <v>64831.190399999992</v>
      </c>
      <c r="R14" s="102">
        <f>$E$14*Quantidades!R15</f>
        <v>64831.190399999992</v>
      </c>
      <c r="S14" s="102">
        <f>$E$14*Quantidades!S15</f>
        <v>64831.190399999992</v>
      </c>
      <c r="T14" s="102">
        <f>$E$14*Quantidades!T15</f>
        <v>64831.190399999992</v>
      </c>
      <c r="U14" s="102">
        <f>$E$14*Quantidades!U15</f>
        <v>64831.190399999992</v>
      </c>
      <c r="V14" s="102">
        <f>$E$14*Quantidades!V15</f>
        <v>64831.190399999992</v>
      </c>
      <c r="W14" s="102">
        <f>$E$14*Quantidades!W15</f>
        <v>64831.190399999992</v>
      </c>
      <c r="X14" s="102">
        <f>$E$14*Quantidades!X15</f>
        <v>64831.190399999992</v>
      </c>
      <c r="Y14" s="102">
        <f>$E$14*Quantidades!Y15</f>
        <v>64831.190399999992</v>
      </c>
      <c r="Z14" s="102">
        <f>$E$14*Quantidades!Z15</f>
        <v>64831.190399999992</v>
      </c>
      <c r="AA14" s="102">
        <f>$E$14*Quantidades!AA15</f>
        <v>64831.190399999992</v>
      </c>
      <c r="AB14" s="102">
        <f>$E$14*Quantidades!AB15</f>
        <v>64831.190399999992</v>
      </c>
      <c r="AC14" s="102">
        <f>$E$14*Quantidades!AC15</f>
        <v>64831.190399999992</v>
      </c>
      <c r="AD14" s="102">
        <f>$E$14*Quantidades!AD15</f>
        <v>64831.190399999992</v>
      </c>
      <c r="AE14" s="102">
        <f>$E$14*Quantidades!AE15</f>
        <v>64831.190399999992</v>
      </c>
      <c r="AF14" s="102">
        <f>$E$14*Quantidades!AF15</f>
        <v>64831.190399999992</v>
      </c>
      <c r="AG14" s="102">
        <f>$E$14*Quantidades!AG15</f>
        <v>64831.190399999992</v>
      </c>
      <c r="AH14" s="102">
        <f>$E$14*Quantidades!AH15</f>
        <v>64831.190399999992</v>
      </c>
      <c r="AI14" s="102">
        <f>$E$14*Quantidades!AI15</f>
        <v>64831.190399999992</v>
      </c>
      <c r="AJ14" s="104">
        <f t="shared" si="1"/>
        <v>1880104.5215999992</v>
      </c>
      <c r="AK14" s="4"/>
      <c r="AL14" s="4"/>
    </row>
    <row r="15" spans="1:38" x14ac:dyDescent="0.25">
      <c r="B15" s="173">
        <v>4915695</v>
      </c>
      <c r="C15" s="176" t="s">
        <v>151</v>
      </c>
      <c r="D15" s="71" t="s">
        <v>316</v>
      </c>
      <c r="E15" s="104">
        <f>'Preços Unitários'!D15</f>
        <v>5.39</v>
      </c>
      <c r="F15" s="98">
        <f>$E$15*Quantidades!F16</f>
        <v>0</v>
      </c>
      <c r="G15" s="102">
        <f>$E$15*Quantidades!G16</f>
        <v>994.53584999999987</v>
      </c>
      <c r="H15" s="102">
        <f>$E$15*Quantidades!H16</f>
        <v>994.53584999999987</v>
      </c>
      <c r="I15" s="102">
        <f>$E$15*Quantidades!I16</f>
        <v>994.53584999999987</v>
      </c>
      <c r="J15" s="102">
        <f>$E$15*Quantidades!J16</f>
        <v>994.53584999999987</v>
      </c>
      <c r="K15" s="102">
        <f>$E$15*Quantidades!K16</f>
        <v>994.53584999999987</v>
      </c>
      <c r="L15" s="102">
        <f>$E$15*Quantidades!L16</f>
        <v>994.53584999999987</v>
      </c>
      <c r="M15" s="102">
        <f>$E$15*Quantidades!M16</f>
        <v>994.53584999999987</v>
      </c>
      <c r="N15" s="102">
        <f>$E$15*Quantidades!N16</f>
        <v>994.53584999999987</v>
      </c>
      <c r="O15" s="102">
        <f>$E$15*Quantidades!O16</f>
        <v>994.53584999999987</v>
      </c>
      <c r="P15" s="102">
        <f>$E$15*Quantidades!P16</f>
        <v>994.53584999999987</v>
      </c>
      <c r="Q15" s="102">
        <f>$E$15*Quantidades!Q16</f>
        <v>994.53584999999987</v>
      </c>
      <c r="R15" s="102">
        <f>$E$15*Quantidades!R16</f>
        <v>994.53584999999987</v>
      </c>
      <c r="S15" s="102">
        <f>$E$15*Quantidades!S16</f>
        <v>994.53584999999987</v>
      </c>
      <c r="T15" s="102">
        <f>$E$15*Quantidades!T16</f>
        <v>994.53584999999987</v>
      </c>
      <c r="U15" s="102">
        <f>$E$15*Quantidades!U16</f>
        <v>994.53584999999987</v>
      </c>
      <c r="V15" s="102">
        <f>$E$15*Quantidades!V16</f>
        <v>994.53584999999987</v>
      </c>
      <c r="W15" s="102">
        <f>$E$15*Quantidades!W16</f>
        <v>994.53584999999987</v>
      </c>
      <c r="X15" s="102">
        <f>$E$15*Quantidades!X16</f>
        <v>994.53584999999987</v>
      </c>
      <c r="Y15" s="102">
        <f>$E$15*Quantidades!Y16</f>
        <v>994.53584999999987</v>
      </c>
      <c r="Z15" s="102">
        <f>$E$15*Quantidades!Z16</f>
        <v>994.53584999999987</v>
      </c>
      <c r="AA15" s="102">
        <f>$E$15*Quantidades!AA16</f>
        <v>994.53584999999987</v>
      </c>
      <c r="AB15" s="102">
        <f>$E$15*Quantidades!AB16</f>
        <v>994.53584999999987</v>
      </c>
      <c r="AC15" s="102">
        <f>$E$15*Quantidades!AC16</f>
        <v>994.53584999999987</v>
      </c>
      <c r="AD15" s="102">
        <f>$E$15*Quantidades!AD16</f>
        <v>994.53584999999987</v>
      </c>
      <c r="AE15" s="102">
        <f>$E$15*Quantidades!AE16</f>
        <v>994.53584999999987</v>
      </c>
      <c r="AF15" s="102">
        <f>$E$15*Quantidades!AF16</f>
        <v>994.53584999999987</v>
      </c>
      <c r="AG15" s="102">
        <f>$E$15*Quantidades!AG16</f>
        <v>994.53584999999987</v>
      </c>
      <c r="AH15" s="102">
        <f>$E$15*Quantidades!AH16</f>
        <v>994.53584999999987</v>
      </c>
      <c r="AI15" s="102">
        <f>$E$15*Quantidades!AI16</f>
        <v>994.53584999999987</v>
      </c>
      <c r="AJ15" s="104">
        <f t="shared" si="1"/>
        <v>28841.539650000002</v>
      </c>
      <c r="AK15" s="4"/>
      <c r="AL15" s="4"/>
    </row>
    <row r="16" spans="1:38" x14ac:dyDescent="0.25">
      <c r="B16" s="77"/>
      <c r="C16" s="68" t="s">
        <v>153</v>
      </c>
      <c r="D16" s="115"/>
      <c r="E16" s="104"/>
      <c r="F16" s="171">
        <f>+SUBTOTAL(9,F17:F20)</f>
        <v>0</v>
      </c>
      <c r="G16" s="172">
        <f t="shared" ref="G16:AI16" si="3">+SUBTOTAL(9,G17:G20)</f>
        <v>521142.84619720472</v>
      </c>
      <c r="H16" s="172">
        <f t="shared" si="3"/>
        <v>521142.84619720472</v>
      </c>
      <c r="I16" s="172">
        <f t="shared" si="3"/>
        <v>521142.84619720472</v>
      </c>
      <c r="J16" s="172">
        <f t="shared" si="3"/>
        <v>524693.37551344105</v>
      </c>
      <c r="K16" s="172">
        <f t="shared" si="3"/>
        <v>524693.37551344105</v>
      </c>
      <c r="L16" s="172">
        <f t="shared" si="3"/>
        <v>619204.03239146387</v>
      </c>
      <c r="M16" s="172">
        <f t="shared" si="3"/>
        <v>718016.67055222974</v>
      </c>
      <c r="N16" s="172">
        <f t="shared" si="3"/>
        <v>803944.90122748876</v>
      </c>
      <c r="O16" s="172">
        <f t="shared" si="3"/>
        <v>877424.46444575023</v>
      </c>
      <c r="P16" s="172">
        <f t="shared" si="3"/>
        <v>877424.46444575023</v>
      </c>
      <c r="Q16" s="172">
        <f t="shared" si="3"/>
        <v>877424.46444575023</v>
      </c>
      <c r="R16" s="172">
        <f t="shared" si="3"/>
        <v>877424.46444575023</v>
      </c>
      <c r="S16" s="172">
        <f t="shared" si="3"/>
        <v>877424.46444575023</v>
      </c>
      <c r="T16" s="172">
        <f t="shared" si="3"/>
        <v>877424.46444575023</v>
      </c>
      <c r="U16" s="172">
        <f t="shared" si="3"/>
        <v>877424.46444575023</v>
      </c>
      <c r="V16" s="172">
        <f t="shared" si="3"/>
        <v>877424.46444575023</v>
      </c>
      <c r="W16" s="172">
        <f t="shared" si="3"/>
        <v>877424.46444575023</v>
      </c>
      <c r="X16" s="172">
        <f t="shared" si="3"/>
        <v>877424.46444575023</v>
      </c>
      <c r="Y16" s="172">
        <f t="shared" si="3"/>
        <v>882585.41719020717</v>
      </c>
      <c r="Z16" s="172">
        <f t="shared" si="3"/>
        <v>882585.41719020717</v>
      </c>
      <c r="AA16" s="172">
        <f t="shared" si="3"/>
        <v>882585.41719020717</v>
      </c>
      <c r="AB16" s="172">
        <f t="shared" si="3"/>
        <v>882585.41719020717</v>
      </c>
      <c r="AC16" s="172">
        <f t="shared" si="3"/>
        <v>882585.41719020717</v>
      </c>
      <c r="AD16" s="172">
        <f t="shared" si="3"/>
        <v>882585.41719020717</v>
      </c>
      <c r="AE16" s="172">
        <f t="shared" si="3"/>
        <v>882585.41719020717</v>
      </c>
      <c r="AF16" s="172">
        <f t="shared" si="3"/>
        <v>882585.41719020717</v>
      </c>
      <c r="AG16" s="172">
        <f t="shared" si="3"/>
        <v>882585.41719020717</v>
      </c>
      <c r="AH16" s="172">
        <f t="shared" si="3"/>
        <v>882585.41719020717</v>
      </c>
      <c r="AI16" s="172">
        <f t="shared" si="3"/>
        <v>882585.41719020717</v>
      </c>
      <c r="AJ16" s="172">
        <f t="shared" si="1"/>
        <v>23236665.127339475</v>
      </c>
    </row>
    <row r="17" spans="2:38" x14ac:dyDescent="0.25">
      <c r="B17" s="77" t="s">
        <v>154</v>
      </c>
      <c r="C17" s="78" t="s">
        <v>155</v>
      </c>
      <c r="D17" s="77" t="s">
        <v>314</v>
      </c>
      <c r="E17" s="99">
        <f>'Preços Unitários'!D17</f>
        <v>3781.4293247936012</v>
      </c>
      <c r="F17" s="98">
        <f>$E$17*Quantidades!F18</f>
        <v>0</v>
      </c>
      <c r="G17" s="104">
        <f>$E$17*Quantidades!G18</f>
        <v>13931.494650538025</v>
      </c>
      <c r="H17" s="104">
        <f>$E$17*Quantidades!H18</f>
        <v>13931.494650538025</v>
      </c>
      <c r="I17" s="104">
        <f>$E$17*Quantidades!I18</f>
        <v>13931.494650538025</v>
      </c>
      <c r="J17" s="104">
        <f>$E$17*Quantidades!J18</f>
        <v>14026.409471947676</v>
      </c>
      <c r="K17" s="104">
        <f>$E$17*Quantidades!K18</f>
        <v>14026.409471947676</v>
      </c>
      <c r="L17" s="104">
        <f>$E$17*Quantidades!L18</f>
        <v>16552.923498423959</v>
      </c>
      <c r="M17" s="104">
        <f>$E$17*Quantidades!M18</f>
        <v>19194.440598749537</v>
      </c>
      <c r="N17" s="104">
        <f>$E$17*Quantidades!N18</f>
        <v>21491.524200141954</v>
      </c>
      <c r="O17" s="104">
        <f>$E$17*Quantidades!O18</f>
        <v>23455.822759296905</v>
      </c>
      <c r="P17" s="104">
        <f>$E$17*Quantidades!P18</f>
        <v>23455.822759296905</v>
      </c>
      <c r="Q17" s="104">
        <f>$E$17*Quantidades!Q18</f>
        <v>23455.822759296905</v>
      </c>
      <c r="R17" s="104">
        <f>$E$17*Quantidades!R18</f>
        <v>23455.822759296905</v>
      </c>
      <c r="S17" s="104">
        <f>$E$17*Quantidades!S18</f>
        <v>23455.822759296905</v>
      </c>
      <c r="T17" s="104">
        <f>$E$17*Quantidades!T18</f>
        <v>23455.822759296905</v>
      </c>
      <c r="U17" s="104">
        <f>$E$17*Quantidades!U18</f>
        <v>23455.822759296905</v>
      </c>
      <c r="V17" s="104">
        <f>$E$17*Quantidades!V18</f>
        <v>23455.822759296905</v>
      </c>
      <c r="W17" s="104">
        <f>$E$17*Quantidades!W18</f>
        <v>23455.822759296905</v>
      </c>
      <c r="X17" s="104">
        <f>$E$17*Quantidades!X18</f>
        <v>23455.822759296905</v>
      </c>
      <c r="Y17" s="104">
        <f>$E$17*Quantidades!Y18</f>
        <v>23593.78835946917</v>
      </c>
      <c r="Z17" s="104">
        <f>$E$17*Quantidades!Z18</f>
        <v>23593.78835946917</v>
      </c>
      <c r="AA17" s="104">
        <f>$E$17*Quantidades!AA18</f>
        <v>23593.78835946917</v>
      </c>
      <c r="AB17" s="104">
        <f>$E$17*Quantidades!AB18</f>
        <v>23593.78835946917</v>
      </c>
      <c r="AC17" s="104">
        <f>$E$17*Quantidades!AC18</f>
        <v>23593.78835946917</v>
      </c>
      <c r="AD17" s="104">
        <f>$E$17*Quantidades!AD18</f>
        <v>23593.78835946917</v>
      </c>
      <c r="AE17" s="104">
        <f>$E$17*Quantidades!AE18</f>
        <v>23593.78835946917</v>
      </c>
      <c r="AF17" s="104">
        <f>$E$17*Quantidades!AF18</f>
        <v>23593.78835946917</v>
      </c>
      <c r="AG17" s="104">
        <f>$E$17*Quantidades!AG18</f>
        <v>23593.78835946917</v>
      </c>
      <c r="AH17" s="104">
        <f>$E$17*Quantidades!AH18</f>
        <v>23593.78835946917</v>
      </c>
      <c r="AI17" s="104">
        <f>$E$17*Quantidades!AI18</f>
        <v>23593.78835946917</v>
      </c>
      <c r="AJ17" s="104">
        <f t="shared" si="1"/>
        <v>621176.09073995473</v>
      </c>
      <c r="AK17" s="4"/>
    </row>
    <row r="18" spans="2:38" x14ac:dyDescent="0.25">
      <c r="B18" s="77" t="s">
        <v>157</v>
      </c>
      <c r="C18" s="78" t="s">
        <v>158</v>
      </c>
      <c r="D18" s="77" t="s">
        <v>314</v>
      </c>
      <c r="E18" s="99">
        <f>'Preços Unitários'!D18</f>
        <v>5080</v>
      </c>
      <c r="F18" s="98">
        <f>$E$18*Quantidades!F19</f>
        <v>0</v>
      </c>
      <c r="G18" s="104">
        <f>$E$18*Quantidades!G19</f>
        <v>33628.795666666665</v>
      </c>
      <c r="H18" s="104">
        <f>$E$18*Quantidades!H19</f>
        <v>33628.795666666665</v>
      </c>
      <c r="I18" s="104">
        <f>$E$18*Quantidades!I19</f>
        <v>33628.795666666665</v>
      </c>
      <c r="J18" s="104">
        <f>$E$18*Quantidades!J19</f>
        <v>33857.907561333333</v>
      </c>
      <c r="K18" s="104">
        <f>$E$18*Quantidades!K19</f>
        <v>33857.907561333333</v>
      </c>
      <c r="L18" s="104">
        <f>$E$18*Quantidades!L19</f>
        <v>39956.580107000002</v>
      </c>
      <c r="M18" s="104">
        <f>$E$18*Quantidades!M19</f>
        <v>46332.854946500003</v>
      </c>
      <c r="N18" s="104">
        <f>$E$18*Quantidades!N19</f>
        <v>51877.712623166663</v>
      </c>
      <c r="O18" s="104">
        <f>$E$18*Quantidades!O19</f>
        <v>56619.270979333334</v>
      </c>
      <c r="P18" s="104">
        <f>$E$18*Quantidades!P19</f>
        <v>56619.270979333334</v>
      </c>
      <c r="Q18" s="104">
        <f>$E$18*Quantidades!Q19</f>
        <v>56619.270979333334</v>
      </c>
      <c r="R18" s="104">
        <f>$E$18*Quantidades!R19</f>
        <v>56619.270979333334</v>
      </c>
      <c r="S18" s="104">
        <f>$E$18*Quantidades!S19</f>
        <v>56619.270979333334</v>
      </c>
      <c r="T18" s="104">
        <f>$E$18*Quantidades!T19</f>
        <v>56619.270979333334</v>
      </c>
      <c r="U18" s="104">
        <f>$E$18*Quantidades!U19</f>
        <v>56619.270979333334</v>
      </c>
      <c r="V18" s="104">
        <f>$E$18*Quantidades!V19</f>
        <v>56619.270979333334</v>
      </c>
      <c r="W18" s="104">
        <f>$E$18*Quantidades!W19</f>
        <v>56619.270979333334</v>
      </c>
      <c r="X18" s="104">
        <f>$E$18*Quantidades!X19</f>
        <v>56619.270979333334</v>
      </c>
      <c r="Y18" s="104">
        <f>$E$18*Quantidades!Y19</f>
        <v>56952.301791432372</v>
      </c>
      <c r="Z18" s="104">
        <f>$E$18*Quantidades!Z19</f>
        <v>56952.301791432372</v>
      </c>
      <c r="AA18" s="104">
        <f>$E$18*Quantidades!AA19</f>
        <v>56952.301791432372</v>
      </c>
      <c r="AB18" s="104">
        <f>$E$18*Quantidades!AB19</f>
        <v>56952.301791432372</v>
      </c>
      <c r="AC18" s="104">
        <f>$E$18*Quantidades!AC19</f>
        <v>56952.301791432372</v>
      </c>
      <c r="AD18" s="104">
        <f>$E$18*Quantidades!AD19</f>
        <v>56952.301791432372</v>
      </c>
      <c r="AE18" s="104">
        <f>$E$18*Quantidades!AE19</f>
        <v>56952.301791432372</v>
      </c>
      <c r="AF18" s="104">
        <f>$E$18*Quantidades!AF19</f>
        <v>56952.301791432372</v>
      </c>
      <c r="AG18" s="104">
        <f>$E$18*Quantidades!AG19</f>
        <v>56952.301791432372</v>
      </c>
      <c r="AH18" s="104">
        <f>$E$18*Quantidades!AH19</f>
        <v>56952.301791432372</v>
      </c>
      <c r="AI18" s="104">
        <f>$E$18*Quantidades!AI19</f>
        <v>56952.301791432372</v>
      </c>
      <c r="AJ18" s="104">
        <f t="shared" si="1"/>
        <v>1499437.379298422</v>
      </c>
      <c r="AK18" s="4"/>
    </row>
    <row r="19" spans="2:38" x14ac:dyDescent="0.25">
      <c r="B19" s="77" t="s">
        <v>157</v>
      </c>
      <c r="C19" s="78" t="s">
        <v>160</v>
      </c>
      <c r="D19" s="77" t="s">
        <v>314</v>
      </c>
      <c r="E19" s="99">
        <f>'Preços Unitários'!D19</f>
        <v>5080</v>
      </c>
      <c r="F19" s="98">
        <f>$E$19*Quantidades!F20</f>
        <v>0</v>
      </c>
      <c r="G19" s="104">
        <f>$E$19*Quantidades!G20</f>
        <v>415248.368892</v>
      </c>
      <c r="H19" s="104">
        <f>$E$19*Quantidades!H20</f>
        <v>415248.368892</v>
      </c>
      <c r="I19" s="104">
        <f>$E$19*Quantidades!I20</f>
        <v>415248.368892</v>
      </c>
      <c r="J19" s="104">
        <f>$E$19*Quantidades!J20</f>
        <v>418077.442567344</v>
      </c>
      <c r="K19" s="104">
        <f>$E$19*Quantidades!K20</f>
        <v>418077.442567344</v>
      </c>
      <c r="L19" s="104">
        <f>$E$19*Quantidades!L20</f>
        <v>493383.851161236</v>
      </c>
      <c r="M19" s="104">
        <f>$E$19*Quantidades!M20</f>
        <v>572118.09287938208</v>
      </c>
      <c r="N19" s="104">
        <f>$E$19*Quantidades!N20</f>
        <v>640585.99547086214</v>
      </c>
      <c r="O19" s="104">
        <f>$E$19*Quantidades!O20</f>
        <v>699134.758052808</v>
      </c>
      <c r="P19" s="104">
        <f>$E$19*Quantidades!P20</f>
        <v>699134.758052808</v>
      </c>
      <c r="Q19" s="104">
        <f>$E$19*Quantidades!Q20</f>
        <v>699134.758052808</v>
      </c>
      <c r="R19" s="104">
        <f>$E$19*Quantidades!R20</f>
        <v>699134.758052808</v>
      </c>
      <c r="S19" s="104">
        <f>$E$19*Quantidades!S20</f>
        <v>699134.758052808</v>
      </c>
      <c r="T19" s="104">
        <f>$E$19*Quantidades!T20</f>
        <v>699134.758052808</v>
      </c>
      <c r="U19" s="104">
        <f>$E$19*Quantidades!U20</f>
        <v>699134.758052808</v>
      </c>
      <c r="V19" s="104">
        <f>$E$19*Quantidades!V20</f>
        <v>699134.758052808</v>
      </c>
      <c r="W19" s="104">
        <f>$E$19*Quantidades!W20</f>
        <v>699134.758052808</v>
      </c>
      <c r="X19" s="104">
        <f>$E$19*Quantidades!X20</f>
        <v>699134.758052808</v>
      </c>
      <c r="Y19" s="104">
        <f>$E$19*Quantidades!Y20</f>
        <v>703247.02252060699</v>
      </c>
      <c r="Z19" s="104">
        <f>$E$19*Quantidades!Z20</f>
        <v>703247.02252060699</v>
      </c>
      <c r="AA19" s="104">
        <f>$E$19*Quantidades!AA20</f>
        <v>703247.02252060699</v>
      </c>
      <c r="AB19" s="104">
        <f>$E$19*Quantidades!AB20</f>
        <v>703247.02252060699</v>
      </c>
      <c r="AC19" s="104">
        <f>$E$19*Quantidades!AC20</f>
        <v>703247.02252060699</v>
      </c>
      <c r="AD19" s="104">
        <f>$E$19*Quantidades!AD20</f>
        <v>703247.02252060699</v>
      </c>
      <c r="AE19" s="104">
        <f>$E$19*Quantidades!AE20</f>
        <v>703247.02252060699</v>
      </c>
      <c r="AF19" s="104">
        <f>$E$19*Quantidades!AF20</f>
        <v>703247.02252060699</v>
      </c>
      <c r="AG19" s="104">
        <f>$E$19*Quantidades!AG20</f>
        <v>703247.02252060699</v>
      </c>
      <c r="AH19" s="104">
        <f>$E$19*Quantidades!AH20</f>
        <v>703247.02252060699</v>
      </c>
      <c r="AI19" s="104">
        <f>$E$19*Quantidades!AI20</f>
        <v>703247.02252060699</v>
      </c>
      <c r="AJ19" s="104">
        <f t="shared" si="1"/>
        <v>18515052.759576924</v>
      </c>
      <c r="AK19" s="4"/>
    </row>
    <row r="20" spans="2:38" x14ac:dyDescent="0.25">
      <c r="B20" s="77" t="s">
        <v>161</v>
      </c>
      <c r="C20" s="78" t="s">
        <v>162</v>
      </c>
      <c r="D20" s="77" t="s">
        <v>315</v>
      </c>
      <c r="E20" s="99">
        <f>'Preços Unitários'!D20</f>
        <v>4.95</v>
      </c>
      <c r="F20" s="98">
        <f>$E$20*Quantidades!F21</f>
        <v>0</v>
      </c>
      <c r="G20" s="104">
        <f>$E$20*Quantidades!G21</f>
        <v>58334.186988000001</v>
      </c>
      <c r="H20" s="104">
        <f>$E$20*Quantidades!H21</f>
        <v>58334.186988000001</v>
      </c>
      <c r="I20" s="104">
        <f>$E$20*Quantidades!I21</f>
        <v>58334.186988000001</v>
      </c>
      <c r="J20" s="104">
        <f>$E$20*Quantidades!J21</f>
        <v>58731.615912816007</v>
      </c>
      <c r="K20" s="104">
        <f>$E$20*Quantidades!K21</f>
        <v>58731.615912816007</v>
      </c>
      <c r="L20" s="104">
        <f>$E$20*Quantidades!L21</f>
        <v>69310.677624804011</v>
      </c>
      <c r="M20" s="104">
        <f>$E$20*Quantidades!M21</f>
        <v>80371.282127598024</v>
      </c>
      <c r="N20" s="104">
        <f>$E$20*Quantidades!N21</f>
        <v>89989.668933318026</v>
      </c>
      <c r="O20" s="104">
        <f>$E$20*Quantidades!O21</f>
        <v>98214.612654312034</v>
      </c>
      <c r="P20" s="104">
        <f>$E$20*Quantidades!P21</f>
        <v>98214.612654312034</v>
      </c>
      <c r="Q20" s="104">
        <f>$E$20*Quantidades!Q21</f>
        <v>98214.612654312034</v>
      </c>
      <c r="R20" s="104">
        <f>$E$20*Quantidades!R21</f>
        <v>98214.612654312034</v>
      </c>
      <c r="S20" s="104">
        <f>$E$20*Quantidades!S21</f>
        <v>98214.612654312034</v>
      </c>
      <c r="T20" s="104">
        <f>$E$20*Quantidades!T21</f>
        <v>98214.612654312034</v>
      </c>
      <c r="U20" s="104">
        <f>$E$20*Quantidades!U21</f>
        <v>98214.612654312034</v>
      </c>
      <c r="V20" s="104">
        <f>$E$20*Quantidades!V21</f>
        <v>98214.612654312034</v>
      </c>
      <c r="W20" s="104">
        <f>$E$20*Quantidades!W21</f>
        <v>98214.612654312034</v>
      </c>
      <c r="X20" s="104">
        <f>$E$20*Quantidades!X21</f>
        <v>98214.612654312034</v>
      </c>
      <c r="Y20" s="104">
        <f>$E$20*Quantidades!Y21</f>
        <v>98792.304518698555</v>
      </c>
      <c r="Z20" s="104">
        <f>$E$20*Quantidades!Z21</f>
        <v>98792.304518698555</v>
      </c>
      <c r="AA20" s="104">
        <f>$E$20*Quantidades!AA21</f>
        <v>98792.304518698555</v>
      </c>
      <c r="AB20" s="104">
        <f>$E$20*Quantidades!AB21</f>
        <v>98792.304518698555</v>
      </c>
      <c r="AC20" s="104">
        <f>$E$20*Quantidades!AC21</f>
        <v>98792.304518698555</v>
      </c>
      <c r="AD20" s="104">
        <f>$E$20*Quantidades!AD21</f>
        <v>98792.304518698555</v>
      </c>
      <c r="AE20" s="104">
        <f>$E$20*Quantidades!AE21</f>
        <v>98792.304518698555</v>
      </c>
      <c r="AF20" s="104">
        <f>$E$20*Quantidades!AF21</f>
        <v>98792.304518698555</v>
      </c>
      <c r="AG20" s="104">
        <f>$E$20*Quantidades!AG21</f>
        <v>98792.304518698555</v>
      </c>
      <c r="AH20" s="104">
        <f>$E$20*Quantidades!AH21</f>
        <v>98792.304518698555</v>
      </c>
      <c r="AI20" s="104">
        <f>$E$20*Quantidades!AI21</f>
        <v>98792.304518698555</v>
      </c>
      <c r="AJ20" s="104">
        <f t="shared" si="1"/>
        <v>2600998.8977241572</v>
      </c>
      <c r="AK20" s="4"/>
    </row>
    <row r="21" spans="2:38" x14ac:dyDescent="0.25">
      <c r="B21" s="61"/>
      <c r="C21" s="66" t="s">
        <v>164</v>
      </c>
      <c r="D21" s="61"/>
      <c r="E21" s="93"/>
      <c r="F21" s="169">
        <f t="shared" ref="F21:AH21" si="4">+SUBTOTAL(9,F22:F33)</f>
        <v>0</v>
      </c>
      <c r="G21" s="169">
        <f t="shared" si="4"/>
        <v>368805.18004166661</v>
      </c>
      <c r="H21" s="169">
        <f t="shared" si="4"/>
        <v>368805.18004166661</v>
      </c>
      <c r="I21" s="169">
        <f t="shared" si="4"/>
        <v>368805.18004166661</v>
      </c>
      <c r="J21" s="169">
        <f t="shared" si="4"/>
        <v>369610.07971883332</v>
      </c>
      <c r="K21" s="169">
        <f t="shared" si="4"/>
        <v>369610.07971883332</v>
      </c>
      <c r="L21" s="169">
        <f t="shared" si="4"/>
        <v>391035.50405262504</v>
      </c>
      <c r="M21" s="169">
        <f t="shared" si="4"/>
        <v>413436.18109868746</v>
      </c>
      <c r="N21" s="169">
        <f t="shared" si="4"/>
        <v>432915.9822691041</v>
      </c>
      <c r="O21" s="169">
        <f t="shared" si="4"/>
        <v>449573.68917558331</v>
      </c>
      <c r="P21" s="169">
        <f t="shared" si="4"/>
        <v>449573.68917558331</v>
      </c>
      <c r="Q21" s="169">
        <f t="shared" si="4"/>
        <v>449573.68917558331</v>
      </c>
      <c r="R21" s="169">
        <f t="shared" si="4"/>
        <v>449573.68917558331</v>
      </c>
      <c r="S21" s="169">
        <f t="shared" si="4"/>
        <v>449573.68917558331</v>
      </c>
      <c r="T21" s="169">
        <f t="shared" si="4"/>
        <v>449573.68917558331</v>
      </c>
      <c r="U21" s="169">
        <f t="shared" si="4"/>
        <v>449573.68917558331</v>
      </c>
      <c r="V21" s="169">
        <f t="shared" si="4"/>
        <v>449573.68917558331</v>
      </c>
      <c r="W21" s="169">
        <f t="shared" si="4"/>
        <v>449573.68917558331</v>
      </c>
      <c r="X21" s="169">
        <f t="shared" si="4"/>
        <v>449573.68917558331</v>
      </c>
      <c r="Y21" s="169">
        <f t="shared" si="4"/>
        <v>450743.6694314538</v>
      </c>
      <c r="Z21" s="169">
        <f t="shared" si="4"/>
        <v>450743.6694314538</v>
      </c>
      <c r="AA21" s="169">
        <f t="shared" si="4"/>
        <v>450743.6694314538</v>
      </c>
      <c r="AB21" s="169">
        <f t="shared" si="4"/>
        <v>450743.6694314538</v>
      </c>
      <c r="AC21" s="169">
        <f t="shared" si="4"/>
        <v>450743.6694314538</v>
      </c>
      <c r="AD21" s="169">
        <f t="shared" si="4"/>
        <v>450743.6694314538</v>
      </c>
      <c r="AE21" s="169">
        <f t="shared" si="4"/>
        <v>450743.6694314538</v>
      </c>
      <c r="AF21" s="169">
        <f t="shared" si="4"/>
        <v>450743.6694314538</v>
      </c>
      <c r="AG21" s="169">
        <f t="shared" si="4"/>
        <v>450743.6694314538</v>
      </c>
      <c r="AH21" s="169">
        <f t="shared" si="4"/>
        <v>450743.6694314538</v>
      </c>
      <c r="AI21" s="169">
        <f>+SUBTOTAL(9,AI22:AI33)</f>
        <v>450743.6694314538</v>
      </c>
      <c r="AJ21" s="169">
        <f t="shared" si="1"/>
        <v>12536940.622484908</v>
      </c>
      <c r="AK21" s="4"/>
      <c r="AL21" s="4"/>
    </row>
    <row r="22" spans="2:38" x14ac:dyDescent="0.25">
      <c r="B22" s="77"/>
      <c r="C22" s="68" t="s">
        <v>165</v>
      </c>
      <c r="D22" s="177"/>
      <c r="E22" s="94"/>
      <c r="F22" s="171">
        <f>+SUBTOTAL(9,F23:F26)</f>
        <v>0</v>
      </c>
      <c r="G22" s="172">
        <f t="shared" ref="G22:AI22" si="5">+SUBTOTAL(9,G23:G26)</f>
        <v>66057.949708333326</v>
      </c>
      <c r="H22" s="172">
        <f t="shared" si="5"/>
        <v>66057.949708333326</v>
      </c>
      <c r="I22" s="172">
        <f t="shared" si="5"/>
        <v>66057.949708333326</v>
      </c>
      <c r="J22" s="172">
        <f t="shared" si="5"/>
        <v>66508.000378166675</v>
      </c>
      <c r="K22" s="172">
        <f t="shared" si="5"/>
        <v>66508.000378166675</v>
      </c>
      <c r="L22" s="172">
        <f t="shared" si="5"/>
        <v>78487.787234125019</v>
      </c>
      <c r="M22" s="172">
        <f t="shared" si="5"/>
        <v>91012.875757937509</v>
      </c>
      <c r="N22" s="172">
        <f t="shared" si="5"/>
        <v>101904.78914002083</v>
      </c>
      <c r="O22" s="172">
        <f t="shared" si="5"/>
        <v>111218.76001591668</v>
      </c>
      <c r="P22" s="172">
        <f t="shared" si="5"/>
        <v>111218.76001591668</v>
      </c>
      <c r="Q22" s="172">
        <f t="shared" si="5"/>
        <v>111218.76001591668</v>
      </c>
      <c r="R22" s="172">
        <f t="shared" si="5"/>
        <v>111218.76001591668</v>
      </c>
      <c r="S22" s="172">
        <f t="shared" si="5"/>
        <v>111218.76001591668</v>
      </c>
      <c r="T22" s="172">
        <f t="shared" si="5"/>
        <v>111218.76001591668</v>
      </c>
      <c r="U22" s="172">
        <f t="shared" si="5"/>
        <v>111218.76001591668</v>
      </c>
      <c r="V22" s="172">
        <f t="shared" si="5"/>
        <v>111218.76001591668</v>
      </c>
      <c r="W22" s="172">
        <f t="shared" si="5"/>
        <v>111218.76001591668</v>
      </c>
      <c r="X22" s="172">
        <f t="shared" si="5"/>
        <v>111218.76001591668</v>
      </c>
      <c r="Y22" s="172">
        <f t="shared" si="5"/>
        <v>111872.9414161376</v>
      </c>
      <c r="Z22" s="172">
        <f t="shared" si="5"/>
        <v>111872.9414161376</v>
      </c>
      <c r="AA22" s="172">
        <f t="shared" si="5"/>
        <v>111872.9414161376</v>
      </c>
      <c r="AB22" s="172">
        <f t="shared" si="5"/>
        <v>111872.9414161376</v>
      </c>
      <c r="AC22" s="172">
        <f t="shared" si="5"/>
        <v>111872.9414161376</v>
      </c>
      <c r="AD22" s="172">
        <f t="shared" si="5"/>
        <v>111872.9414161376</v>
      </c>
      <c r="AE22" s="172">
        <f t="shared" si="5"/>
        <v>111872.9414161376</v>
      </c>
      <c r="AF22" s="172">
        <f t="shared" si="5"/>
        <v>111872.9414161376</v>
      </c>
      <c r="AG22" s="172">
        <f t="shared" si="5"/>
        <v>111872.9414161376</v>
      </c>
      <c r="AH22" s="172">
        <f t="shared" si="5"/>
        <v>111872.9414161376</v>
      </c>
      <c r="AI22" s="172">
        <f t="shared" si="5"/>
        <v>111872.9414161376</v>
      </c>
      <c r="AJ22" s="172">
        <f t="shared" si="1"/>
        <v>2945385.2577500958</v>
      </c>
    </row>
    <row r="23" spans="2:38" x14ac:dyDescent="0.25">
      <c r="B23" s="77">
        <v>5214011</v>
      </c>
      <c r="C23" s="67" t="s">
        <v>166</v>
      </c>
      <c r="D23" s="77" t="s">
        <v>54</v>
      </c>
      <c r="E23" s="104">
        <f>'Preços Unitários'!D23</f>
        <v>10.49</v>
      </c>
      <c r="F23" s="98">
        <f>$E$23*Quantidades!F24</f>
        <v>0</v>
      </c>
      <c r="G23" s="104">
        <f>$E$23*Quantidades!G24</f>
        <v>23310.965416666662</v>
      </c>
      <c r="H23" s="104">
        <f>$E$23*Quantidades!H24</f>
        <v>23310.965416666662</v>
      </c>
      <c r="I23" s="104">
        <f>$E$23*Quantidades!I24</f>
        <v>23310.965416666662</v>
      </c>
      <c r="J23" s="104">
        <f>$E$23*Quantidades!J24</f>
        <v>23469.782268333332</v>
      </c>
      <c r="K23" s="104">
        <f>$E$23*Quantidades!K24</f>
        <v>23469.782268333332</v>
      </c>
      <c r="L23" s="104">
        <f>$E$23*Quantidades!L24</f>
        <v>27697.288546250002</v>
      </c>
      <c r="M23" s="104">
        <f>$E$23*Quantidades!M24</f>
        <v>32117.224476875002</v>
      </c>
      <c r="N23" s="104">
        <f>$E$23*Quantidades!N24</f>
        <v>35960.834781041667</v>
      </c>
      <c r="O23" s="104">
        <f>$E$23*Quantidades!O24</f>
        <v>39247.610315833335</v>
      </c>
      <c r="P23" s="104">
        <f>$E$23*Quantidades!P24</f>
        <v>39247.610315833335</v>
      </c>
      <c r="Q23" s="104">
        <f>$E$23*Quantidades!Q24</f>
        <v>39247.610315833335</v>
      </c>
      <c r="R23" s="104">
        <f>$E$23*Quantidades!R24</f>
        <v>39247.610315833335</v>
      </c>
      <c r="S23" s="104">
        <f>$E$23*Quantidades!S24</f>
        <v>39247.610315833335</v>
      </c>
      <c r="T23" s="104">
        <f>$E$23*Quantidades!T24</f>
        <v>39247.610315833335</v>
      </c>
      <c r="U23" s="104">
        <f>$E$23*Quantidades!U24</f>
        <v>39247.610315833335</v>
      </c>
      <c r="V23" s="104">
        <f>$E$23*Quantidades!V24</f>
        <v>39247.610315833335</v>
      </c>
      <c r="W23" s="104">
        <f>$E$23*Quantidades!W24</f>
        <v>39247.610315833335</v>
      </c>
      <c r="X23" s="104">
        <f>$E$23*Quantidades!X24</f>
        <v>39247.610315833335</v>
      </c>
      <c r="Y23" s="104">
        <f>$E$23*Quantidades!Y24</f>
        <v>39478.46216733809</v>
      </c>
      <c r="Z23" s="104">
        <f>$E$23*Quantidades!Z24</f>
        <v>39478.46216733809</v>
      </c>
      <c r="AA23" s="104">
        <f>$E$23*Quantidades!AA24</f>
        <v>39478.46216733809</v>
      </c>
      <c r="AB23" s="104">
        <f>$E$23*Quantidades!AB24</f>
        <v>39478.46216733809</v>
      </c>
      <c r="AC23" s="104">
        <f>$E$23*Quantidades!AC24</f>
        <v>39478.46216733809</v>
      </c>
      <c r="AD23" s="104">
        <f>$E$23*Quantidades!AD24</f>
        <v>39478.46216733809</v>
      </c>
      <c r="AE23" s="104">
        <f>$E$23*Quantidades!AE24</f>
        <v>39478.46216733809</v>
      </c>
      <c r="AF23" s="104">
        <f>$E$23*Quantidades!AF24</f>
        <v>39478.46216733809</v>
      </c>
      <c r="AG23" s="104">
        <f>$E$23*Quantidades!AG24</f>
        <v>39478.46216733809</v>
      </c>
      <c r="AH23" s="104">
        <f>$E$23*Quantidades!AH24</f>
        <v>39478.46216733809</v>
      </c>
      <c r="AI23" s="104">
        <f>$E$23*Quantidades!AI24</f>
        <v>39478.46216733809</v>
      </c>
      <c r="AJ23" s="104">
        <f t="shared" si="1"/>
        <v>1039386.9955898861</v>
      </c>
    </row>
    <row r="24" spans="2:38" x14ac:dyDescent="0.25">
      <c r="B24" s="77">
        <v>5213360</v>
      </c>
      <c r="C24" s="67" t="s">
        <v>167</v>
      </c>
      <c r="D24" s="77" t="s">
        <v>262</v>
      </c>
      <c r="E24" s="104">
        <f>'Preços Unitários'!D24</f>
        <v>17.89</v>
      </c>
      <c r="F24" s="98">
        <f>$E$24*Quantidades!F25</f>
        <v>0</v>
      </c>
      <c r="G24" s="104">
        <f>$E$24*Quantidades!G25</f>
        <v>26154.807291666664</v>
      </c>
      <c r="H24" s="104">
        <f>$E$24*Quantidades!H25</f>
        <v>26154.807291666664</v>
      </c>
      <c r="I24" s="104">
        <f>$E$24*Quantidades!I25</f>
        <v>26154.807291666664</v>
      </c>
      <c r="J24" s="104">
        <f>$E$24*Quantidades!J25</f>
        <v>26332.999145833335</v>
      </c>
      <c r="K24" s="104">
        <f>$E$24*Quantidades!K25</f>
        <v>26332.999145833335</v>
      </c>
      <c r="L24" s="104">
        <f>$E$24*Quantidades!L25</f>
        <v>31076.243796875006</v>
      </c>
      <c r="M24" s="104">
        <f>$E$24*Quantidades!M25</f>
        <v>36035.393726562506</v>
      </c>
      <c r="N24" s="104">
        <f>$E$24*Quantidades!N25</f>
        <v>40347.908674479171</v>
      </c>
      <c r="O24" s="104">
        <f>$E$24*Quantidades!O25</f>
        <v>44035.657302083338</v>
      </c>
      <c r="P24" s="104">
        <f>$E$24*Quantidades!P25</f>
        <v>44035.657302083338</v>
      </c>
      <c r="Q24" s="104">
        <f>$E$24*Quantidades!Q25</f>
        <v>44035.657302083338</v>
      </c>
      <c r="R24" s="104">
        <f>$E$24*Quantidades!R25</f>
        <v>44035.657302083338</v>
      </c>
      <c r="S24" s="104">
        <f>$E$24*Quantidades!S25</f>
        <v>44035.657302083338</v>
      </c>
      <c r="T24" s="104">
        <f>$E$24*Quantidades!T25</f>
        <v>44035.657302083338</v>
      </c>
      <c r="U24" s="104">
        <f>$E$24*Quantidades!U25</f>
        <v>44035.657302083338</v>
      </c>
      <c r="V24" s="104">
        <f>$E$24*Quantidades!V25</f>
        <v>44035.657302083338</v>
      </c>
      <c r="W24" s="104">
        <f>$E$24*Quantidades!W25</f>
        <v>44035.657302083338</v>
      </c>
      <c r="X24" s="104">
        <f>$E$24*Quantidades!X25</f>
        <v>44035.657302083338</v>
      </c>
      <c r="Y24" s="104">
        <f>$E$24*Quantidades!Y25</f>
        <v>44294.672129702376</v>
      </c>
      <c r="Z24" s="104">
        <f>$E$24*Quantidades!Z25</f>
        <v>44294.672129702376</v>
      </c>
      <c r="AA24" s="104">
        <f>$E$24*Quantidades!AA25</f>
        <v>44294.672129702376</v>
      </c>
      <c r="AB24" s="104">
        <f>$E$24*Quantidades!AB25</f>
        <v>44294.672129702376</v>
      </c>
      <c r="AC24" s="104">
        <f>$E$24*Quantidades!AC25</f>
        <v>44294.672129702376</v>
      </c>
      <c r="AD24" s="104">
        <f>$E$24*Quantidades!AD25</f>
        <v>44294.672129702376</v>
      </c>
      <c r="AE24" s="104">
        <f>$E$24*Quantidades!AE25</f>
        <v>44294.672129702376</v>
      </c>
      <c r="AF24" s="104">
        <f>$E$24*Quantidades!AF25</f>
        <v>44294.672129702376</v>
      </c>
      <c r="AG24" s="104">
        <f>$E$24*Quantidades!AG25</f>
        <v>44294.672129702376</v>
      </c>
      <c r="AH24" s="104">
        <f>$E$24*Quantidades!AH25</f>
        <v>44294.672129702376</v>
      </c>
      <c r="AI24" s="104">
        <f>$E$24*Quantidades!AI25</f>
        <v>44294.672129702376</v>
      </c>
      <c r="AJ24" s="104">
        <f t="shared" si="1"/>
        <v>1166187.9328121429</v>
      </c>
    </row>
    <row r="25" spans="2:38" x14ac:dyDescent="0.25">
      <c r="B25" s="77">
        <v>5213477</v>
      </c>
      <c r="C25" s="67" t="s">
        <v>169</v>
      </c>
      <c r="D25" s="77" t="s">
        <v>262</v>
      </c>
      <c r="E25" s="104">
        <f>'Preços Unitários'!D25</f>
        <v>125.98</v>
      </c>
      <c r="F25" s="98">
        <f>$E$25*Quantidades!F26</f>
        <v>0</v>
      </c>
      <c r="G25" s="104">
        <f>$E$25*Quantidades!G26</f>
        <v>14734.410833333333</v>
      </c>
      <c r="H25" s="104">
        <f>$E$25*Quantidades!H26</f>
        <v>14734.410833333333</v>
      </c>
      <c r="I25" s="104">
        <f>$E$25*Quantidades!I26</f>
        <v>14734.410833333333</v>
      </c>
      <c r="J25" s="104">
        <f>$E$25*Quantidades!J26</f>
        <v>14834.795896666667</v>
      </c>
      <c r="K25" s="104">
        <f>$E$25*Quantidades!K26</f>
        <v>14834.795896666667</v>
      </c>
      <c r="L25" s="104">
        <f>$E$25*Quantidades!L26</f>
        <v>17506.920932500001</v>
      </c>
      <c r="M25" s="104">
        <f>$E$25*Quantidades!M26</f>
        <v>20300.677033750002</v>
      </c>
      <c r="N25" s="104">
        <f>$E$25*Quantidades!N26</f>
        <v>22730.148842083334</v>
      </c>
      <c r="O25" s="104">
        <f>$E$25*Quantidades!O26</f>
        <v>24807.656151666666</v>
      </c>
      <c r="P25" s="104">
        <f>$E$25*Quantidades!P26</f>
        <v>24807.656151666666</v>
      </c>
      <c r="Q25" s="104">
        <f>$E$25*Quantidades!Q26</f>
        <v>24807.656151666666</v>
      </c>
      <c r="R25" s="104">
        <f>$E$25*Quantidades!R26</f>
        <v>24807.656151666666</v>
      </c>
      <c r="S25" s="104">
        <f>$E$25*Quantidades!S26</f>
        <v>24807.656151666666</v>
      </c>
      <c r="T25" s="104">
        <f>$E$25*Quantidades!T26</f>
        <v>24807.656151666666</v>
      </c>
      <c r="U25" s="104">
        <f>$E$25*Quantidades!U26</f>
        <v>24807.656151666666</v>
      </c>
      <c r="V25" s="104">
        <f>$E$25*Quantidades!V26</f>
        <v>24807.656151666666</v>
      </c>
      <c r="W25" s="104">
        <f>$E$25*Quantidades!W26</f>
        <v>24807.656151666666</v>
      </c>
      <c r="X25" s="104">
        <f>$E$25*Quantidades!X26</f>
        <v>24807.656151666666</v>
      </c>
      <c r="Y25" s="104">
        <f>$E$25*Quantidades!Y26</f>
        <v>24953.573146561903</v>
      </c>
      <c r="Z25" s="104">
        <f>$E$25*Quantidades!Z26</f>
        <v>24953.573146561903</v>
      </c>
      <c r="AA25" s="104">
        <f>$E$25*Quantidades!AA26</f>
        <v>24953.573146561903</v>
      </c>
      <c r="AB25" s="104">
        <f>$E$25*Quantidades!AB26</f>
        <v>24953.573146561903</v>
      </c>
      <c r="AC25" s="104">
        <f>$E$25*Quantidades!AC26</f>
        <v>24953.573146561903</v>
      </c>
      <c r="AD25" s="104">
        <f>$E$25*Quantidades!AD26</f>
        <v>24953.573146561903</v>
      </c>
      <c r="AE25" s="104">
        <f>$E$25*Quantidades!AE26</f>
        <v>24953.573146561903</v>
      </c>
      <c r="AF25" s="104">
        <f>$E$25*Quantidades!AF26</f>
        <v>24953.573146561903</v>
      </c>
      <c r="AG25" s="104">
        <f>$E$25*Quantidades!AG26</f>
        <v>24953.573146561903</v>
      </c>
      <c r="AH25" s="104">
        <f>$E$25*Quantidades!AH26</f>
        <v>24953.573146561903</v>
      </c>
      <c r="AI25" s="104">
        <f>$E$25*Quantidades!AI26</f>
        <v>24953.573146561903</v>
      </c>
      <c r="AJ25" s="104">
        <f t="shared" si="1"/>
        <v>656976.43723051401</v>
      </c>
    </row>
    <row r="26" spans="2:38" x14ac:dyDescent="0.25">
      <c r="B26" s="77">
        <v>4915718</v>
      </c>
      <c r="C26" s="67" t="s">
        <v>170</v>
      </c>
      <c r="D26" s="77" t="s">
        <v>262</v>
      </c>
      <c r="E26" s="104">
        <f>'Preços Unitários'!D26</f>
        <v>7.22</v>
      </c>
      <c r="F26" s="98">
        <f>$E$26*Quantidades!F27</f>
        <v>0</v>
      </c>
      <c r="G26" s="104">
        <f>$E$26*Quantidades!G27</f>
        <v>1857.7661666666665</v>
      </c>
      <c r="H26" s="104">
        <f>$E$26*Quantidades!H27</f>
        <v>1857.7661666666665</v>
      </c>
      <c r="I26" s="104">
        <f>$E$26*Quantidades!I27</f>
        <v>1857.7661666666665</v>
      </c>
      <c r="J26" s="104">
        <f>$E$26*Quantidades!J27</f>
        <v>1870.4230673333334</v>
      </c>
      <c r="K26" s="104">
        <f>$E$26*Quantidades!K27</f>
        <v>1870.4230673333334</v>
      </c>
      <c r="L26" s="104">
        <f>$E$26*Quantidades!L27</f>
        <v>2207.3339585000003</v>
      </c>
      <c r="M26" s="104">
        <f>$E$26*Quantidades!M27</f>
        <v>2559.5805207500002</v>
      </c>
      <c r="N26" s="104">
        <f>$E$26*Quantidades!N27</f>
        <v>2865.8968424166669</v>
      </c>
      <c r="O26" s="104">
        <f>$E$26*Quantidades!O27</f>
        <v>3127.8362463333333</v>
      </c>
      <c r="P26" s="104">
        <f>$E$26*Quantidades!P27</f>
        <v>3127.8362463333333</v>
      </c>
      <c r="Q26" s="104">
        <f>$E$26*Quantidades!Q27</f>
        <v>3127.8362463333333</v>
      </c>
      <c r="R26" s="104">
        <f>$E$26*Quantidades!R27</f>
        <v>3127.8362463333333</v>
      </c>
      <c r="S26" s="104">
        <f>$E$26*Quantidades!S27</f>
        <v>3127.8362463333333</v>
      </c>
      <c r="T26" s="104">
        <f>$E$26*Quantidades!T27</f>
        <v>3127.8362463333333</v>
      </c>
      <c r="U26" s="104">
        <f>$E$26*Quantidades!U27</f>
        <v>3127.8362463333333</v>
      </c>
      <c r="V26" s="104">
        <f>$E$26*Quantidades!V27</f>
        <v>3127.8362463333333</v>
      </c>
      <c r="W26" s="104">
        <f>$E$26*Quantidades!W27</f>
        <v>3127.8362463333333</v>
      </c>
      <c r="X26" s="104">
        <f>$E$26*Quantidades!X27</f>
        <v>3127.8362463333333</v>
      </c>
      <c r="Y26" s="104">
        <f>$E$26*Quantidades!Y27</f>
        <v>3146.2339725352381</v>
      </c>
      <c r="Z26" s="104">
        <f>$E$26*Quantidades!Z27</f>
        <v>3146.2339725352381</v>
      </c>
      <c r="AA26" s="104">
        <f>$E$26*Quantidades!AA27</f>
        <v>3146.2339725352381</v>
      </c>
      <c r="AB26" s="104">
        <f>$E$26*Quantidades!AB27</f>
        <v>3146.2339725352381</v>
      </c>
      <c r="AC26" s="104">
        <f>$E$26*Quantidades!AC27</f>
        <v>3146.2339725352381</v>
      </c>
      <c r="AD26" s="104">
        <f>$E$26*Quantidades!AD27</f>
        <v>3146.2339725352381</v>
      </c>
      <c r="AE26" s="104">
        <f>$E$26*Quantidades!AE27</f>
        <v>3146.2339725352381</v>
      </c>
      <c r="AF26" s="104">
        <f>$E$26*Quantidades!AF27</f>
        <v>3146.2339725352381</v>
      </c>
      <c r="AG26" s="104">
        <f>$E$26*Quantidades!AG27</f>
        <v>3146.2339725352381</v>
      </c>
      <c r="AH26" s="104">
        <f>$E$26*Quantidades!AH27</f>
        <v>3146.2339725352381</v>
      </c>
      <c r="AI26" s="104">
        <f>$E$26*Quantidades!AI27</f>
        <v>3146.2339725352381</v>
      </c>
      <c r="AJ26" s="104">
        <f t="shared" si="1"/>
        <v>82833.892117554249</v>
      </c>
    </row>
    <row r="27" spans="2:38" x14ac:dyDescent="0.25">
      <c r="B27" s="77"/>
      <c r="C27" s="68" t="s">
        <v>171</v>
      </c>
      <c r="D27" s="115"/>
      <c r="E27" s="104"/>
      <c r="F27" s="171">
        <f>+SUBTOTAL(9,F28:F29)</f>
        <v>0</v>
      </c>
      <c r="G27" s="172">
        <f t="shared" ref="G27:AI27" si="6">+SUBTOTAL(9,G28:G29)</f>
        <v>52084.352833333331</v>
      </c>
      <c r="H27" s="172">
        <f t="shared" si="6"/>
        <v>52084.352833333331</v>
      </c>
      <c r="I27" s="172">
        <f t="shared" si="6"/>
        <v>52084.352833333331</v>
      </c>
      <c r="J27" s="172">
        <f t="shared" si="6"/>
        <v>52439.201840666668</v>
      </c>
      <c r="K27" s="172">
        <f t="shared" si="6"/>
        <v>52439.201840666668</v>
      </c>
      <c r="L27" s="172">
        <f t="shared" si="6"/>
        <v>61884.839318500002</v>
      </c>
      <c r="M27" s="172">
        <f t="shared" si="6"/>
        <v>71760.427840749995</v>
      </c>
      <c r="N27" s="172">
        <f t="shared" si="6"/>
        <v>80348.315629083329</v>
      </c>
      <c r="O27" s="172">
        <f t="shared" si="6"/>
        <v>87692.051659666671</v>
      </c>
      <c r="P27" s="172">
        <f t="shared" si="6"/>
        <v>87692.051659666671</v>
      </c>
      <c r="Q27" s="172">
        <f t="shared" si="6"/>
        <v>87692.051659666671</v>
      </c>
      <c r="R27" s="172">
        <f t="shared" si="6"/>
        <v>87692.051659666671</v>
      </c>
      <c r="S27" s="172">
        <f t="shared" si="6"/>
        <v>87692.051659666671</v>
      </c>
      <c r="T27" s="172">
        <f t="shared" si="6"/>
        <v>87692.051659666671</v>
      </c>
      <c r="U27" s="172">
        <f t="shared" si="6"/>
        <v>87692.051659666671</v>
      </c>
      <c r="V27" s="172">
        <f t="shared" si="6"/>
        <v>87692.051659666671</v>
      </c>
      <c r="W27" s="172">
        <f t="shared" si="6"/>
        <v>87692.051659666671</v>
      </c>
      <c r="X27" s="172">
        <f t="shared" si="6"/>
        <v>87692.051659666671</v>
      </c>
      <c r="Y27" s="172">
        <f t="shared" si="6"/>
        <v>88207.850515316182</v>
      </c>
      <c r="Z27" s="172">
        <f t="shared" si="6"/>
        <v>88207.850515316182</v>
      </c>
      <c r="AA27" s="172">
        <f t="shared" si="6"/>
        <v>88207.850515316182</v>
      </c>
      <c r="AB27" s="172">
        <f t="shared" si="6"/>
        <v>88207.850515316182</v>
      </c>
      <c r="AC27" s="172">
        <f t="shared" si="6"/>
        <v>88207.850515316182</v>
      </c>
      <c r="AD27" s="172">
        <f t="shared" si="6"/>
        <v>88207.850515316182</v>
      </c>
      <c r="AE27" s="172">
        <f t="shared" si="6"/>
        <v>88207.850515316182</v>
      </c>
      <c r="AF27" s="172">
        <f t="shared" si="6"/>
        <v>88207.850515316182</v>
      </c>
      <c r="AG27" s="172">
        <f t="shared" si="6"/>
        <v>88207.850515316182</v>
      </c>
      <c r="AH27" s="172">
        <f t="shared" si="6"/>
        <v>88207.850515316182</v>
      </c>
      <c r="AI27" s="172">
        <f t="shared" si="6"/>
        <v>88207.850515316182</v>
      </c>
      <c r="AJ27" s="172">
        <f t="shared" si="1"/>
        <v>2322331.9172348119</v>
      </c>
    </row>
    <row r="28" spans="2:38" x14ac:dyDescent="0.25">
      <c r="B28" s="77">
        <v>5213440</v>
      </c>
      <c r="C28" s="67" t="s">
        <v>172</v>
      </c>
      <c r="D28" s="77" t="s">
        <v>54</v>
      </c>
      <c r="E28" s="104">
        <f>'Preços Unitários'!D28</f>
        <v>214.72</v>
      </c>
      <c r="F28" s="98">
        <f>$E$28*Quantidades!F29</f>
        <v>0</v>
      </c>
      <c r="G28" s="104">
        <f>$E$28*Quantidades!G29</f>
        <v>50226.586666666662</v>
      </c>
      <c r="H28" s="104">
        <f>$E$28*Quantidades!H29</f>
        <v>50226.586666666662</v>
      </c>
      <c r="I28" s="104">
        <f>$E$28*Quantidades!I29</f>
        <v>50226.586666666662</v>
      </c>
      <c r="J28" s="104">
        <f>$E$28*Quantidades!J29</f>
        <v>50568.778773333332</v>
      </c>
      <c r="K28" s="104">
        <f>$E$28*Quantidades!K29</f>
        <v>50568.778773333332</v>
      </c>
      <c r="L28" s="104">
        <f>$E$28*Quantidades!L29</f>
        <v>59677.505360000003</v>
      </c>
      <c r="M28" s="104">
        <f>$E$28*Quantidades!M29</f>
        <v>69200.847320000001</v>
      </c>
      <c r="N28" s="104">
        <f>$E$28*Quantidades!N29</f>
        <v>77482.418786666662</v>
      </c>
      <c r="O28" s="104">
        <f>$E$28*Quantidades!O29</f>
        <v>84564.215413333339</v>
      </c>
      <c r="P28" s="104">
        <f>$E$28*Quantidades!P29</f>
        <v>84564.215413333339</v>
      </c>
      <c r="Q28" s="104">
        <f>$E$28*Quantidades!Q29</f>
        <v>84564.215413333339</v>
      </c>
      <c r="R28" s="104">
        <f>$E$28*Quantidades!R29</f>
        <v>84564.215413333339</v>
      </c>
      <c r="S28" s="104">
        <f>$E$28*Quantidades!S29</f>
        <v>84564.215413333339</v>
      </c>
      <c r="T28" s="104">
        <f>$E$28*Quantidades!T29</f>
        <v>84564.215413333339</v>
      </c>
      <c r="U28" s="104">
        <f>$E$28*Quantidades!U29</f>
        <v>84564.215413333339</v>
      </c>
      <c r="V28" s="104">
        <f>$E$28*Quantidades!V29</f>
        <v>84564.215413333339</v>
      </c>
      <c r="W28" s="104">
        <f>$E$28*Quantidades!W29</f>
        <v>84564.215413333339</v>
      </c>
      <c r="X28" s="104">
        <f>$E$28*Quantidades!X29</f>
        <v>84564.215413333339</v>
      </c>
      <c r="Y28" s="104">
        <f>$E$28*Quantidades!Y29</f>
        <v>85061.616542780946</v>
      </c>
      <c r="Z28" s="104">
        <f>$E$28*Quantidades!Z29</f>
        <v>85061.616542780946</v>
      </c>
      <c r="AA28" s="104">
        <f>$E$28*Quantidades!AA29</f>
        <v>85061.616542780946</v>
      </c>
      <c r="AB28" s="104">
        <f>$E$28*Quantidades!AB29</f>
        <v>85061.616542780946</v>
      </c>
      <c r="AC28" s="104">
        <f>$E$28*Quantidades!AC29</f>
        <v>85061.616542780946</v>
      </c>
      <c r="AD28" s="104">
        <f>$E$28*Quantidades!AD29</f>
        <v>85061.616542780946</v>
      </c>
      <c r="AE28" s="104">
        <f>$E$28*Quantidades!AE29</f>
        <v>85061.616542780946</v>
      </c>
      <c r="AF28" s="104">
        <f>$E$28*Quantidades!AF29</f>
        <v>85061.616542780946</v>
      </c>
      <c r="AG28" s="104">
        <f>$E$28*Quantidades!AG29</f>
        <v>85061.616542780946</v>
      </c>
      <c r="AH28" s="104">
        <f>$E$28*Quantidades!AH29</f>
        <v>85061.616542780946</v>
      </c>
      <c r="AI28" s="104">
        <f>$E$28*Quantidades!AI29</f>
        <v>85061.616542780946</v>
      </c>
      <c r="AJ28" s="104">
        <f t="shared" si="1"/>
        <v>2239498.0251172576</v>
      </c>
    </row>
    <row r="29" spans="2:38" x14ac:dyDescent="0.25">
      <c r="B29" s="77">
        <v>4915718</v>
      </c>
      <c r="C29" s="67" t="s">
        <v>173</v>
      </c>
      <c r="D29" s="77" t="s">
        <v>54</v>
      </c>
      <c r="E29" s="104">
        <f>'Preços Unitários'!D29</f>
        <v>7.22</v>
      </c>
      <c r="F29" s="98">
        <f>$E$29*Quantidades!F30</f>
        <v>0</v>
      </c>
      <c r="G29" s="104">
        <f>$E$29*Quantidades!G30</f>
        <v>1857.7661666666665</v>
      </c>
      <c r="H29" s="104">
        <f>$E$29*Quantidades!H30</f>
        <v>1857.7661666666665</v>
      </c>
      <c r="I29" s="104">
        <f>$E$29*Quantidades!I30</f>
        <v>1857.7661666666665</v>
      </c>
      <c r="J29" s="104">
        <f>$E$29*Quantidades!J30</f>
        <v>1870.4230673333334</v>
      </c>
      <c r="K29" s="104">
        <f>$E$29*Quantidades!K30</f>
        <v>1870.4230673333334</v>
      </c>
      <c r="L29" s="104">
        <f>$E$29*Quantidades!L30</f>
        <v>2207.3339585000003</v>
      </c>
      <c r="M29" s="104">
        <f>$E$29*Quantidades!M30</f>
        <v>2559.5805207500002</v>
      </c>
      <c r="N29" s="104">
        <f>$E$29*Quantidades!N30</f>
        <v>2865.8968424166669</v>
      </c>
      <c r="O29" s="104">
        <f>$E$29*Quantidades!O30</f>
        <v>3127.8362463333333</v>
      </c>
      <c r="P29" s="104">
        <f>$E$29*Quantidades!P30</f>
        <v>3127.8362463333333</v>
      </c>
      <c r="Q29" s="104">
        <f>$E$29*Quantidades!Q30</f>
        <v>3127.8362463333333</v>
      </c>
      <c r="R29" s="104">
        <f>$E$29*Quantidades!R30</f>
        <v>3127.8362463333333</v>
      </c>
      <c r="S29" s="104">
        <f>$E$29*Quantidades!S30</f>
        <v>3127.8362463333333</v>
      </c>
      <c r="T29" s="104">
        <f>$E$29*Quantidades!T30</f>
        <v>3127.8362463333333</v>
      </c>
      <c r="U29" s="104">
        <f>$E$29*Quantidades!U30</f>
        <v>3127.8362463333333</v>
      </c>
      <c r="V29" s="104">
        <f>$E$29*Quantidades!V30</f>
        <v>3127.8362463333333</v>
      </c>
      <c r="W29" s="104">
        <f>$E$29*Quantidades!W30</f>
        <v>3127.8362463333333</v>
      </c>
      <c r="X29" s="104">
        <f>$E$29*Quantidades!X30</f>
        <v>3127.8362463333333</v>
      </c>
      <c r="Y29" s="104">
        <f>$E$29*Quantidades!Y30</f>
        <v>3146.2339725352381</v>
      </c>
      <c r="Z29" s="104">
        <f>$E$29*Quantidades!Z30</f>
        <v>3146.2339725352381</v>
      </c>
      <c r="AA29" s="104">
        <f>$E$29*Quantidades!AA30</f>
        <v>3146.2339725352381</v>
      </c>
      <c r="AB29" s="104">
        <f>$E$29*Quantidades!AB30</f>
        <v>3146.2339725352381</v>
      </c>
      <c r="AC29" s="104">
        <f>$E$29*Quantidades!AC30</f>
        <v>3146.2339725352381</v>
      </c>
      <c r="AD29" s="104">
        <f>$E$29*Quantidades!AD30</f>
        <v>3146.2339725352381</v>
      </c>
      <c r="AE29" s="104">
        <f>$E$29*Quantidades!AE30</f>
        <v>3146.2339725352381</v>
      </c>
      <c r="AF29" s="104">
        <f>$E$29*Quantidades!AF30</f>
        <v>3146.2339725352381</v>
      </c>
      <c r="AG29" s="104">
        <f>$E$29*Quantidades!AG30</f>
        <v>3146.2339725352381</v>
      </c>
      <c r="AH29" s="104">
        <f>$E$29*Quantidades!AH30</f>
        <v>3146.2339725352381</v>
      </c>
      <c r="AI29" s="104">
        <f>$E$29*Quantidades!AI30</f>
        <v>3146.2339725352381</v>
      </c>
      <c r="AJ29" s="104">
        <f t="shared" si="1"/>
        <v>82833.892117554249</v>
      </c>
    </row>
    <row r="30" spans="2:38" x14ac:dyDescent="0.25">
      <c r="B30" s="77"/>
      <c r="C30" s="68" t="s">
        <v>174</v>
      </c>
      <c r="D30" s="115"/>
      <c r="E30" s="104"/>
      <c r="F30" s="171">
        <f t="shared" ref="F30:AI30" si="7">+SUBTOTAL(9,F31:F33)</f>
        <v>0</v>
      </c>
      <c r="G30" s="172">
        <f t="shared" si="7"/>
        <v>250662.87749999997</v>
      </c>
      <c r="H30" s="172">
        <f t="shared" si="7"/>
        <v>250662.87749999997</v>
      </c>
      <c r="I30" s="172">
        <f t="shared" si="7"/>
        <v>250662.87749999997</v>
      </c>
      <c r="J30" s="172">
        <f t="shared" si="7"/>
        <v>250662.87749999997</v>
      </c>
      <c r="K30" s="172">
        <f t="shared" si="7"/>
        <v>250662.87749999997</v>
      </c>
      <c r="L30" s="172">
        <f t="shared" si="7"/>
        <v>250662.87749999997</v>
      </c>
      <c r="M30" s="172">
        <f t="shared" si="7"/>
        <v>250662.87749999997</v>
      </c>
      <c r="N30" s="172">
        <f t="shared" si="7"/>
        <v>250662.87749999997</v>
      </c>
      <c r="O30" s="172">
        <f t="shared" si="7"/>
        <v>250662.87749999997</v>
      </c>
      <c r="P30" s="172">
        <f t="shared" si="7"/>
        <v>250662.87749999997</v>
      </c>
      <c r="Q30" s="172">
        <f t="shared" si="7"/>
        <v>250662.87749999997</v>
      </c>
      <c r="R30" s="172">
        <f t="shared" si="7"/>
        <v>250662.87749999997</v>
      </c>
      <c r="S30" s="172">
        <f t="shared" si="7"/>
        <v>250662.87749999997</v>
      </c>
      <c r="T30" s="172">
        <f t="shared" si="7"/>
        <v>250662.87749999997</v>
      </c>
      <c r="U30" s="172">
        <f t="shared" si="7"/>
        <v>250662.87749999997</v>
      </c>
      <c r="V30" s="172">
        <f t="shared" si="7"/>
        <v>250662.87749999997</v>
      </c>
      <c r="W30" s="172">
        <f t="shared" si="7"/>
        <v>250662.87749999997</v>
      </c>
      <c r="X30" s="172">
        <f t="shared" si="7"/>
        <v>250662.87749999997</v>
      </c>
      <c r="Y30" s="172">
        <f t="shared" si="7"/>
        <v>250662.87749999997</v>
      </c>
      <c r="Z30" s="172">
        <f t="shared" si="7"/>
        <v>250662.87749999997</v>
      </c>
      <c r="AA30" s="172">
        <f t="shared" si="7"/>
        <v>250662.87749999997</v>
      </c>
      <c r="AB30" s="172">
        <f t="shared" si="7"/>
        <v>250662.87749999997</v>
      </c>
      <c r="AC30" s="172">
        <f t="shared" si="7"/>
        <v>250662.87749999997</v>
      </c>
      <c r="AD30" s="172">
        <f t="shared" si="7"/>
        <v>250662.87749999997</v>
      </c>
      <c r="AE30" s="172">
        <f t="shared" si="7"/>
        <v>250662.87749999997</v>
      </c>
      <c r="AF30" s="172">
        <f t="shared" si="7"/>
        <v>250662.87749999997</v>
      </c>
      <c r="AG30" s="172">
        <f t="shared" si="7"/>
        <v>250662.87749999997</v>
      </c>
      <c r="AH30" s="172">
        <f t="shared" si="7"/>
        <v>250662.87749999997</v>
      </c>
      <c r="AI30" s="172">
        <f t="shared" si="7"/>
        <v>250662.87749999997</v>
      </c>
      <c r="AJ30" s="172">
        <f t="shared" si="1"/>
        <v>7269223.4475000044</v>
      </c>
    </row>
    <row r="31" spans="2:38" x14ac:dyDescent="0.25">
      <c r="B31" s="77">
        <v>4915721</v>
      </c>
      <c r="C31" s="67" t="s">
        <v>175</v>
      </c>
      <c r="D31" s="77" t="s">
        <v>316</v>
      </c>
      <c r="E31" s="104">
        <f>'Preços Unitários'!D31</f>
        <v>674.75</v>
      </c>
      <c r="F31" s="98">
        <f>$E$31*Quantidades!F32</f>
        <v>0</v>
      </c>
      <c r="G31" s="104">
        <f>$E$31*Quantidades!G32</f>
        <v>250662.87749999997</v>
      </c>
      <c r="H31" s="104">
        <f>$E$31*Quantidades!H32</f>
        <v>250662.87749999997</v>
      </c>
      <c r="I31" s="104">
        <f>$E$31*Quantidades!I32</f>
        <v>250662.87749999997</v>
      </c>
      <c r="J31" s="104">
        <f>$E$31*Quantidades!J32</f>
        <v>250662.87749999997</v>
      </c>
      <c r="K31" s="104">
        <f>$E$31*Quantidades!K32</f>
        <v>250662.87749999997</v>
      </c>
      <c r="L31" s="104">
        <f>$E$31*Quantidades!L32</f>
        <v>250662.87749999997</v>
      </c>
      <c r="M31" s="104">
        <f>$E$31*Quantidades!M32</f>
        <v>250662.87749999997</v>
      </c>
      <c r="N31" s="104">
        <f>$E$31*Quantidades!N32</f>
        <v>250662.87749999997</v>
      </c>
      <c r="O31" s="104">
        <f>$E$31*Quantidades!O32</f>
        <v>250662.87749999997</v>
      </c>
      <c r="P31" s="104">
        <f>$E$31*Quantidades!P32</f>
        <v>250662.87749999997</v>
      </c>
      <c r="Q31" s="104">
        <f>$E$31*Quantidades!Q32</f>
        <v>250662.87749999997</v>
      </c>
      <c r="R31" s="104">
        <f>$E$31*Quantidades!R32</f>
        <v>250662.87749999997</v>
      </c>
      <c r="S31" s="104">
        <f>$E$31*Quantidades!S32</f>
        <v>250662.87749999997</v>
      </c>
      <c r="T31" s="104">
        <f>$E$31*Quantidades!T32</f>
        <v>250662.87749999997</v>
      </c>
      <c r="U31" s="104">
        <f>$E$31*Quantidades!U32</f>
        <v>250662.87749999997</v>
      </c>
      <c r="V31" s="104">
        <f>$E$31*Quantidades!V32</f>
        <v>250662.87749999997</v>
      </c>
      <c r="W31" s="104">
        <f>$E$31*Quantidades!W32</f>
        <v>250662.87749999997</v>
      </c>
      <c r="X31" s="104">
        <f>$E$31*Quantidades!X32</f>
        <v>250662.87749999997</v>
      </c>
      <c r="Y31" s="104">
        <f>$E$31*Quantidades!Y32</f>
        <v>250662.87749999997</v>
      </c>
      <c r="Z31" s="104">
        <f>$E$31*Quantidades!Z32</f>
        <v>250662.87749999997</v>
      </c>
      <c r="AA31" s="104">
        <f>$E$31*Quantidades!AA32</f>
        <v>250662.87749999997</v>
      </c>
      <c r="AB31" s="104">
        <f>$E$31*Quantidades!AB32</f>
        <v>250662.87749999997</v>
      </c>
      <c r="AC31" s="104">
        <f>$E$31*Quantidades!AC32</f>
        <v>250662.87749999997</v>
      </c>
      <c r="AD31" s="104">
        <f>$E$31*Quantidades!AD32</f>
        <v>250662.87749999997</v>
      </c>
      <c r="AE31" s="104">
        <f>$E$31*Quantidades!AE32</f>
        <v>250662.87749999997</v>
      </c>
      <c r="AF31" s="104">
        <f>$E$31*Quantidades!AF32</f>
        <v>250662.87749999997</v>
      </c>
      <c r="AG31" s="104">
        <f>$E$31*Quantidades!AG32</f>
        <v>250662.87749999997</v>
      </c>
      <c r="AH31" s="104">
        <f>$E$31*Quantidades!AH32</f>
        <v>250662.87749999997</v>
      </c>
      <c r="AI31" s="104">
        <f>$E$31*Quantidades!AI32</f>
        <v>250662.87749999997</v>
      </c>
      <c r="AJ31" s="104">
        <f t="shared" si="1"/>
        <v>7269223.4475000044</v>
      </c>
    </row>
    <row r="32" spans="2:38" x14ac:dyDescent="0.25">
      <c r="B32" s="77" t="s">
        <v>351</v>
      </c>
      <c r="C32" s="67" t="s">
        <v>177</v>
      </c>
      <c r="D32" s="77" t="s">
        <v>313</v>
      </c>
      <c r="E32" s="104">
        <f>'Preços Unitários'!D32</f>
        <v>576.61</v>
      </c>
      <c r="F32" s="98">
        <f>$E$32*Quantidades!F33</f>
        <v>0</v>
      </c>
      <c r="G32" s="104">
        <f>$E$32*Quantidades!G33</f>
        <v>0</v>
      </c>
      <c r="H32" s="104">
        <f>$E$32*Quantidades!H33</f>
        <v>0</v>
      </c>
      <c r="I32" s="104">
        <f>$E$32*Quantidades!I33</f>
        <v>0</v>
      </c>
      <c r="J32" s="104">
        <f>$E$32*Quantidades!J33</f>
        <v>0</v>
      </c>
      <c r="K32" s="104">
        <f>$E$32*Quantidades!K33</f>
        <v>0</v>
      </c>
      <c r="L32" s="104">
        <f>$E$32*Quantidades!L33</f>
        <v>0</v>
      </c>
      <c r="M32" s="104">
        <f>$E$32*Quantidades!M33</f>
        <v>0</v>
      </c>
      <c r="N32" s="104">
        <f>$E$32*Quantidades!N33</f>
        <v>0</v>
      </c>
      <c r="O32" s="104">
        <f>$E$32*Quantidades!O33</f>
        <v>0</v>
      </c>
      <c r="P32" s="104">
        <f>$E$32*Quantidades!P33</f>
        <v>0</v>
      </c>
      <c r="Q32" s="104">
        <f>$E$32*Quantidades!Q33</f>
        <v>0</v>
      </c>
      <c r="R32" s="104">
        <f>$E$32*Quantidades!R33</f>
        <v>0</v>
      </c>
      <c r="S32" s="104">
        <f>$E$32*Quantidades!S33</f>
        <v>0</v>
      </c>
      <c r="T32" s="104">
        <f>$E$32*Quantidades!T33</f>
        <v>0</v>
      </c>
      <c r="U32" s="104">
        <f>$E$32*Quantidades!U33</f>
        <v>0</v>
      </c>
      <c r="V32" s="104">
        <f>$E$32*Quantidades!V33</f>
        <v>0</v>
      </c>
      <c r="W32" s="104">
        <f>$E$32*Quantidades!W33</f>
        <v>0</v>
      </c>
      <c r="X32" s="104">
        <f>$E$32*Quantidades!X33</f>
        <v>0</v>
      </c>
      <c r="Y32" s="104">
        <f>$E$32*Quantidades!Y33</f>
        <v>0</v>
      </c>
      <c r="Z32" s="104">
        <f>$E$32*Quantidades!Z33</f>
        <v>0</v>
      </c>
      <c r="AA32" s="104">
        <f>$E$32*Quantidades!AA33</f>
        <v>0</v>
      </c>
      <c r="AB32" s="104">
        <f>$E$32*Quantidades!AB33</f>
        <v>0</v>
      </c>
      <c r="AC32" s="104">
        <f>$E$32*Quantidades!AC33</f>
        <v>0</v>
      </c>
      <c r="AD32" s="104">
        <f>$E$32*Quantidades!AD33</f>
        <v>0</v>
      </c>
      <c r="AE32" s="104">
        <f>$E$32*Quantidades!AE33</f>
        <v>0</v>
      </c>
      <c r="AF32" s="104">
        <f>$E$32*Quantidades!AF33</f>
        <v>0</v>
      </c>
      <c r="AG32" s="104">
        <f>$E$32*Quantidades!AG33</f>
        <v>0</v>
      </c>
      <c r="AH32" s="104">
        <f>$E$32*Quantidades!AH33</f>
        <v>0</v>
      </c>
      <c r="AI32" s="104">
        <f>$E$32*Quantidades!AI33</f>
        <v>0</v>
      </c>
      <c r="AJ32" s="104">
        <f t="shared" si="1"/>
        <v>0</v>
      </c>
    </row>
    <row r="33" spans="2:38" x14ac:dyDescent="0.25">
      <c r="B33" s="77">
        <v>3713823</v>
      </c>
      <c r="C33" s="67" t="s">
        <v>179</v>
      </c>
      <c r="D33" s="77" t="s">
        <v>316</v>
      </c>
      <c r="E33" s="104">
        <f>'Preços Unitários'!D33</f>
        <v>271.79000000000002</v>
      </c>
      <c r="F33" s="98">
        <f>$E$33*Quantidades!F34</f>
        <v>0</v>
      </c>
      <c r="G33" s="104">
        <f>$E$33*Quantidades!G34</f>
        <v>0</v>
      </c>
      <c r="H33" s="104">
        <f>$E$33*Quantidades!H34</f>
        <v>0</v>
      </c>
      <c r="I33" s="104">
        <f>$E$33*Quantidades!I34</f>
        <v>0</v>
      </c>
      <c r="J33" s="104">
        <f>$E$33*Quantidades!J34</f>
        <v>0</v>
      </c>
      <c r="K33" s="104">
        <f>$E$33*Quantidades!K34</f>
        <v>0</v>
      </c>
      <c r="L33" s="104">
        <f>$E$33*Quantidades!L34</f>
        <v>0</v>
      </c>
      <c r="M33" s="104">
        <f>$E$33*Quantidades!M34</f>
        <v>0</v>
      </c>
      <c r="N33" s="104">
        <f>$E$33*Quantidades!N34</f>
        <v>0</v>
      </c>
      <c r="O33" s="104">
        <f>$E$33*Quantidades!O34</f>
        <v>0</v>
      </c>
      <c r="P33" s="104">
        <f>$E$33*Quantidades!P34</f>
        <v>0</v>
      </c>
      <c r="Q33" s="104">
        <f>$E$33*Quantidades!Q34</f>
        <v>0</v>
      </c>
      <c r="R33" s="104">
        <f>$E$33*Quantidades!R34</f>
        <v>0</v>
      </c>
      <c r="S33" s="104">
        <f>$E$33*Quantidades!S34</f>
        <v>0</v>
      </c>
      <c r="T33" s="104">
        <f>$E$33*Quantidades!T34</f>
        <v>0</v>
      </c>
      <c r="U33" s="104">
        <f>$E$33*Quantidades!U34</f>
        <v>0</v>
      </c>
      <c r="V33" s="104">
        <f>$E$33*Quantidades!V34</f>
        <v>0</v>
      </c>
      <c r="W33" s="104">
        <f>$E$33*Quantidades!W34</f>
        <v>0</v>
      </c>
      <c r="X33" s="104">
        <f>$E$33*Quantidades!X34</f>
        <v>0</v>
      </c>
      <c r="Y33" s="104">
        <f>$E$33*Quantidades!Y34</f>
        <v>0</v>
      </c>
      <c r="Z33" s="104">
        <f>$E$33*Quantidades!Z34</f>
        <v>0</v>
      </c>
      <c r="AA33" s="104">
        <f>$E$33*Quantidades!AA34</f>
        <v>0</v>
      </c>
      <c r="AB33" s="104">
        <f>$E$33*Quantidades!AB34</f>
        <v>0</v>
      </c>
      <c r="AC33" s="104">
        <f>$E$33*Quantidades!AC34</f>
        <v>0</v>
      </c>
      <c r="AD33" s="104">
        <f>$E$33*Quantidades!AD34</f>
        <v>0</v>
      </c>
      <c r="AE33" s="104">
        <f>$E$33*Quantidades!AE34</f>
        <v>0</v>
      </c>
      <c r="AF33" s="104">
        <f>$E$33*Quantidades!AF34</f>
        <v>0</v>
      </c>
      <c r="AG33" s="104">
        <f>$E$33*Quantidades!AG34</f>
        <v>0</v>
      </c>
      <c r="AH33" s="104">
        <f>$E$33*Quantidades!AH34</f>
        <v>0</v>
      </c>
      <c r="AI33" s="104">
        <f>$E$33*Quantidades!AI34</f>
        <v>0</v>
      </c>
      <c r="AJ33" s="104">
        <f t="shared" si="1"/>
        <v>0</v>
      </c>
    </row>
    <row r="34" spans="2:38" x14ac:dyDescent="0.25">
      <c r="B34" s="61"/>
      <c r="C34" s="66" t="s">
        <v>180</v>
      </c>
      <c r="D34" s="61"/>
      <c r="E34" s="93"/>
      <c r="F34" s="169">
        <f t="shared" ref="F34:AH34" si="8">+SUBTOTAL(9,F35:F41)</f>
        <v>0</v>
      </c>
      <c r="G34" s="169">
        <f t="shared" si="8"/>
        <v>8989.9818933333318</v>
      </c>
      <c r="H34" s="169">
        <f t="shared" si="8"/>
        <v>8989.9818933333318</v>
      </c>
      <c r="I34" s="169">
        <f t="shared" si="8"/>
        <v>8989.9818933333318</v>
      </c>
      <c r="J34" s="169">
        <f t="shared" si="8"/>
        <v>8989.9818933333318</v>
      </c>
      <c r="K34" s="169">
        <f t="shared" si="8"/>
        <v>8989.9818933333318</v>
      </c>
      <c r="L34" s="169">
        <f t="shared" si="8"/>
        <v>8989.9818933333318</v>
      </c>
      <c r="M34" s="169">
        <f t="shared" si="8"/>
        <v>8989.9818933333318</v>
      </c>
      <c r="N34" s="169">
        <f t="shared" si="8"/>
        <v>8989.9818933333318</v>
      </c>
      <c r="O34" s="169">
        <f t="shared" si="8"/>
        <v>8989.9818933333318</v>
      </c>
      <c r="P34" s="169">
        <f t="shared" si="8"/>
        <v>8989.9818933333318</v>
      </c>
      <c r="Q34" s="169">
        <f t="shared" si="8"/>
        <v>8989.9818933333318</v>
      </c>
      <c r="R34" s="169">
        <f t="shared" si="8"/>
        <v>8989.9818933333318</v>
      </c>
      <c r="S34" s="169">
        <f t="shared" si="8"/>
        <v>8989.9818933333318</v>
      </c>
      <c r="T34" s="169">
        <f t="shared" si="8"/>
        <v>8989.9818933333318</v>
      </c>
      <c r="U34" s="169">
        <f t="shared" si="8"/>
        <v>8989.9818933333318</v>
      </c>
      <c r="V34" s="169">
        <f t="shared" si="8"/>
        <v>8989.9818933333318</v>
      </c>
      <c r="W34" s="169">
        <f t="shared" si="8"/>
        <v>8989.9818933333318</v>
      </c>
      <c r="X34" s="169">
        <f t="shared" si="8"/>
        <v>8989.9818933333318</v>
      </c>
      <c r="Y34" s="169">
        <f t="shared" si="8"/>
        <v>8989.9818933333318</v>
      </c>
      <c r="Z34" s="169">
        <f t="shared" si="8"/>
        <v>8989.9818933333318</v>
      </c>
      <c r="AA34" s="169">
        <f t="shared" si="8"/>
        <v>8989.9818933333318</v>
      </c>
      <c r="AB34" s="169">
        <f t="shared" si="8"/>
        <v>8989.9818933333318</v>
      </c>
      <c r="AC34" s="169">
        <f t="shared" si="8"/>
        <v>8989.9818933333318</v>
      </c>
      <c r="AD34" s="169">
        <f t="shared" si="8"/>
        <v>8989.9818933333318</v>
      </c>
      <c r="AE34" s="169">
        <f t="shared" si="8"/>
        <v>8989.9818933333318</v>
      </c>
      <c r="AF34" s="169">
        <f t="shared" si="8"/>
        <v>8989.9818933333318</v>
      </c>
      <c r="AG34" s="169">
        <f t="shared" si="8"/>
        <v>8989.9818933333318</v>
      </c>
      <c r="AH34" s="169">
        <f t="shared" si="8"/>
        <v>8989.9818933333318</v>
      </c>
      <c r="AI34" s="169">
        <f>+SUBTOTAL(9,AI35:AI41)</f>
        <v>8989.9818933333318</v>
      </c>
      <c r="AJ34" s="169">
        <f t="shared" si="1"/>
        <v>260709.47490666679</v>
      </c>
      <c r="AL34" s="4"/>
    </row>
    <row r="35" spans="2:38" x14ac:dyDescent="0.25">
      <c r="B35" s="77"/>
      <c r="C35" s="68" t="s">
        <v>317</v>
      </c>
      <c r="D35" s="115"/>
      <c r="E35" s="104"/>
      <c r="F35" s="98"/>
      <c r="G35" s="172">
        <f t="shared" ref="G35:AI35" si="9">+SUBTOTAL(9,G36:G41)</f>
        <v>8989.9818933333318</v>
      </c>
      <c r="H35" s="172">
        <f t="shared" si="9"/>
        <v>8989.9818933333318</v>
      </c>
      <c r="I35" s="172">
        <f t="shared" si="9"/>
        <v>8989.9818933333318</v>
      </c>
      <c r="J35" s="172">
        <f t="shared" si="9"/>
        <v>8989.9818933333318</v>
      </c>
      <c r="K35" s="172">
        <f t="shared" si="9"/>
        <v>8989.9818933333318</v>
      </c>
      <c r="L35" s="172">
        <f t="shared" si="9"/>
        <v>8989.9818933333318</v>
      </c>
      <c r="M35" s="172">
        <f t="shared" si="9"/>
        <v>8989.9818933333318</v>
      </c>
      <c r="N35" s="172">
        <f t="shared" si="9"/>
        <v>8989.9818933333318</v>
      </c>
      <c r="O35" s="172">
        <f t="shared" si="9"/>
        <v>8989.9818933333318</v>
      </c>
      <c r="P35" s="172">
        <f t="shared" si="9"/>
        <v>8989.9818933333318</v>
      </c>
      <c r="Q35" s="172">
        <f t="shared" si="9"/>
        <v>8989.9818933333318</v>
      </c>
      <c r="R35" s="172">
        <f t="shared" si="9"/>
        <v>8989.9818933333318</v>
      </c>
      <c r="S35" s="172">
        <f t="shared" si="9"/>
        <v>8989.9818933333318</v>
      </c>
      <c r="T35" s="172">
        <f t="shared" si="9"/>
        <v>8989.9818933333318</v>
      </c>
      <c r="U35" s="172">
        <f t="shared" si="9"/>
        <v>8989.9818933333318</v>
      </c>
      <c r="V35" s="172">
        <f t="shared" si="9"/>
        <v>8989.9818933333318</v>
      </c>
      <c r="W35" s="172">
        <f t="shared" si="9"/>
        <v>8989.9818933333318</v>
      </c>
      <c r="X35" s="172">
        <f t="shared" si="9"/>
        <v>8989.9818933333318</v>
      </c>
      <c r="Y35" s="172">
        <f t="shared" si="9"/>
        <v>8989.9818933333318</v>
      </c>
      <c r="Z35" s="172">
        <f t="shared" si="9"/>
        <v>8989.9818933333318</v>
      </c>
      <c r="AA35" s="172">
        <f t="shared" si="9"/>
        <v>8989.9818933333318</v>
      </c>
      <c r="AB35" s="172">
        <f t="shared" si="9"/>
        <v>8989.9818933333318</v>
      </c>
      <c r="AC35" s="172">
        <f t="shared" si="9"/>
        <v>8989.9818933333318</v>
      </c>
      <c r="AD35" s="172">
        <f t="shared" si="9"/>
        <v>8989.9818933333318</v>
      </c>
      <c r="AE35" s="172">
        <f t="shared" si="9"/>
        <v>8989.9818933333318</v>
      </c>
      <c r="AF35" s="172">
        <f t="shared" si="9"/>
        <v>8989.9818933333318</v>
      </c>
      <c r="AG35" s="172">
        <f t="shared" si="9"/>
        <v>8989.9818933333318</v>
      </c>
      <c r="AH35" s="172">
        <f t="shared" si="9"/>
        <v>8989.9818933333318</v>
      </c>
      <c r="AI35" s="172">
        <f t="shared" si="9"/>
        <v>8989.9818933333318</v>
      </c>
      <c r="AJ35" s="172">
        <f t="shared" si="1"/>
        <v>260709.47490666679</v>
      </c>
    </row>
    <row r="36" spans="2:38" x14ac:dyDescent="0.25">
      <c r="B36" s="77">
        <v>4816118</v>
      </c>
      <c r="C36" s="84" t="s">
        <v>182</v>
      </c>
      <c r="D36" s="77" t="s">
        <v>316</v>
      </c>
      <c r="E36" s="104">
        <f>'Preços Unitários'!D36</f>
        <v>91.22</v>
      </c>
      <c r="F36" s="98">
        <f>$E$36*Quantidades!F37</f>
        <v>0</v>
      </c>
      <c r="G36" s="104">
        <f>$E$36*Quantidades!G37</f>
        <v>2548.6867999999999</v>
      </c>
      <c r="H36" s="104">
        <f>$E$36*Quantidades!H37</f>
        <v>2548.6867999999999</v>
      </c>
      <c r="I36" s="104">
        <f>$E$36*Quantidades!I37</f>
        <v>2548.6867999999999</v>
      </c>
      <c r="J36" s="104">
        <f>$E$36*Quantidades!J37</f>
        <v>2548.6867999999999</v>
      </c>
      <c r="K36" s="104">
        <f>$E$36*Quantidades!K37</f>
        <v>2548.6867999999999</v>
      </c>
      <c r="L36" s="104">
        <f>$E$36*Quantidades!L37</f>
        <v>2548.6867999999999</v>
      </c>
      <c r="M36" s="104">
        <f>$E$36*Quantidades!M37</f>
        <v>2548.6867999999999</v>
      </c>
      <c r="N36" s="104">
        <f>$E$36*Quantidades!N37</f>
        <v>2548.6867999999999</v>
      </c>
      <c r="O36" s="104">
        <f>$E$36*Quantidades!O37</f>
        <v>2548.6867999999999</v>
      </c>
      <c r="P36" s="104">
        <f>$E$36*Quantidades!P37</f>
        <v>2548.6867999999999</v>
      </c>
      <c r="Q36" s="104">
        <f>$E$36*Quantidades!Q37</f>
        <v>2548.6867999999999</v>
      </c>
      <c r="R36" s="104">
        <f>$E$36*Quantidades!R37</f>
        <v>2548.6867999999999</v>
      </c>
      <c r="S36" s="104">
        <f>$E$36*Quantidades!S37</f>
        <v>2548.6867999999999</v>
      </c>
      <c r="T36" s="104">
        <f>$E$36*Quantidades!T37</f>
        <v>2548.6867999999999</v>
      </c>
      <c r="U36" s="104">
        <f>$E$36*Quantidades!U37</f>
        <v>2548.6867999999999</v>
      </c>
      <c r="V36" s="104">
        <f>$E$36*Quantidades!V37</f>
        <v>2548.6867999999999</v>
      </c>
      <c r="W36" s="104">
        <f>$E$36*Quantidades!W37</f>
        <v>2548.6867999999999</v>
      </c>
      <c r="X36" s="104">
        <f>$E$36*Quantidades!X37</f>
        <v>2548.6867999999999</v>
      </c>
      <c r="Y36" s="104">
        <f>$E$36*Quantidades!Y37</f>
        <v>2548.6867999999999</v>
      </c>
      <c r="Z36" s="104">
        <f>$E$36*Quantidades!Z37</f>
        <v>2548.6867999999999</v>
      </c>
      <c r="AA36" s="104">
        <f>$E$36*Quantidades!AA37</f>
        <v>2548.6867999999999</v>
      </c>
      <c r="AB36" s="104">
        <f>$E$36*Quantidades!AB37</f>
        <v>2548.6867999999999</v>
      </c>
      <c r="AC36" s="104">
        <f>$E$36*Quantidades!AC37</f>
        <v>2548.6867999999999</v>
      </c>
      <c r="AD36" s="104">
        <f>$E$36*Quantidades!AD37</f>
        <v>2548.6867999999999</v>
      </c>
      <c r="AE36" s="104">
        <f>$E$36*Quantidades!AE37</f>
        <v>2548.6867999999999</v>
      </c>
      <c r="AF36" s="104">
        <f>$E$36*Quantidades!AF37</f>
        <v>2548.6867999999999</v>
      </c>
      <c r="AG36" s="104">
        <f>$E$36*Quantidades!AG37</f>
        <v>2548.6867999999999</v>
      </c>
      <c r="AH36" s="104">
        <f>$E$36*Quantidades!AH37</f>
        <v>2548.6867999999999</v>
      </c>
      <c r="AI36" s="104">
        <f>$E$36*Quantidades!AI37</f>
        <v>2548.6867999999999</v>
      </c>
      <c r="AJ36" s="104">
        <f t="shared" si="1"/>
        <v>73911.917200000025</v>
      </c>
    </row>
    <row r="37" spans="2:38" x14ac:dyDescent="0.25">
      <c r="B37" s="77">
        <v>4915723</v>
      </c>
      <c r="C37" s="84" t="s">
        <v>184</v>
      </c>
      <c r="D37" s="77" t="s">
        <v>54</v>
      </c>
      <c r="E37" s="104">
        <f>'Preços Unitários'!D37</f>
        <v>2.56</v>
      </c>
      <c r="F37" s="98">
        <f>$E$37*Quantidades!F38</f>
        <v>0</v>
      </c>
      <c r="G37" s="104">
        <f>$E$37*Quantidades!G38</f>
        <v>577.53599999999994</v>
      </c>
      <c r="H37" s="104">
        <f>$E$37*Quantidades!H38</f>
        <v>577.53599999999994</v>
      </c>
      <c r="I37" s="104">
        <f>$E$37*Quantidades!I38</f>
        <v>577.53599999999994</v>
      </c>
      <c r="J37" s="104">
        <f>$E$37*Quantidades!J38</f>
        <v>577.53599999999994</v>
      </c>
      <c r="K37" s="104">
        <f>$E$37*Quantidades!K38</f>
        <v>577.53599999999994</v>
      </c>
      <c r="L37" s="104">
        <f>$E$37*Quantidades!L38</f>
        <v>577.53599999999994</v>
      </c>
      <c r="M37" s="104">
        <f>$E$37*Quantidades!M38</f>
        <v>577.53599999999994</v>
      </c>
      <c r="N37" s="104">
        <f>$E$37*Quantidades!N38</f>
        <v>577.53599999999994</v>
      </c>
      <c r="O37" s="104">
        <f>$E$37*Quantidades!O38</f>
        <v>577.53599999999994</v>
      </c>
      <c r="P37" s="104">
        <f>$E$37*Quantidades!P38</f>
        <v>577.53599999999994</v>
      </c>
      <c r="Q37" s="104">
        <f>$E$37*Quantidades!Q38</f>
        <v>577.53599999999994</v>
      </c>
      <c r="R37" s="104">
        <f>$E$37*Quantidades!R38</f>
        <v>577.53599999999994</v>
      </c>
      <c r="S37" s="104">
        <f>$E$37*Quantidades!S38</f>
        <v>577.53599999999994</v>
      </c>
      <c r="T37" s="104">
        <f>$E$37*Quantidades!T38</f>
        <v>577.53599999999994</v>
      </c>
      <c r="U37" s="104">
        <f>$E$37*Quantidades!U38</f>
        <v>577.53599999999994</v>
      </c>
      <c r="V37" s="104">
        <f>$E$37*Quantidades!V38</f>
        <v>577.53599999999994</v>
      </c>
      <c r="W37" s="104">
        <f>$E$37*Quantidades!W38</f>
        <v>577.53599999999994</v>
      </c>
      <c r="X37" s="104">
        <f>$E$37*Quantidades!X38</f>
        <v>577.53599999999994</v>
      </c>
      <c r="Y37" s="104">
        <f>$E$37*Quantidades!Y38</f>
        <v>577.53599999999994</v>
      </c>
      <c r="Z37" s="104">
        <f>$E$37*Quantidades!Z38</f>
        <v>577.53599999999994</v>
      </c>
      <c r="AA37" s="104">
        <f>$E$37*Quantidades!AA38</f>
        <v>577.53599999999994</v>
      </c>
      <c r="AB37" s="104">
        <f>$E$37*Quantidades!AB38</f>
        <v>577.53599999999994</v>
      </c>
      <c r="AC37" s="104">
        <f>$E$37*Quantidades!AC38</f>
        <v>577.53599999999994</v>
      </c>
      <c r="AD37" s="104">
        <f>$E$37*Quantidades!AD38</f>
        <v>577.53599999999994</v>
      </c>
      <c r="AE37" s="104">
        <f>$E$37*Quantidades!AE38</f>
        <v>577.53599999999994</v>
      </c>
      <c r="AF37" s="104">
        <f>$E$37*Quantidades!AF38</f>
        <v>577.53599999999994</v>
      </c>
      <c r="AG37" s="104">
        <f>$E$37*Quantidades!AG38</f>
        <v>577.53599999999994</v>
      </c>
      <c r="AH37" s="104">
        <f>$E$37*Quantidades!AH38</f>
        <v>577.53599999999994</v>
      </c>
      <c r="AI37" s="104">
        <f>$E$37*Quantidades!AI38</f>
        <v>577.53599999999994</v>
      </c>
      <c r="AJ37" s="104">
        <f t="shared" si="1"/>
        <v>16748.543999999998</v>
      </c>
    </row>
    <row r="38" spans="2:38" x14ac:dyDescent="0.25">
      <c r="B38" s="77">
        <v>3806406</v>
      </c>
      <c r="C38" s="84" t="s">
        <v>837</v>
      </c>
      <c r="D38" s="77" t="s">
        <v>316</v>
      </c>
      <c r="E38" s="104">
        <f>'Preços Unitários'!D38</f>
        <v>1414.58</v>
      </c>
      <c r="F38" s="98">
        <f>$E$38*Quantidades!F39</f>
        <v>0</v>
      </c>
      <c r="G38" s="104">
        <f>$E$38*Quantidades!G39</f>
        <v>620.52909333333332</v>
      </c>
      <c r="H38" s="104">
        <f>$E$38*Quantidades!H39</f>
        <v>620.52909333333332</v>
      </c>
      <c r="I38" s="104">
        <f>$E$38*Quantidades!I39</f>
        <v>620.52909333333332</v>
      </c>
      <c r="J38" s="104">
        <f>$E$38*Quantidades!J39</f>
        <v>620.52909333333332</v>
      </c>
      <c r="K38" s="104">
        <f>$E$38*Quantidades!K39</f>
        <v>620.52909333333332</v>
      </c>
      <c r="L38" s="104">
        <f>$E$38*Quantidades!L39</f>
        <v>620.52909333333332</v>
      </c>
      <c r="M38" s="104">
        <f>$E$38*Quantidades!M39</f>
        <v>620.52909333333332</v>
      </c>
      <c r="N38" s="104">
        <f>$E$38*Quantidades!N39</f>
        <v>620.52909333333332</v>
      </c>
      <c r="O38" s="104">
        <f>$E$38*Quantidades!O39</f>
        <v>620.52909333333332</v>
      </c>
      <c r="P38" s="104">
        <f>$E$38*Quantidades!P39</f>
        <v>620.52909333333332</v>
      </c>
      <c r="Q38" s="104">
        <f>$E$38*Quantidades!Q39</f>
        <v>620.52909333333332</v>
      </c>
      <c r="R38" s="104">
        <f>$E$38*Quantidades!R39</f>
        <v>620.52909333333332</v>
      </c>
      <c r="S38" s="104">
        <f>$E$38*Quantidades!S39</f>
        <v>620.52909333333332</v>
      </c>
      <c r="T38" s="104">
        <f>$E$38*Quantidades!T39</f>
        <v>620.52909333333332</v>
      </c>
      <c r="U38" s="104">
        <f>$E$38*Quantidades!U39</f>
        <v>620.52909333333332</v>
      </c>
      <c r="V38" s="104">
        <f>$E$38*Quantidades!V39</f>
        <v>620.52909333333332</v>
      </c>
      <c r="W38" s="104">
        <f>$E$38*Quantidades!W39</f>
        <v>620.52909333333332</v>
      </c>
      <c r="X38" s="104">
        <f>$E$38*Quantidades!X39</f>
        <v>620.52909333333332</v>
      </c>
      <c r="Y38" s="104">
        <f>$E$38*Quantidades!Y39</f>
        <v>620.52909333333332</v>
      </c>
      <c r="Z38" s="104">
        <f>$E$38*Quantidades!Z39</f>
        <v>620.52909333333332</v>
      </c>
      <c r="AA38" s="104">
        <f>$E$38*Quantidades!AA39</f>
        <v>620.52909333333332</v>
      </c>
      <c r="AB38" s="104">
        <f>$E$38*Quantidades!AB39</f>
        <v>620.52909333333332</v>
      </c>
      <c r="AC38" s="104">
        <f>$E$38*Quantidades!AC39</f>
        <v>620.52909333333332</v>
      </c>
      <c r="AD38" s="104">
        <f>$E$38*Quantidades!AD39</f>
        <v>620.52909333333332</v>
      </c>
      <c r="AE38" s="104">
        <f>$E$38*Quantidades!AE39</f>
        <v>620.52909333333332</v>
      </c>
      <c r="AF38" s="104">
        <f>$E$38*Quantidades!AF39</f>
        <v>620.52909333333332</v>
      </c>
      <c r="AG38" s="104">
        <f>$E$38*Quantidades!AG39</f>
        <v>620.52909333333332</v>
      </c>
      <c r="AH38" s="104">
        <f>$E$38*Quantidades!AH39</f>
        <v>620.52909333333332</v>
      </c>
      <c r="AI38" s="104">
        <f>$E$38*Quantidades!AI39</f>
        <v>620.52909333333332</v>
      </c>
      <c r="AJ38" s="104">
        <f t="shared" si="1"/>
        <v>17995.343706666663</v>
      </c>
    </row>
    <row r="39" spans="2:38" x14ac:dyDescent="0.25">
      <c r="B39" s="77">
        <v>4915686</v>
      </c>
      <c r="C39" s="84" t="s">
        <v>838</v>
      </c>
      <c r="D39" s="77" t="s">
        <v>316</v>
      </c>
      <c r="E39" s="104">
        <f>'Preços Unitários'!D39</f>
        <v>4.95</v>
      </c>
      <c r="F39" s="98">
        <f>$E$39*Quantidades!F40</f>
        <v>0</v>
      </c>
      <c r="G39" s="104">
        <f>$E$39*Quantidades!G40</f>
        <v>217.14000000000001</v>
      </c>
      <c r="H39" s="104">
        <f>$E$39*Quantidades!H40</f>
        <v>217.14000000000001</v>
      </c>
      <c r="I39" s="104">
        <f>$E$39*Quantidades!I40</f>
        <v>217.14000000000001</v>
      </c>
      <c r="J39" s="104">
        <f>$E$39*Quantidades!J40</f>
        <v>217.14000000000001</v>
      </c>
      <c r="K39" s="104">
        <f>$E$39*Quantidades!K40</f>
        <v>217.14000000000001</v>
      </c>
      <c r="L39" s="104">
        <f>$E$39*Quantidades!L40</f>
        <v>217.14000000000001</v>
      </c>
      <c r="M39" s="104">
        <f>$E$39*Quantidades!M40</f>
        <v>217.14000000000001</v>
      </c>
      <c r="N39" s="104">
        <f>$E$39*Quantidades!N40</f>
        <v>217.14000000000001</v>
      </c>
      <c r="O39" s="104">
        <f>$E$39*Quantidades!O40</f>
        <v>217.14000000000001</v>
      </c>
      <c r="P39" s="104">
        <f>$E$39*Quantidades!P40</f>
        <v>217.14000000000001</v>
      </c>
      <c r="Q39" s="104">
        <f>$E$39*Quantidades!Q40</f>
        <v>217.14000000000001</v>
      </c>
      <c r="R39" s="104">
        <f>$E$39*Quantidades!R40</f>
        <v>217.14000000000001</v>
      </c>
      <c r="S39" s="104">
        <f>$E$39*Quantidades!S40</f>
        <v>217.14000000000001</v>
      </c>
      <c r="T39" s="104">
        <f>$E$39*Quantidades!T40</f>
        <v>217.14000000000001</v>
      </c>
      <c r="U39" s="104">
        <f>$E$39*Quantidades!U40</f>
        <v>217.14000000000001</v>
      </c>
      <c r="V39" s="104">
        <f>$E$39*Quantidades!V40</f>
        <v>217.14000000000001</v>
      </c>
      <c r="W39" s="104">
        <f>$E$39*Quantidades!W40</f>
        <v>217.14000000000001</v>
      </c>
      <c r="X39" s="104">
        <f>$E$39*Quantidades!X40</f>
        <v>217.14000000000001</v>
      </c>
      <c r="Y39" s="104">
        <f>$E$39*Quantidades!Y40</f>
        <v>217.14000000000001</v>
      </c>
      <c r="Z39" s="104">
        <f>$E$39*Quantidades!Z40</f>
        <v>217.14000000000001</v>
      </c>
      <c r="AA39" s="104">
        <f>$E$39*Quantidades!AA40</f>
        <v>217.14000000000001</v>
      </c>
      <c r="AB39" s="104">
        <f>$E$39*Quantidades!AB40</f>
        <v>217.14000000000001</v>
      </c>
      <c r="AC39" s="104">
        <f>$E$39*Quantidades!AC40</f>
        <v>217.14000000000001</v>
      </c>
      <c r="AD39" s="104">
        <f>$E$39*Quantidades!AD40</f>
        <v>217.14000000000001</v>
      </c>
      <c r="AE39" s="104">
        <f>$E$39*Quantidades!AE40</f>
        <v>217.14000000000001</v>
      </c>
      <c r="AF39" s="104">
        <f>$E$39*Quantidades!AF40</f>
        <v>217.14000000000001</v>
      </c>
      <c r="AG39" s="104">
        <f>$E$39*Quantidades!AG40</f>
        <v>217.14000000000001</v>
      </c>
      <c r="AH39" s="104">
        <f>$E$39*Quantidades!AH40</f>
        <v>217.14000000000001</v>
      </c>
      <c r="AI39" s="104">
        <f>$E$39*Quantidades!AI40</f>
        <v>217.14000000000001</v>
      </c>
      <c r="AJ39" s="104">
        <f t="shared" si="1"/>
        <v>6297.0600000000031</v>
      </c>
    </row>
    <row r="40" spans="2:38" x14ac:dyDescent="0.25">
      <c r="B40" s="77">
        <v>4915672</v>
      </c>
      <c r="C40" s="84" t="s">
        <v>839</v>
      </c>
      <c r="D40" s="77" t="s">
        <v>855</v>
      </c>
      <c r="E40" s="104">
        <f>'Preços Unitários'!D40</f>
        <v>3.55</v>
      </c>
      <c r="F40" s="98">
        <f>$E$40*Quantidades!F41</f>
        <v>0</v>
      </c>
      <c r="G40" s="104">
        <f>$E$40*Quantidades!G41</f>
        <v>66.739999999999995</v>
      </c>
      <c r="H40" s="104">
        <f>$E$40*Quantidades!H41</f>
        <v>66.739999999999995</v>
      </c>
      <c r="I40" s="104">
        <f>$E$40*Quantidades!I41</f>
        <v>66.739999999999995</v>
      </c>
      <c r="J40" s="104">
        <f>$E$40*Quantidades!J41</f>
        <v>66.739999999999995</v>
      </c>
      <c r="K40" s="104">
        <f>$E$40*Quantidades!K41</f>
        <v>66.739999999999995</v>
      </c>
      <c r="L40" s="104">
        <f>$E$40*Quantidades!L41</f>
        <v>66.739999999999995</v>
      </c>
      <c r="M40" s="104">
        <f>$E$40*Quantidades!M41</f>
        <v>66.739999999999995</v>
      </c>
      <c r="N40" s="104">
        <f>$E$40*Quantidades!N41</f>
        <v>66.739999999999995</v>
      </c>
      <c r="O40" s="104">
        <f>$E$40*Quantidades!O41</f>
        <v>66.739999999999995</v>
      </c>
      <c r="P40" s="104">
        <f>$E$40*Quantidades!P41</f>
        <v>66.739999999999995</v>
      </c>
      <c r="Q40" s="104">
        <f>$E$40*Quantidades!Q41</f>
        <v>66.739999999999995</v>
      </c>
      <c r="R40" s="104">
        <f>$E$40*Quantidades!R41</f>
        <v>66.739999999999995</v>
      </c>
      <c r="S40" s="104">
        <f>$E$40*Quantidades!S41</f>
        <v>66.739999999999995</v>
      </c>
      <c r="T40" s="104">
        <f>$E$40*Quantidades!T41</f>
        <v>66.739999999999995</v>
      </c>
      <c r="U40" s="104">
        <f>$E$40*Quantidades!U41</f>
        <v>66.739999999999995</v>
      </c>
      <c r="V40" s="104">
        <f>$E$40*Quantidades!V41</f>
        <v>66.739999999999995</v>
      </c>
      <c r="W40" s="104">
        <f>$E$40*Quantidades!W41</f>
        <v>66.739999999999995</v>
      </c>
      <c r="X40" s="104">
        <f>$E$40*Quantidades!X41</f>
        <v>66.739999999999995</v>
      </c>
      <c r="Y40" s="104">
        <f>$E$40*Quantidades!Y41</f>
        <v>66.739999999999995</v>
      </c>
      <c r="Z40" s="104">
        <f>$E$40*Quantidades!Z41</f>
        <v>66.739999999999995</v>
      </c>
      <c r="AA40" s="104">
        <f>$E$40*Quantidades!AA41</f>
        <v>66.739999999999995</v>
      </c>
      <c r="AB40" s="104">
        <f>$E$40*Quantidades!AB41</f>
        <v>66.739999999999995</v>
      </c>
      <c r="AC40" s="104">
        <f>$E$40*Quantidades!AC41</f>
        <v>66.739999999999995</v>
      </c>
      <c r="AD40" s="104">
        <f>$E$40*Quantidades!AD41</f>
        <v>66.739999999999995</v>
      </c>
      <c r="AE40" s="104">
        <f>$E$40*Quantidades!AE41</f>
        <v>66.739999999999995</v>
      </c>
      <c r="AF40" s="104">
        <f>$E$40*Quantidades!AF41</f>
        <v>66.739999999999995</v>
      </c>
      <c r="AG40" s="104">
        <f>$E$40*Quantidades!AG41</f>
        <v>66.739999999999995</v>
      </c>
      <c r="AH40" s="104">
        <f>$E$40*Quantidades!AH41</f>
        <v>66.739999999999995</v>
      </c>
      <c r="AI40" s="104">
        <f>$E$40*Quantidades!AI41</f>
        <v>66.739999999999995</v>
      </c>
      <c r="AJ40" s="104">
        <f t="shared" si="1"/>
        <v>1935.46</v>
      </c>
    </row>
    <row r="41" spans="2:38" x14ac:dyDescent="0.25">
      <c r="B41" s="77">
        <v>4915672</v>
      </c>
      <c r="C41" s="84" t="s">
        <v>185</v>
      </c>
      <c r="D41" s="77" t="s">
        <v>316</v>
      </c>
      <c r="E41" s="104">
        <f>'Preços Unitários'!D41</f>
        <v>3.55</v>
      </c>
      <c r="F41" s="98">
        <f>$E$41*Quantidades!F42</f>
        <v>0</v>
      </c>
      <c r="G41" s="104">
        <f>$E$41*Quantidades!G42</f>
        <v>4959.3499999999995</v>
      </c>
      <c r="H41" s="104">
        <f>$E$41*Quantidades!H42</f>
        <v>4959.3499999999995</v>
      </c>
      <c r="I41" s="104">
        <f>$E$41*Quantidades!I42</f>
        <v>4959.3499999999995</v>
      </c>
      <c r="J41" s="104">
        <f>$E$41*Quantidades!J42</f>
        <v>4959.3499999999995</v>
      </c>
      <c r="K41" s="104">
        <f>$E$41*Quantidades!K42</f>
        <v>4959.3499999999995</v>
      </c>
      <c r="L41" s="104">
        <f>$E$41*Quantidades!L42</f>
        <v>4959.3499999999995</v>
      </c>
      <c r="M41" s="104">
        <f>$E$41*Quantidades!M42</f>
        <v>4959.3499999999995</v>
      </c>
      <c r="N41" s="104">
        <f>$E$41*Quantidades!N42</f>
        <v>4959.3499999999995</v>
      </c>
      <c r="O41" s="104">
        <f>$E$41*Quantidades!O42</f>
        <v>4959.3499999999995</v>
      </c>
      <c r="P41" s="104">
        <f>$E$41*Quantidades!P42</f>
        <v>4959.3499999999995</v>
      </c>
      <c r="Q41" s="104">
        <f>$E$41*Quantidades!Q42</f>
        <v>4959.3499999999995</v>
      </c>
      <c r="R41" s="104">
        <f>$E$41*Quantidades!R42</f>
        <v>4959.3499999999995</v>
      </c>
      <c r="S41" s="104">
        <f>$E$41*Quantidades!S42</f>
        <v>4959.3499999999995</v>
      </c>
      <c r="T41" s="104">
        <f>$E$41*Quantidades!T42</f>
        <v>4959.3499999999995</v>
      </c>
      <c r="U41" s="104">
        <f>$E$41*Quantidades!U42</f>
        <v>4959.3499999999995</v>
      </c>
      <c r="V41" s="104">
        <f>$E$41*Quantidades!V42</f>
        <v>4959.3499999999995</v>
      </c>
      <c r="W41" s="104">
        <f>$E$41*Quantidades!W42</f>
        <v>4959.3499999999995</v>
      </c>
      <c r="X41" s="104">
        <f>$E$41*Quantidades!X42</f>
        <v>4959.3499999999995</v>
      </c>
      <c r="Y41" s="104">
        <f>$E$41*Quantidades!Y42</f>
        <v>4959.3499999999995</v>
      </c>
      <c r="Z41" s="104">
        <f>$E$41*Quantidades!Z42</f>
        <v>4959.3499999999995</v>
      </c>
      <c r="AA41" s="104">
        <f>$E$41*Quantidades!AA42</f>
        <v>4959.3499999999995</v>
      </c>
      <c r="AB41" s="104">
        <f>$E$41*Quantidades!AB42</f>
        <v>4959.3499999999995</v>
      </c>
      <c r="AC41" s="104">
        <f>$E$41*Quantidades!AC42</f>
        <v>4959.3499999999995</v>
      </c>
      <c r="AD41" s="104">
        <f>$E$41*Quantidades!AD42</f>
        <v>4959.3499999999995</v>
      </c>
      <c r="AE41" s="104">
        <f>$E$41*Quantidades!AE42</f>
        <v>4959.3499999999995</v>
      </c>
      <c r="AF41" s="104">
        <f>$E$41*Quantidades!AF42</f>
        <v>4959.3499999999995</v>
      </c>
      <c r="AG41" s="104">
        <f>$E$41*Quantidades!AG42</f>
        <v>4959.3499999999995</v>
      </c>
      <c r="AH41" s="104">
        <f>$E$41*Quantidades!AH42</f>
        <v>4959.3499999999995</v>
      </c>
      <c r="AI41" s="104">
        <f>$E$41*Quantidades!AI42</f>
        <v>4959.3499999999995</v>
      </c>
      <c r="AJ41" s="104">
        <f t="shared" si="1"/>
        <v>143821.15000000008</v>
      </c>
    </row>
    <row r="42" spans="2:38" x14ac:dyDescent="0.25">
      <c r="B42" s="61"/>
      <c r="C42" s="66" t="s">
        <v>186</v>
      </c>
      <c r="D42" s="61"/>
      <c r="E42" s="93"/>
      <c r="F42" s="169">
        <f t="shared" ref="F42:AH42" si="10">+SUBTOTAL(9,F43:F48)</f>
        <v>0</v>
      </c>
      <c r="G42" s="169">
        <f t="shared" si="10"/>
        <v>120505.17896824999</v>
      </c>
      <c r="H42" s="169">
        <f t="shared" si="10"/>
        <v>120505.17896824999</v>
      </c>
      <c r="I42" s="169">
        <f t="shared" si="10"/>
        <v>120505.17896824999</v>
      </c>
      <c r="J42" s="169">
        <f t="shared" si="10"/>
        <v>121184.35826625001</v>
      </c>
      <c r="K42" s="169">
        <f t="shared" si="10"/>
        <v>121184.35826625001</v>
      </c>
      <c r="L42" s="169">
        <f t="shared" si="10"/>
        <v>139263.26309275001</v>
      </c>
      <c r="M42" s="169">
        <f t="shared" si="10"/>
        <v>158165.09215600003</v>
      </c>
      <c r="N42" s="169">
        <f t="shared" si="10"/>
        <v>174602.26819100001</v>
      </c>
      <c r="O42" s="169">
        <f t="shared" si="10"/>
        <v>188658.14372925003</v>
      </c>
      <c r="P42" s="169">
        <f t="shared" si="10"/>
        <v>188658.14372925003</v>
      </c>
      <c r="Q42" s="169">
        <f t="shared" si="10"/>
        <v>188658.14372925003</v>
      </c>
      <c r="R42" s="169">
        <f t="shared" si="10"/>
        <v>188658.14372925003</v>
      </c>
      <c r="S42" s="169">
        <f t="shared" si="10"/>
        <v>188658.14372925003</v>
      </c>
      <c r="T42" s="169">
        <f t="shared" si="10"/>
        <v>188658.14372925003</v>
      </c>
      <c r="U42" s="169">
        <f t="shared" si="10"/>
        <v>188658.14372925003</v>
      </c>
      <c r="V42" s="169">
        <f t="shared" si="10"/>
        <v>188658.14372925003</v>
      </c>
      <c r="W42" s="169">
        <f t="shared" si="10"/>
        <v>188658.14372925003</v>
      </c>
      <c r="X42" s="169">
        <f t="shared" si="10"/>
        <v>188658.14372925003</v>
      </c>
      <c r="Y42" s="169">
        <f t="shared" si="10"/>
        <v>189645.38026493002</v>
      </c>
      <c r="Z42" s="169">
        <f t="shared" si="10"/>
        <v>189645.38026493002</v>
      </c>
      <c r="AA42" s="169">
        <f t="shared" si="10"/>
        <v>189645.38026493002</v>
      </c>
      <c r="AB42" s="169">
        <f t="shared" si="10"/>
        <v>189645.38026493002</v>
      </c>
      <c r="AC42" s="169">
        <f t="shared" si="10"/>
        <v>189645.38026493002</v>
      </c>
      <c r="AD42" s="169">
        <f t="shared" si="10"/>
        <v>189645.38026493002</v>
      </c>
      <c r="AE42" s="169">
        <f t="shared" si="10"/>
        <v>189645.38026493002</v>
      </c>
      <c r="AF42" s="169">
        <f t="shared" si="10"/>
        <v>189645.38026493002</v>
      </c>
      <c r="AG42" s="169">
        <f t="shared" si="10"/>
        <v>189645.38026493002</v>
      </c>
      <c r="AH42" s="169">
        <f t="shared" si="10"/>
        <v>189645.38026493002</v>
      </c>
      <c r="AI42" s="169">
        <f>+SUBTOTAL(9,AI43:AI48)</f>
        <v>189645.38026493002</v>
      </c>
      <c r="AJ42" s="169">
        <f t="shared" si="1"/>
        <v>5048595.497083731</v>
      </c>
      <c r="AK42" s="4"/>
    </row>
    <row r="43" spans="2:38" x14ac:dyDescent="0.25">
      <c r="B43" s="77"/>
      <c r="C43" s="68" t="s">
        <v>187</v>
      </c>
      <c r="D43" s="115"/>
      <c r="E43" s="104"/>
      <c r="F43" s="98"/>
      <c r="G43" s="172">
        <f>+SUBTOTAL(9,G44:G48)</f>
        <v>120505.17896824999</v>
      </c>
      <c r="H43" s="172">
        <f t="shared" ref="H43:AI43" si="11">+SUBTOTAL(9,H44:H48)</f>
        <v>120505.17896824999</v>
      </c>
      <c r="I43" s="172">
        <f t="shared" si="11"/>
        <v>120505.17896824999</v>
      </c>
      <c r="J43" s="172">
        <f t="shared" si="11"/>
        <v>121184.35826625001</v>
      </c>
      <c r="K43" s="172">
        <f t="shared" si="11"/>
        <v>121184.35826625001</v>
      </c>
      <c r="L43" s="172">
        <f t="shared" si="11"/>
        <v>139263.26309275001</v>
      </c>
      <c r="M43" s="172">
        <f t="shared" si="11"/>
        <v>158165.09215600003</v>
      </c>
      <c r="N43" s="172">
        <f t="shared" si="11"/>
        <v>174602.26819100001</v>
      </c>
      <c r="O43" s="172">
        <f t="shared" si="11"/>
        <v>188658.14372925003</v>
      </c>
      <c r="P43" s="172">
        <f t="shared" si="11"/>
        <v>188658.14372925003</v>
      </c>
      <c r="Q43" s="172">
        <f t="shared" si="11"/>
        <v>188658.14372925003</v>
      </c>
      <c r="R43" s="172">
        <f t="shared" si="11"/>
        <v>188658.14372925003</v>
      </c>
      <c r="S43" s="172">
        <f t="shared" si="11"/>
        <v>188658.14372925003</v>
      </c>
      <c r="T43" s="172">
        <f t="shared" si="11"/>
        <v>188658.14372925003</v>
      </c>
      <c r="U43" s="172">
        <f t="shared" si="11"/>
        <v>188658.14372925003</v>
      </c>
      <c r="V43" s="172">
        <f t="shared" si="11"/>
        <v>188658.14372925003</v>
      </c>
      <c r="W43" s="172">
        <f t="shared" si="11"/>
        <v>188658.14372925003</v>
      </c>
      <c r="X43" s="172">
        <f t="shared" si="11"/>
        <v>188658.14372925003</v>
      </c>
      <c r="Y43" s="172">
        <f t="shared" si="11"/>
        <v>189645.38026493002</v>
      </c>
      <c r="Z43" s="172">
        <f t="shared" si="11"/>
        <v>189645.38026493002</v>
      </c>
      <c r="AA43" s="172">
        <f t="shared" si="11"/>
        <v>189645.38026493002</v>
      </c>
      <c r="AB43" s="172">
        <f t="shared" si="11"/>
        <v>189645.38026493002</v>
      </c>
      <c r="AC43" s="172">
        <f t="shared" si="11"/>
        <v>189645.38026493002</v>
      </c>
      <c r="AD43" s="172">
        <f t="shared" si="11"/>
        <v>189645.38026493002</v>
      </c>
      <c r="AE43" s="172">
        <f t="shared" si="11"/>
        <v>189645.38026493002</v>
      </c>
      <c r="AF43" s="172">
        <f t="shared" si="11"/>
        <v>189645.38026493002</v>
      </c>
      <c r="AG43" s="172">
        <f t="shared" si="11"/>
        <v>189645.38026493002</v>
      </c>
      <c r="AH43" s="172">
        <f t="shared" si="11"/>
        <v>189645.38026493002</v>
      </c>
      <c r="AI43" s="172">
        <f t="shared" si="11"/>
        <v>189645.38026493002</v>
      </c>
      <c r="AJ43" s="172">
        <f t="shared" si="1"/>
        <v>5048595.497083731</v>
      </c>
    </row>
    <row r="44" spans="2:38" x14ac:dyDescent="0.25">
      <c r="B44" s="77">
        <v>4915708</v>
      </c>
      <c r="C44" s="84" t="s">
        <v>188</v>
      </c>
      <c r="D44" s="77" t="s">
        <v>316</v>
      </c>
      <c r="E44" s="104">
        <f>'Preços Unitários'!D44</f>
        <v>0.59</v>
      </c>
      <c r="F44" s="98">
        <f>$E$44*Quantidades!F45</f>
        <v>0</v>
      </c>
      <c r="G44" s="102">
        <f>$E$44*Quantidades!G45</f>
        <v>27602.166666666661</v>
      </c>
      <c r="H44" s="102">
        <f>$E$44*Quantidades!H45</f>
        <v>27602.166666666661</v>
      </c>
      <c r="I44" s="102">
        <f>$E$44*Quantidades!I45</f>
        <v>27602.166666666661</v>
      </c>
      <c r="J44" s="102">
        <f>$E$44*Quantidades!J45</f>
        <v>27790.219333333334</v>
      </c>
      <c r="K44" s="102">
        <f>$E$44*Quantidades!K45</f>
        <v>27790.219333333334</v>
      </c>
      <c r="L44" s="102">
        <f>$E$44*Quantidades!L45</f>
        <v>32795.946500000005</v>
      </c>
      <c r="M44" s="102">
        <f>$E$44*Quantidades!M45</f>
        <v>38029.526750000005</v>
      </c>
      <c r="N44" s="102">
        <f>$E$44*Quantidades!N45</f>
        <v>42580.688416666671</v>
      </c>
      <c r="O44" s="102">
        <f>$E$44*Quantidades!O45</f>
        <v>46472.510333333339</v>
      </c>
      <c r="P44" s="102">
        <f>$E$44*Quantidades!P45</f>
        <v>46472.510333333339</v>
      </c>
      <c r="Q44" s="102">
        <f>$E$44*Quantidades!Q45</f>
        <v>46472.510333333339</v>
      </c>
      <c r="R44" s="102">
        <f>$E$44*Quantidades!R45</f>
        <v>46472.510333333339</v>
      </c>
      <c r="S44" s="102">
        <f>$E$44*Quantidades!S45</f>
        <v>46472.510333333339</v>
      </c>
      <c r="T44" s="102">
        <f>$E$44*Quantidades!T45</f>
        <v>46472.510333333339</v>
      </c>
      <c r="U44" s="102">
        <f>$E$44*Quantidades!U45</f>
        <v>46472.510333333339</v>
      </c>
      <c r="V44" s="102">
        <f>$E$44*Quantidades!V45</f>
        <v>46472.510333333339</v>
      </c>
      <c r="W44" s="102">
        <f>$E$44*Quantidades!W45</f>
        <v>46472.510333333339</v>
      </c>
      <c r="X44" s="102">
        <f>$E$44*Quantidades!X45</f>
        <v>46472.510333333339</v>
      </c>
      <c r="Y44" s="102">
        <f>$E$44*Quantidades!Y45</f>
        <v>46745.858569523807</v>
      </c>
      <c r="Z44" s="102">
        <f>$E$44*Quantidades!Z45</f>
        <v>46745.858569523807</v>
      </c>
      <c r="AA44" s="102">
        <f>$E$44*Quantidades!AA45</f>
        <v>46745.858569523807</v>
      </c>
      <c r="AB44" s="102">
        <f>$E$44*Quantidades!AB45</f>
        <v>46745.858569523807</v>
      </c>
      <c r="AC44" s="102">
        <f>$E$44*Quantidades!AC45</f>
        <v>46745.858569523807</v>
      </c>
      <c r="AD44" s="102">
        <f>$E$44*Quantidades!AD45</f>
        <v>46745.858569523807</v>
      </c>
      <c r="AE44" s="102">
        <f>$E$44*Quantidades!AE45</f>
        <v>46745.858569523807</v>
      </c>
      <c r="AF44" s="102">
        <f>$E$44*Quantidades!AF45</f>
        <v>46745.858569523807</v>
      </c>
      <c r="AG44" s="102">
        <f>$E$44*Quantidades!AG45</f>
        <v>46745.858569523807</v>
      </c>
      <c r="AH44" s="102">
        <f>$E$44*Quantidades!AH45</f>
        <v>46745.858569523807</v>
      </c>
      <c r="AI44" s="102">
        <f>$E$44*Quantidades!AI45</f>
        <v>46745.858569523807</v>
      </c>
      <c r="AJ44" s="104">
        <f t="shared" si="1"/>
        <v>1230722.6479314286</v>
      </c>
    </row>
    <row r="45" spans="2:38" x14ac:dyDescent="0.25">
      <c r="B45" s="77">
        <v>4915723</v>
      </c>
      <c r="C45" s="84" t="s">
        <v>189</v>
      </c>
      <c r="D45" s="77" t="s">
        <v>54</v>
      </c>
      <c r="E45" s="104">
        <f>'Preços Unitários'!D45</f>
        <v>2.56</v>
      </c>
      <c r="F45" s="98">
        <f>$E$45*Quantidades!F46</f>
        <v>0</v>
      </c>
      <c r="G45" s="102">
        <f>$E$45*Quantidades!G46</f>
        <v>37426.666666666664</v>
      </c>
      <c r="H45" s="102">
        <f>$E$45*Quantidades!H46</f>
        <v>37426.666666666664</v>
      </c>
      <c r="I45" s="102">
        <f>$E$45*Quantidades!I46</f>
        <v>37426.666666666664</v>
      </c>
      <c r="J45" s="102">
        <f>$E$45*Quantidades!J46</f>
        <v>37681.653333333335</v>
      </c>
      <c r="K45" s="102">
        <f>$E$45*Quantidades!K46</f>
        <v>37681.653333333335</v>
      </c>
      <c r="L45" s="102">
        <f>$E$45*Quantidades!L46</f>
        <v>44469.08</v>
      </c>
      <c r="M45" s="102">
        <f>$E$45*Quantidades!M46</f>
        <v>51565.46</v>
      </c>
      <c r="N45" s="102">
        <f>$E$45*Quantidades!N46</f>
        <v>57736.526666666672</v>
      </c>
      <c r="O45" s="102">
        <f>$E$45*Quantidades!O46</f>
        <v>63013.573333333334</v>
      </c>
      <c r="P45" s="102">
        <f>$E$45*Quantidades!P46</f>
        <v>63013.573333333334</v>
      </c>
      <c r="Q45" s="102">
        <f>$E$45*Quantidades!Q46</f>
        <v>63013.573333333334</v>
      </c>
      <c r="R45" s="102">
        <f>$E$45*Quantidades!R46</f>
        <v>63013.573333333334</v>
      </c>
      <c r="S45" s="102">
        <f>$E$45*Quantidades!S46</f>
        <v>63013.573333333334</v>
      </c>
      <c r="T45" s="102">
        <f>$E$45*Quantidades!T46</f>
        <v>63013.573333333334</v>
      </c>
      <c r="U45" s="102">
        <f>$E$45*Quantidades!U46</f>
        <v>63013.573333333334</v>
      </c>
      <c r="V45" s="102">
        <f>$E$45*Quantidades!V46</f>
        <v>63013.573333333334</v>
      </c>
      <c r="W45" s="102">
        <f>$E$45*Quantidades!W46</f>
        <v>63013.573333333334</v>
      </c>
      <c r="X45" s="102">
        <f>$E$45*Quantidades!X46</f>
        <v>63013.573333333334</v>
      </c>
      <c r="Y45" s="102">
        <f>$E$45*Quantidades!Y46</f>
        <v>63384.21500952381</v>
      </c>
      <c r="Z45" s="102">
        <f>$E$45*Quantidades!Z46</f>
        <v>63384.21500952381</v>
      </c>
      <c r="AA45" s="102">
        <f>$E$45*Quantidades!AA46</f>
        <v>63384.21500952381</v>
      </c>
      <c r="AB45" s="102">
        <f>$E$45*Quantidades!AB46</f>
        <v>63384.21500952381</v>
      </c>
      <c r="AC45" s="102">
        <f>$E$45*Quantidades!AC46</f>
        <v>63384.21500952381</v>
      </c>
      <c r="AD45" s="102">
        <f>$E$45*Quantidades!AD46</f>
        <v>63384.21500952381</v>
      </c>
      <c r="AE45" s="102">
        <f>$E$45*Quantidades!AE46</f>
        <v>63384.21500952381</v>
      </c>
      <c r="AF45" s="102">
        <f>$E$45*Quantidades!AF46</f>
        <v>63384.21500952381</v>
      </c>
      <c r="AG45" s="102">
        <f>$E$45*Quantidades!AG46</f>
        <v>63384.21500952381</v>
      </c>
      <c r="AH45" s="102">
        <f>$E$45*Quantidades!AH46</f>
        <v>63384.21500952381</v>
      </c>
      <c r="AI45" s="102">
        <f>$E$45*Quantidades!AI46</f>
        <v>63384.21500952381</v>
      </c>
      <c r="AJ45" s="104">
        <f t="shared" si="1"/>
        <v>1668776.4717714286</v>
      </c>
    </row>
    <row r="46" spans="2:38" x14ac:dyDescent="0.25">
      <c r="B46" s="77">
        <v>4915710</v>
      </c>
      <c r="C46" s="84" t="s">
        <v>190</v>
      </c>
      <c r="D46" s="77" t="s">
        <v>316</v>
      </c>
      <c r="E46" s="104">
        <f>'Preços Unitários'!D46</f>
        <v>3.55</v>
      </c>
      <c r="F46" s="98">
        <f>$E$46*Quantidades!F47</f>
        <v>0</v>
      </c>
      <c r="G46" s="102">
        <f>$E$46*Quantidades!G47</f>
        <v>24912.124999999996</v>
      </c>
      <c r="H46" s="102">
        <f>$E$46*Quantidades!H47</f>
        <v>24912.124999999996</v>
      </c>
      <c r="I46" s="102">
        <f>$E$46*Quantidades!I47</f>
        <v>24912.124999999996</v>
      </c>
      <c r="J46" s="102">
        <f>$E$46*Quantidades!J47</f>
        <v>25081.850500000004</v>
      </c>
      <c r="K46" s="102">
        <f>$E$46*Quantidades!K47</f>
        <v>25081.850500000004</v>
      </c>
      <c r="L46" s="102">
        <f>$E$46*Quantidades!L47</f>
        <v>29599.731375000003</v>
      </c>
      <c r="M46" s="102">
        <f>$E$46*Quantidades!M47</f>
        <v>34323.259312499998</v>
      </c>
      <c r="N46" s="102">
        <f>$E$46*Quantidades!N47</f>
        <v>38430.875562499998</v>
      </c>
      <c r="O46" s="102">
        <f>$E$46*Quantidades!O47</f>
        <v>41943.409750000006</v>
      </c>
      <c r="P46" s="102">
        <f>$E$46*Quantidades!P47</f>
        <v>41943.409750000006</v>
      </c>
      <c r="Q46" s="102">
        <f>$E$46*Quantidades!Q47</f>
        <v>41943.409750000006</v>
      </c>
      <c r="R46" s="102">
        <f>$E$46*Quantidades!R47</f>
        <v>41943.409750000006</v>
      </c>
      <c r="S46" s="102">
        <f>$E$46*Quantidades!S47</f>
        <v>41943.409750000006</v>
      </c>
      <c r="T46" s="102">
        <f>$E$46*Quantidades!T47</f>
        <v>41943.409750000006</v>
      </c>
      <c r="U46" s="102">
        <f>$E$46*Quantidades!U47</f>
        <v>41943.409750000006</v>
      </c>
      <c r="V46" s="102">
        <f>$E$46*Quantidades!V47</f>
        <v>41943.409750000006</v>
      </c>
      <c r="W46" s="102">
        <f>$E$46*Quantidades!W47</f>
        <v>41943.409750000006</v>
      </c>
      <c r="X46" s="102">
        <f>$E$46*Quantidades!X47</f>
        <v>41943.409750000006</v>
      </c>
      <c r="Y46" s="102">
        <f>$E$46*Quantidades!Y47</f>
        <v>42190.118115714286</v>
      </c>
      <c r="Z46" s="102">
        <f>$E$46*Quantidades!Z47</f>
        <v>42190.118115714286</v>
      </c>
      <c r="AA46" s="102">
        <f>$E$46*Quantidades!AA47</f>
        <v>42190.118115714286</v>
      </c>
      <c r="AB46" s="102">
        <f>$E$46*Quantidades!AB47</f>
        <v>42190.118115714286</v>
      </c>
      <c r="AC46" s="102">
        <f>$E$46*Quantidades!AC47</f>
        <v>42190.118115714286</v>
      </c>
      <c r="AD46" s="102">
        <f>$E$46*Quantidades!AD47</f>
        <v>42190.118115714286</v>
      </c>
      <c r="AE46" s="102">
        <f>$E$46*Quantidades!AE47</f>
        <v>42190.118115714286</v>
      </c>
      <c r="AF46" s="102">
        <f>$E$46*Quantidades!AF47</f>
        <v>42190.118115714286</v>
      </c>
      <c r="AG46" s="102">
        <f>$E$46*Quantidades!AG47</f>
        <v>42190.118115714286</v>
      </c>
      <c r="AH46" s="102">
        <f>$E$46*Quantidades!AH47</f>
        <v>42190.118115714286</v>
      </c>
      <c r="AI46" s="102">
        <f>$E$46*Quantidades!AI47</f>
        <v>42190.118115714286</v>
      </c>
      <c r="AJ46" s="104">
        <f t="shared" si="1"/>
        <v>1110779.3390228571</v>
      </c>
    </row>
    <row r="47" spans="2:38" x14ac:dyDescent="0.25">
      <c r="B47" s="77">
        <v>4915712</v>
      </c>
      <c r="C47" s="84" t="s">
        <v>191</v>
      </c>
      <c r="D47" s="77" t="s">
        <v>313</v>
      </c>
      <c r="E47" s="104">
        <f>'Preços Unitários'!D47</f>
        <v>17.77</v>
      </c>
      <c r="F47" s="98">
        <f>$E$47*Quantidades!F48</f>
        <v>0</v>
      </c>
      <c r="G47" s="102">
        <f>$E$47*Quantidades!G48</f>
        <v>20815.977468249999</v>
      </c>
      <c r="H47" s="102">
        <f>$E$47*Quantidades!H48</f>
        <v>20815.977468249999</v>
      </c>
      <c r="I47" s="102">
        <f>$E$47*Quantidades!I48</f>
        <v>20815.977468249999</v>
      </c>
      <c r="J47" s="102">
        <f>$E$47*Quantidades!J48</f>
        <v>20815.977468249999</v>
      </c>
      <c r="K47" s="102">
        <f>$E$47*Quantidades!K48</f>
        <v>20815.977468249999</v>
      </c>
      <c r="L47" s="102">
        <f>$E$47*Quantidades!L48</f>
        <v>20815.977468249999</v>
      </c>
      <c r="M47" s="102">
        <f>$E$47*Quantidades!M48</f>
        <v>20815.977468249999</v>
      </c>
      <c r="N47" s="102">
        <f>$E$47*Quantidades!N48</f>
        <v>20815.977468249999</v>
      </c>
      <c r="O47" s="102">
        <f>$E$47*Quantidades!O48</f>
        <v>20815.977468249999</v>
      </c>
      <c r="P47" s="102">
        <f>$E$47*Quantidades!P48</f>
        <v>20815.977468249999</v>
      </c>
      <c r="Q47" s="102">
        <f>$E$47*Quantidades!Q48</f>
        <v>20815.977468249999</v>
      </c>
      <c r="R47" s="102">
        <f>$E$47*Quantidades!R48</f>
        <v>20815.977468249999</v>
      </c>
      <c r="S47" s="102">
        <f>$E$47*Quantidades!S48</f>
        <v>20815.977468249999</v>
      </c>
      <c r="T47" s="102">
        <f>$E$47*Quantidades!T48</f>
        <v>20815.977468249999</v>
      </c>
      <c r="U47" s="102">
        <f>$E$47*Quantidades!U48</f>
        <v>20815.977468249999</v>
      </c>
      <c r="V47" s="102">
        <f>$E$47*Quantidades!V48</f>
        <v>20815.977468249999</v>
      </c>
      <c r="W47" s="102">
        <f>$E$47*Quantidades!W48</f>
        <v>20815.977468249999</v>
      </c>
      <c r="X47" s="102">
        <f>$E$47*Quantidades!X48</f>
        <v>20815.977468249999</v>
      </c>
      <c r="Y47" s="102">
        <f>$E$47*Quantidades!Y48</f>
        <v>20815.977468249999</v>
      </c>
      <c r="Z47" s="102">
        <f>$E$47*Quantidades!Z48</f>
        <v>20815.977468249999</v>
      </c>
      <c r="AA47" s="102">
        <f>$E$47*Quantidades!AA48</f>
        <v>20815.977468249999</v>
      </c>
      <c r="AB47" s="102">
        <f>$E$47*Quantidades!AB48</f>
        <v>20815.977468249999</v>
      </c>
      <c r="AC47" s="102">
        <f>$E$47*Quantidades!AC48</f>
        <v>20815.977468249999</v>
      </c>
      <c r="AD47" s="102">
        <f>$E$47*Quantidades!AD48</f>
        <v>20815.977468249999</v>
      </c>
      <c r="AE47" s="102">
        <f>$E$47*Quantidades!AE48</f>
        <v>20815.977468249999</v>
      </c>
      <c r="AF47" s="102">
        <f>$E$47*Quantidades!AF48</f>
        <v>20815.977468249999</v>
      </c>
      <c r="AG47" s="102">
        <f>$E$47*Quantidades!AG48</f>
        <v>20815.977468249999</v>
      </c>
      <c r="AH47" s="102">
        <f>$E$47*Quantidades!AH48</f>
        <v>20815.977468249999</v>
      </c>
      <c r="AI47" s="102">
        <f>$E$47*Quantidades!AI48</f>
        <v>20815.977468249999</v>
      </c>
      <c r="AJ47" s="104">
        <f t="shared" si="1"/>
        <v>603663.34657924948</v>
      </c>
    </row>
    <row r="48" spans="2:38" x14ac:dyDescent="0.25">
      <c r="B48" s="77" t="s">
        <v>350</v>
      </c>
      <c r="C48" s="84" t="s">
        <v>193</v>
      </c>
      <c r="D48" s="77" t="s">
        <v>313</v>
      </c>
      <c r="E48" s="104">
        <f>'Preços Unitários'!D48</f>
        <v>416.74</v>
      </c>
      <c r="F48" s="98">
        <f>$E$48*Quantidades!F49</f>
        <v>0</v>
      </c>
      <c r="G48" s="102">
        <f>$E$48*Quantidades!G49</f>
        <v>9748.2431666666671</v>
      </c>
      <c r="H48" s="102">
        <f>$E$48*Quantidades!H49</f>
        <v>9748.2431666666671</v>
      </c>
      <c r="I48" s="102">
        <f>$E$48*Quantidades!I49</f>
        <v>9748.2431666666671</v>
      </c>
      <c r="J48" s="102">
        <f>$E$48*Quantidades!J49</f>
        <v>9814.6576313333353</v>
      </c>
      <c r="K48" s="102">
        <f>$E$48*Quantidades!K49</f>
        <v>9814.6576313333353</v>
      </c>
      <c r="L48" s="102">
        <f>$E$48*Quantidades!L49</f>
        <v>11582.527749500003</v>
      </c>
      <c r="M48" s="102">
        <f>$E$48*Quantidades!M49</f>
        <v>13430.868625250003</v>
      </c>
      <c r="N48" s="102">
        <f>$E$48*Quantidades!N49</f>
        <v>15038.200076916668</v>
      </c>
      <c r="O48" s="102">
        <f>$E$48*Quantidades!O49</f>
        <v>16412.672844333334</v>
      </c>
      <c r="P48" s="102">
        <f>$E$48*Quantidades!P49</f>
        <v>16412.672844333334</v>
      </c>
      <c r="Q48" s="102">
        <f>$E$48*Quantidades!Q49</f>
        <v>16412.672844333334</v>
      </c>
      <c r="R48" s="102">
        <f>$E$48*Quantidades!R49</f>
        <v>16412.672844333334</v>
      </c>
      <c r="S48" s="102">
        <f>$E$48*Quantidades!S49</f>
        <v>16412.672844333334</v>
      </c>
      <c r="T48" s="102">
        <f>$E$48*Quantidades!T49</f>
        <v>16412.672844333334</v>
      </c>
      <c r="U48" s="102">
        <f>$E$48*Quantidades!U49</f>
        <v>16412.672844333334</v>
      </c>
      <c r="V48" s="102">
        <f>$E$48*Quantidades!V49</f>
        <v>16412.672844333334</v>
      </c>
      <c r="W48" s="102">
        <f>$E$48*Quantidades!W49</f>
        <v>16412.672844333334</v>
      </c>
      <c r="X48" s="102">
        <f>$E$48*Quantidades!X49</f>
        <v>16412.672844333334</v>
      </c>
      <c r="Y48" s="102">
        <f>$E$48*Quantidades!Y49</f>
        <v>16509.211101918096</v>
      </c>
      <c r="Z48" s="102">
        <f>$E$48*Quantidades!Z49</f>
        <v>16509.211101918096</v>
      </c>
      <c r="AA48" s="102">
        <f>$E$48*Quantidades!AA49</f>
        <v>16509.211101918096</v>
      </c>
      <c r="AB48" s="102">
        <f>$E$48*Quantidades!AB49</f>
        <v>16509.211101918096</v>
      </c>
      <c r="AC48" s="102">
        <f>$E$48*Quantidades!AC49</f>
        <v>16509.211101918096</v>
      </c>
      <c r="AD48" s="102">
        <f>$E$48*Quantidades!AD49</f>
        <v>16509.211101918096</v>
      </c>
      <c r="AE48" s="102">
        <f>$E$48*Quantidades!AE49</f>
        <v>16509.211101918096</v>
      </c>
      <c r="AF48" s="102">
        <f>$E$48*Quantidades!AF49</f>
        <v>16509.211101918096</v>
      </c>
      <c r="AG48" s="102">
        <f>$E$48*Quantidades!AG49</f>
        <v>16509.211101918096</v>
      </c>
      <c r="AH48" s="102">
        <f>$E$48*Quantidades!AH49</f>
        <v>16509.211101918096</v>
      </c>
      <c r="AI48" s="102">
        <f>$E$48*Quantidades!AI49</f>
        <v>16509.211101918096</v>
      </c>
      <c r="AJ48" s="104">
        <f t="shared" si="1"/>
        <v>434653.69177876558</v>
      </c>
    </row>
    <row r="49" spans="2:39" x14ac:dyDescent="0.25">
      <c r="B49" s="61"/>
      <c r="C49" s="66" t="s">
        <v>194</v>
      </c>
      <c r="D49" s="61"/>
      <c r="E49" s="93"/>
      <c r="F49" s="169">
        <f t="shared" ref="F49:AH49" si="12">+SUBTOTAL(9,F50:F53)</f>
        <v>0</v>
      </c>
      <c r="G49" s="169">
        <f t="shared" si="12"/>
        <v>44757.614999999998</v>
      </c>
      <c r="H49" s="169">
        <f t="shared" si="12"/>
        <v>44757.614999999998</v>
      </c>
      <c r="I49" s="169">
        <f t="shared" si="12"/>
        <v>44757.614999999998</v>
      </c>
      <c r="J49" s="169">
        <f t="shared" si="12"/>
        <v>45062.547179999994</v>
      </c>
      <c r="K49" s="169">
        <f t="shared" si="12"/>
        <v>45062.547179999994</v>
      </c>
      <c r="L49" s="169">
        <f t="shared" si="12"/>
        <v>53179.461045000004</v>
      </c>
      <c r="M49" s="169">
        <f t="shared" si="12"/>
        <v>61665.844477499995</v>
      </c>
      <c r="N49" s="169">
        <f t="shared" si="12"/>
        <v>69045.668827499991</v>
      </c>
      <c r="O49" s="169">
        <f t="shared" si="12"/>
        <v>75356.357009999992</v>
      </c>
      <c r="P49" s="169">
        <f t="shared" si="12"/>
        <v>75356.357009999992</v>
      </c>
      <c r="Q49" s="169">
        <f t="shared" si="12"/>
        <v>75356.357009999992</v>
      </c>
      <c r="R49" s="169">
        <f t="shared" si="12"/>
        <v>75356.357009999992</v>
      </c>
      <c r="S49" s="169">
        <f t="shared" si="12"/>
        <v>75356.357009999992</v>
      </c>
      <c r="T49" s="169">
        <f t="shared" si="12"/>
        <v>75356.357009999992</v>
      </c>
      <c r="U49" s="169">
        <f t="shared" si="12"/>
        <v>75356.357009999992</v>
      </c>
      <c r="V49" s="169">
        <f t="shared" si="12"/>
        <v>75356.357009999992</v>
      </c>
      <c r="W49" s="169">
        <f t="shared" si="12"/>
        <v>75356.357009999992</v>
      </c>
      <c r="X49" s="169">
        <f t="shared" si="12"/>
        <v>75356.357009999992</v>
      </c>
      <c r="Y49" s="169">
        <f t="shared" si="12"/>
        <v>75799.598124514276</v>
      </c>
      <c r="Z49" s="169">
        <f t="shared" si="12"/>
        <v>75799.598124514276</v>
      </c>
      <c r="AA49" s="169">
        <f t="shared" si="12"/>
        <v>75799.598124514276</v>
      </c>
      <c r="AB49" s="169">
        <f t="shared" si="12"/>
        <v>75799.598124514276</v>
      </c>
      <c r="AC49" s="169">
        <f t="shared" si="12"/>
        <v>75799.598124514276</v>
      </c>
      <c r="AD49" s="169">
        <f t="shared" si="12"/>
        <v>75799.598124514276</v>
      </c>
      <c r="AE49" s="169">
        <f t="shared" si="12"/>
        <v>75799.598124514276</v>
      </c>
      <c r="AF49" s="169">
        <f t="shared" si="12"/>
        <v>75799.598124514276</v>
      </c>
      <c r="AG49" s="169">
        <f t="shared" si="12"/>
        <v>75799.598124514276</v>
      </c>
      <c r="AH49" s="169">
        <f t="shared" si="12"/>
        <v>75799.598124514276</v>
      </c>
      <c r="AI49" s="169">
        <f>+SUBTOTAL(9,AI50:AI53)</f>
        <v>75799.598124514276</v>
      </c>
      <c r="AJ49" s="169">
        <f t="shared" si="1"/>
        <v>1995648.0631796578</v>
      </c>
      <c r="AK49" s="4"/>
    </row>
    <row r="50" spans="2:39" x14ac:dyDescent="0.25">
      <c r="B50" s="77"/>
      <c r="C50" s="68" t="s">
        <v>195</v>
      </c>
      <c r="D50" s="115"/>
      <c r="E50" s="104"/>
      <c r="F50" s="98"/>
      <c r="G50" s="172">
        <f>+SUBTOTAL(9,G51:G53)</f>
        <v>44757.614999999998</v>
      </c>
      <c r="H50" s="172">
        <f t="shared" ref="H50:AI50" si="13">+SUBTOTAL(9,H51:H53)</f>
        <v>44757.614999999998</v>
      </c>
      <c r="I50" s="172">
        <f t="shared" si="13"/>
        <v>44757.614999999998</v>
      </c>
      <c r="J50" s="172">
        <f t="shared" si="13"/>
        <v>45062.547179999994</v>
      </c>
      <c r="K50" s="172">
        <f t="shared" si="13"/>
        <v>45062.547179999994</v>
      </c>
      <c r="L50" s="172">
        <f t="shared" si="13"/>
        <v>53179.461045000004</v>
      </c>
      <c r="M50" s="172">
        <f t="shared" si="13"/>
        <v>61665.844477499995</v>
      </c>
      <c r="N50" s="172">
        <f t="shared" si="13"/>
        <v>69045.668827499991</v>
      </c>
      <c r="O50" s="172">
        <f t="shared" si="13"/>
        <v>75356.357009999992</v>
      </c>
      <c r="P50" s="172">
        <f t="shared" si="13"/>
        <v>75356.357009999992</v>
      </c>
      <c r="Q50" s="172">
        <f t="shared" si="13"/>
        <v>75356.357009999992</v>
      </c>
      <c r="R50" s="172">
        <f t="shared" si="13"/>
        <v>75356.357009999992</v>
      </c>
      <c r="S50" s="172">
        <f t="shared" si="13"/>
        <v>75356.357009999992</v>
      </c>
      <c r="T50" s="172">
        <f t="shared" si="13"/>
        <v>75356.357009999992</v>
      </c>
      <c r="U50" s="172">
        <f t="shared" si="13"/>
        <v>75356.357009999992</v>
      </c>
      <c r="V50" s="172">
        <f t="shared" si="13"/>
        <v>75356.357009999992</v>
      </c>
      <c r="W50" s="172">
        <f t="shared" si="13"/>
        <v>75356.357009999992</v>
      </c>
      <c r="X50" s="172">
        <f t="shared" si="13"/>
        <v>75356.357009999992</v>
      </c>
      <c r="Y50" s="172">
        <f t="shared" si="13"/>
        <v>75799.598124514276</v>
      </c>
      <c r="Z50" s="172">
        <f t="shared" si="13"/>
        <v>75799.598124514276</v>
      </c>
      <c r="AA50" s="172">
        <f t="shared" si="13"/>
        <v>75799.598124514276</v>
      </c>
      <c r="AB50" s="172">
        <f t="shared" si="13"/>
        <v>75799.598124514276</v>
      </c>
      <c r="AC50" s="172">
        <f t="shared" si="13"/>
        <v>75799.598124514276</v>
      </c>
      <c r="AD50" s="172">
        <f t="shared" si="13"/>
        <v>75799.598124514276</v>
      </c>
      <c r="AE50" s="172">
        <f t="shared" si="13"/>
        <v>75799.598124514276</v>
      </c>
      <c r="AF50" s="172">
        <f t="shared" si="13"/>
        <v>75799.598124514276</v>
      </c>
      <c r="AG50" s="172">
        <f t="shared" si="13"/>
        <v>75799.598124514276</v>
      </c>
      <c r="AH50" s="172">
        <f t="shared" si="13"/>
        <v>75799.598124514276</v>
      </c>
      <c r="AI50" s="172">
        <f t="shared" si="13"/>
        <v>75799.598124514276</v>
      </c>
      <c r="AJ50" s="104">
        <f t="shared" si="1"/>
        <v>1995648.0631796578</v>
      </c>
      <c r="AK50" s="4"/>
    </row>
    <row r="51" spans="2:39" x14ac:dyDescent="0.25">
      <c r="B51" s="77">
        <v>4915733</v>
      </c>
      <c r="C51" s="84" t="s">
        <v>196</v>
      </c>
      <c r="D51" s="77" t="s">
        <v>313</v>
      </c>
      <c r="E51" s="104">
        <f>'Preços Unitários'!D51</f>
        <v>44.23</v>
      </c>
      <c r="F51" s="98">
        <f>$E$51*Quantidades!F52</f>
        <v>0</v>
      </c>
      <c r="G51" s="104">
        <f>$E$51*Quantidades!G52</f>
        <v>20692.26833333333</v>
      </c>
      <c r="H51" s="104">
        <f>$E$51*Quantidades!H52</f>
        <v>20692.26833333333</v>
      </c>
      <c r="I51" s="104">
        <f>$E$51*Quantidades!I52</f>
        <v>20692.26833333333</v>
      </c>
      <c r="J51" s="104">
        <f>$E$51*Quantidades!J52</f>
        <v>20833.244086666666</v>
      </c>
      <c r="K51" s="104">
        <f>$E$51*Quantidades!K52</f>
        <v>20833.244086666666</v>
      </c>
      <c r="L51" s="104">
        <f>$E$51*Quantidades!L52</f>
        <v>24585.842605000002</v>
      </c>
      <c r="M51" s="104">
        <f>$E$51*Quantidades!M52</f>
        <v>28509.2536975</v>
      </c>
      <c r="N51" s="104">
        <f>$E$51*Quantidades!N52</f>
        <v>31921.082180833331</v>
      </c>
      <c r="O51" s="104">
        <f>$E$51*Quantidades!O52</f>
        <v>34838.629356666665</v>
      </c>
      <c r="P51" s="104">
        <f>$E$51*Quantidades!P52</f>
        <v>34838.629356666665</v>
      </c>
      <c r="Q51" s="104">
        <f>$E$51*Quantidades!Q52</f>
        <v>34838.629356666665</v>
      </c>
      <c r="R51" s="104">
        <f>$E$51*Quantidades!R52</f>
        <v>34838.629356666665</v>
      </c>
      <c r="S51" s="104">
        <f>$E$51*Quantidades!S52</f>
        <v>34838.629356666665</v>
      </c>
      <c r="T51" s="104">
        <f>$E$51*Quantidades!T52</f>
        <v>34838.629356666665</v>
      </c>
      <c r="U51" s="104">
        <f>$E$51*Quantidades!U52</f>
        <v>34838.629356666665</v>
      </c>
      <c r="V51" s="104">
        <f>$E$51*Quantidades!V52</f>
        <v>34838.629356666665</v>
      </c>
      <c r="W51" s="104">
        <f>$E$51*Quantidades!W52</f>
        <v>34838.629356666665</v>
      </c>
      <c r="X51" s="104">
        <f>$E$51*Quantidades!X52</f>
        <v>34838.629356666665</v>
      </c>
      <c r="Y51" s="104">
        <f>$E$51*Quantidades!Y52</f>
        <v>35043.547873390475</v>
      </c>
      <c r="Z51" s="104">
        <f>$E$51*Quantidades!Z52</f>
        <v>35043.547873390475</v>
      </c>
      <c r="AA51" s="104">
        <f>$E$51*Quantidades!AA52</f>
        <v>35043.547873390475</v>
      </c>
      <c r="AB51" s="104">
        <f>$E$51*Quantidades!AB52</f>
        <v>35043.547873390475</v>
      </c>
      <c r="AC51" s="104">
        <f>$E$51*Quantidades!AC52</f>
        <v>35043.547873390475</v>
      </c>
      <c r="AD51" s="104">
        <f>$E$51*Quantidades!AD52</f>
        <v>35043.547873390475</v>
      </c>
      <c r="AE51" s="104">
        <f>$E$51*Quantidades!AE52</f>
        <v>35043.547873390475</v>
      </c>
      <c r="AF51" s="104">
        <f>$E$51*Quantidades!AF52</f>
        <v>35043.547873390475</v>
      </c>
      <c r="AG51" s="104">
        <f>$E$51*Quantidades!AG52</f>
        <v>35043.547873390475</v>
      </c>
      <c r="AH51" s="104">
        <f>$E$51*Quantidades!AH52</f>
        <v>35043.547873390475</v>
      </c>
      <c r="AI51" s="104">
        <f>$E$51*Quantidades!AI52</f>
        <v>35043.547873390475</v>
      </c>
      <c r="AJ51" s="104">
        <f t="shared" si="1"/>
        <v>922624.79183062853</v>
      </c>
    </row>
    <row r="52" spans="2:39" x14ac:dyDescent="0.25">
      <c r="B52" s="77">
        <v>4915734</v>
      </c>
      <c r="C52" s="84" t="s">
        <v>198</v>
      </c>
      <c r="D52" s="77" t="s">
        <v>313</v>
      </c>
      <c r="E52" s="104">
        <f>'Preços Unitários'!D52</f>
        <v>20.22</v>
      </c>
      <c r="F52" s="98">
        <f>$E$52*Quantidades!F53</f>
        <v>0</v>
      </c>
      <c r="G52" s="104">
        <f>$E$52*Quantidades!G53</f>
        <v>9459.5899999999983</v>
      </c>
      <c r="H52" s="104">
        <f>$E$52*Quantidades!H53</f>
        <v>9459.5899999999983</v>
      </c>
      <c r="I52" s="104">
        <f>$E$52*Quantidades!I53</f>
        <v>9459.5899999999983</v>
      </c>
      <c r="J52" s="104">
        <f>$E$52*Quantidades!J53</f>
        <v>9524.0378799999999</v>
      </c>
      <c r="K52" s="104">
        <f>$E$52*Quantidades!K53</f>
        <v>9524.0378799999999</v>
      </c>
      <c r="L52" s="104">
        <f>$E$52*Quantidades!L53</f>
        <v>11239.55997</v>
      </c>
      <c r="M52" s="104">
        <f>$E$52*Quantidades!M53</f>
        <v>13033.170015</v>
      </c>
      <c r="N52" s="104">
        <f>$E$52*Quantidades!N53</f>
        <v>14592.907115</v>
      </c>
      <c r="O52" s="104">
        <f>$E$52*Quantidades!O53</f>
        <v>15926.68066</v>
      </c>
      <c r="P52" s="104">
        <f>$E$52*Quantidades!P53</f>
        <v>15926.68066</v>
      </c>
      <c r="Q52" s="104">
        <f>$E$52*Quantidades!Q53</f>
        <v>15926.68066</v>
      </c>
      <c r="R52" s="104">
        <f>$E$52*Quantidades!R53</f>
        <v>15926.68066</v>
      </c>
      <c r="S52" s="104">
        <f>$E$52*Quantidades!S53</f>
        <v>15926.68066</v>
      </c>
      <c r="T52" s="104">
        <f>$E$52*Quantidades!T53</f>
        <v>15926.68066</v>
      </c>
      <c r="U52" s="104">
        <f>$E$52*Quantidades!U53</f>
        <v>15926.68066</v>
      </c>
      <c r="V52" s="104">
        <f>$E$52*Quantidades!V53</f>
        <v>15926.68066</v>
      </c>
      <c r="W52" s="104">
        <f>$E$52*Quantidades!W53</f>
        <v>15926.68066</v>
      </c>
      <c r="X52" s="104">
        <f>$E$52*Quantidades!X53</f>
        <v>15926.68066</v>
      </c>
      <c r="Y52" s="104">
        <f>$E$52*Quantidades!Y53</f>
        <v>16020.360343657141</v>
      </c>
      <c r="Z52" s="104">
        <f>$E$52*Quantidades!Z53</f>
        <v>16020.360343657141</v>
      </c>
      <c r="AA52" s="104">
        <f>$E$52*Quantidades!AA53</f>
        <v>16020.360343657141</v>
      </c>
      <c r="AB52" s="104">
        <f>$E$52*Quantidades!AB53</f>
        <v>16020.360343657141</v>
      </c>
      <c r="AC52" s="104">
        <f>$E$52*Quantidades!AC53</f>
        <v>16020.360343657141</v>
      </c>
      <c r="AD52" s="104">
        <f>$E$52*Quantidades!AD53</f>
        <v>16020.360343657141</v>
      </c>
      <c r="AE52" s="104">
        <f>$E$52*Quantidades!AE53</f>
        <v>16020.360343657141</v>
      </c>
      <c r="AF52" s="104">
        <f>$E$52*Quantidades!AF53</f>
        <v>16020.360343657141</v>
      </c>
      <c r="AG52" s="104">
        <f>$E$52*Quantidades!AG53</f>
        <v>16020.360343657141</v>
      </c>
      <c r="AH52" s="104">
        <f>$E$52*Quantidades!AH53</f>
        <v>16020.360343657141</v>
      </c>
      <c r="AI52" s="104">
        <f>$E$52*Quantidades!AI53</f>
        <v>16020.360343657141</v>
      </c>
      <c r="AJ52" s="104">
        <f t="shared" ref="AJ52:AJ67" si="14">+SUM(F52:AI52)</f>
        <v>421783.25324022863</v>
      </c>
    </row>
    <row r="53" spans="2:39" x14ac:dyDescent="0.25">
      <c r="B53" s="77">
        <v>4915774</v>
      </c>
      <c r="C53" s="84" t="s">
        <v>199</v>
      </c>
      <c r="D53" s="77" t="s">
        <v>313</v>
      </c>
      <c r="E53" s="104">
        <f>'Preços Unitários'!D53</f>
        <v>31.22</v>
      </c>
      <c r="F53" s="98">
        <f>$E$53*Quantidades!F54</f>
        <v>0</v>
      </c>
      <c r="G53" s="104">
        <f>$E$53*Quantidades!G54</f>
        <v>14605.756666666666</v>
      </c>
      <c r="H53" s="104">
        <f>$E$53*Quantidades!H54</f>
        <v>14605.756666666666</v>
      </c>
      <c r="I53" s="104">
        <f>$E$53*Quantidades!I54</f>
        <v>14605.756666666666</v>
      </c>
      <c r="J53" s="104">
        <f>$E$53*Quantidades!J54</f>
        <v>14705.265213333332</v>
      </c>
      <c r="K53" s="104">
        <f>$E$53*Quantidades!K54</f>
        <v>14705.265213333332</v>
      </c>
      <c r="L53" s="104">
        <f>$E$53*Quantidades!L54</f>
        <v>17354.05847</v>
      </c>
      <c r="M53" s="104">
        <f>$E$53*Quantidades!M54</f>
        <v>20123.420764999999</v>
      </c>
      <c r="N53" s="104">
        <f>$E$53*Quantidades!N54</f>
        <v>22531.679531666665</v>
      </c>
      <c r="O53" s="104">
        <f>$E$53*Quantidades!O54</f>
        <v>24591.046993333333</v>
      </c>
      <c r="P53" s="104">
        <f>$E$53*Quantidades!P54</f>
        <v>24591.046993333333</v>
      </c>
      <c r="Q53" s="104">
        <f>$E$53*Quantidades!Q54</f>
        <v>24591.046993333333</v>
      </c>
      <c r="R53" s="104">
        <f>$E$53*Quantidades!R54</f>
        <v>24591.046993333333</v>
      </c>
      <c r="S53" s="104">
        <f>$E$53*Quantidades!S54</f>
        <v>24591.046993333333</v>
      </c>
      <c r="T53" s="104">
        <f>$E$53*Quantidades!T54</f>
        <v>24591.046993333333</v>
      </c>
      <c r="U53" s="104">
        <f>$E$53*Quantidades!U54</f>
        <v>24591.046993333333</v>
      </c>
      <c r="V53" s="104">
        <f>$E$53*Quantidades!V54</f>
        <v>24591.046993333333</v>
      </c>
      <c r="W53" s="104">
        <f>$E$53*Quantidades!W54</f>
        <v>24591.046993333333</v>
      </c>
      <c r="X53" s="104">
        <f>$E$53*Quantidades!X54</f>
        <v>24591.046993333333</v>
      </c>
      <c r="Y53" s="104">
        <f>$E$53*Quantidades!Y54</f>
        <v>24735.689907466665</v>
      </c>
      <c r="Z53" s="104">
        <f>$E$53*Quantidades!Z54</f>
        <v>24735.689907466665</v>
      </c>
      <c r="AA53" s="104">
        <f>$E$53*Quantidades!AA54</f>
        <v>24735.689907466665</v>
      </c>
      <c r="AB53" s="104">
        <f>$E$53*Quantidades!AB54</f>
        <v>24735.689907466665</v>
      </c>
      <c r="AC53" s="104">
        <f>$E$53*Quantidades!AC54</f>
        <v>24735.689907466665</v>
      </c>
      <c r="AD53" s="104">
        <f>$E$53*Quantidades!AD54</f>
        <v>24735.689907466665</v>
      </c>
      <c r="AE53" s="104">
        <f>$E$53*Quantidades!AE54</f>
        <v>24735.689907466665</v>
      </c>
      <c r="AF53" s="104">
        <f>$E$53*Quantidades!AF54</f>
        <v>24735.689907466665</v>
      </c>
      <c r="AG53" s="104">
        <f>$E$53*Quantidades!AG54</f>
        <v>24735.689907466665</v>
      </c>
      <c r="AH53" s="104">
        <f>$E$53*Quantidades!AH54</f>
        <v>24735.689907466665</v>
      </c>
      <c r="AI53" s="104">
        <f>$E$53*Quantidades!AI54</f>
        <v>24735.689907466665</v>
      </c>
      <c r="AJ53" s="104">
        <f t="shared" si="14"/>
        <v>651240.0181087997</v>
      </c>
    </row>
    <row r="54" spans="2:39" x14ac:dyDescent="0.25">
      <c r="B54" s="61"/>
      <c r="C54" s="66" t="s">
        <v>200</v>
      </c>
      <c r="D54" s="61"/>
      <c r="E54" s="93"/>
      <c r="F54" s="169">
        <f t="shared" ref="F54:AH54" si="15">+SUBTOTAL(9,F55:F61)</f>
        <v>0</v>
      </c>
      <c r="G54" s="169">
        <f t="shared" si="15"/>
        <v>951076.89762917859</v>
      </c>
      <c r="H54" s="169">
        <f t="shared" si="15"/>
        <v>951076.89762917859</v>
      </c>
      <c r="I54" s="169">
        <f t="shared" si="15"/>
        <v>951076.89762917859</v>
      </c>
      <c r="J54" s="169">
        <f t="shared" si="15"/>
        <v>947832.57842640136</v>
      </c>
      <c r="K54" s="169">
        <f t="shared" si="15"/>
        <v>947832.57842640136</v>
      </c>
      <c r="L54" s="169">
        <f t="shared" si="15"/>
        <v>951272.89679156255</v>
      </c>
      <c r="M54" s="169">
        <f t="shared" si="15"/>
        <v>956369.88884048467</v>
      </c>
      <c r="N54" s="169">
        <f t="shared" si="15"/>
        <v>962138.70310904435</v>
      </c>
      <c r="O54" s="169">
        <f t="shared" si="15"/>
        <v>964706.69283979596</v>
      </c>
      <c r="P54" s="169">
        <f t="shared" si="15"/>
        <v>964706.69283979596</v>
      </c>
      <c r="Q54" s="169">
        <f t="shared" si="15"/>
        <v>964706.69283979596</v>
      </c>
      <c r="R54" s="169">
        <f t="shared" si="15"/>
        <v>964706.69283979596</v>
      </c>
      <c r="S54" s="169">
        <f t="shared" si="15"/>
        <v>964706.69283979596</v>
      </c>
      <c r="T54" s="169">
        <f t="shared" si="15"/>
        <v>964706.69283979596</v>
      </c>
      <c r="U54" s="169">
        <f t="shared" si="15"/>
        <v>964706.69283979596</v>
      </c>
      <c r="V54" s="169">
        <f t="shared" si="15"/>
        <v>964706.69283979596</v>
      </c>
      <c r="W54" s="169">
        <f t="shared" si="15"/>
        <v>964706.69283979596</v>
      </c>
      <c r="X54" s="169">
        <f t="shared" si="15"/>
        <v>964706.69283979596</v>
      </c>
      <c r="Y54" s="169">
        <f t="shared" si="15"/>
        <v>967665.32633790222</v>
      </c>
      <c r="Z54" s="169">
        <f t="shared" si="15"/>
        <v>967665.32633790222</v>
      </c>
      <c r="AA54" s="169">
        <f t="shared" si="15"/>
        <v>967665.32633790222</v>
      </c>
      <c r="AB54" s="169">
        <f t="shared" si="15"/>
        <v>967665.32633790222</v>
      </c>
      <c r="AC54" s="169">
        <f t="shared" si="15"/>
        <v>967665.32633790222</v>
      </c>
      <c r="AD54" s="169">
        <f t="shared" si="15"/>
        <v>967665.32633790222</v>
      </c>
      <c r="AE54" s="169">
        <f t="shared" si="15"/>
        <v>967665.32633790222</v>
      </c>
      <c r="AF54" s="169">
        <f t="shared" si="15"/>
        <v>967665.32633790222</v>
      </c>
      <c r="AG54" s="169">
        <f t="shared" si="15"/>
        <v>967665.32633790222</v>
      </c>
      <c r="AH54" s="169">
        <f t="shared" si="15"/>
        <v>967665.32633790222</v>
      </c>
      <c r="AI54" s="169">
        <f>+SUBTOTAL(9,AI55:AI61)</f>
        <v>967665.32633790222</v>
      </c>
      <c r="AJ54" s="169">
        <f t="shared" si="14"/>
        <v>27910062.856596328</v>
      </c>
    </row>
    <row r="55" spans="2:39" x14ac:dyDescent="0.25">
      <c r="B55" s="77"/>
      <c r="C55" s="68" t="s">
        <v>318</v>
      </c>
      <c r="D55" s="177"/>
      <c r="E55" s="104"/>
      <c r="F55" s="98"/>
      <c r="G55" s="172">
        <f>+SUBTOTAL(9,G56:G61)</f>
        <v>951076.89762917859</v>
      </c>
      <c r="H55" s="172">
        <f t="shared" ref="H55:AI55" si="16">+SUBTOTAL(9,H56:H61)</f>
        <v>951076.89762917859</v>
      </c>
      <c r="I55" s="172">
        <f t="shared" si="16"/>
        <v>951076.89762917859</v>
      </c>
      <c r="J55" s="172">
        <f t="shared" si="16"/>
        <v>947832.57842640136</v>
      </c>
      <c r="K55" s="172">
        <f t="shared" si="16"/>
        <v>947832.57842640136</v>
      </c>
      <c r="L55" s="172">
        <f t="shared" si="16"/>
        <v>951272.89679156255</v>
      </c>
      <c r="M55" s="172">
        <f t="shared" si="16"/>
        <v>956369.88884048467</v>
      </c>
      <c r="N55" s="172">
        <f t="shared" si="16"/>
        <v>962138.70310904435</v>
      </c>
      <c r="O55" s="172">
        <f t="shared" si="16"/>
        <v>964706.69283979596</v>
      </c>
      <c r="P55" s="172">
        <f t="shared" si="16"/>
        <v>964706.69283979596</v>
      </c>
      <c r="Q55" s="172">
        <f t="shared" si="16"/>
        <v>964706.69283979596</v>
      </c>
      <c r="R55" s="172">
        <f t="shared" si="16"/>
        <v>964706.69283979596</v>
      </c>
      <c r="S55" s="172">
        <f t="shared" si="16"/>
        <v>964706.69283979596</v>
      </c>
      <c r="T55" s="172">
        <f t="shared" si="16"/>
        <v>964706.69283979596</v>
      </c>
      <c r="U55" s="172">
        <f t="shared" si="16"/>
        <v>964706.69283979596</v>
      </c>
      <c r="V55" s="172">
        <f t="shared" si="16"/>
        <v>964706.69283979596</v>
      </c>
      <c r="W55" s="172">
        <f t="shared" si="16"/>
        <v>964706.69283979596</v>
      </c>
      <c r="X55" s="172">
        <f t="shared" si="16"/>
        <v>964706.69283979596</v>
      </c>
      <c r="Y55" s="172">
        <f t="shared" si="16"/>
        <v>967665.32633790222</v>
      </c>
      <c r="Z55" s="172">
        <f t="shared" si="16"/>
        <v>967665.32633790222</v>
      </c>
      <c r="AA55" s="172">
        <f t="shared" si="16"/>
        <v>967665.32633790222</v>
      </c>
      <c r="AB55" s="172">
        <f t="shared" si="16"/>
        <v>967665.32633790222</v>
      </c>
      <c r="AC55" s="172">
        <f t="shared" si="16"/>
        <v>967665.32633790222</v>
      </c>
      <c r="AD55" s="172">
        <f t="shared" si="16"/>
        <v>967665.32633790222</v>
      </c>
      <c r="AE55" s="172">
        <f t="shared" si="16"/>
        <v>967665.32633790222</v>
      </c>
      <c r="AF55" s="172">
        <f t="shared" si="16"/>
        <v>967665.32633790222</v>
      </c>
      <c r="AG55" s="172">
        <f t="shared" si="16"/>
        <v>967665.32633790222</v>
      </c>
      <c r="AH55" s="172">
        <f t="shared" si="16"/>
        <v>967665.32633790222</v>
      </c>
      <c r="AI55" s="172">
        <f t="shared" si="16"/>
        <v>967665.32633790222</v>
      </c>
      <c r="AJ55" s="104">
        <f t="shared" si="14"/>
        <v>27910062.856596328</v>
      </c>
    </row>
    <row r="56" spans="2:39" x14ac:dyDescent="0.25">
      <c r="B56" s="77">
        <v>4915740</v>
      </c>
      <c r="C56" s="84" t="s">
        <v>202</v>
      </c>
      <c r="D56" s="77" t="s">
        <v>254</v>
      </c>
      <c r="E56" s="104">
        <f>'Preços Unitários'!D56</f>
        <v>1521.83</v>
      </c>
      <c r="F56" s="98">
        <f>$E$56*Quantidades!F58</f>
        <v>0</v>
      </c>
      <c r="G56" s="104">
        <f>$E$56*Quantidades!G58</f>
        <v>213799.23288876796</v>
      </c>
      <c r="H56" s="104">
        <f>$E$56*Quantidades!H58</f>
        <v>213799.23288876796</v>
      </c>
      <c r="I56" s="104">
        <f>$E$56*Quantidades!I58</f>
        <v>213799.23288876796</v>
      </c>
      <c r="J56" s="104">
        <f>$E$56*Quantidades!J58</f>
        <v>213799.23288876796</v>
      </c>
      <c r="K56" s="104">
        <f>$E$56*Quantidades!K58</f>
        <v>213799.23288876796</v>
      </c>
      <c r="L56" s="104">
        <f>$E$56*Quantidades!L58</f>
        <v>213799.23288876796</v>
      </c>
      <c r="M56" s="104">
        <f>$E$56*Quantidades!M58</f>
        <v>213799.23288876796</v>
      </c>
      <c r="N56" s="104">
        <f>$E$56*Quantidades!N58</f>
        <v>213799.23288876796</v>
      </c>
      <c r="O56" s="104">
        <f>$E$56*Quantidades!O58</f>
        <v>213799.23288876796</v>
      </c>
      <c r="P56" s="104">
        <f>$E$56*Quantidades!P58</f>
        <v>213799.23288876796</v>
      </c>
      <c r="Q56" s="104">
        <f>$E$56*Quantidades!Q58</f>
        <v>213799.23288876796</v>
      </c>
      <c r="R56" s="104">
        <f>$E$56*Quantidades!R58</f>
        <v>213799.23288876796</v>
      </c>
      <c r="S56" s="104">
        <f>$E$56*Quantidades!S58</f>
        <v>213799.23288876796</v>
      </c>
      <c r="T56" s="104">
        <f>$E$56*Quantidades!T58</f>
        <v>213799.23288876796</v>
      </c>
      <c r="U56" s="104">
        <f>$E$56*Quantidades!U58</f>
        <v>213799.23288876796</v>
      </c>
      <c r="V56" s="104">
        <f>$E$56*Quantidades!V58</f>
        <v>213799.23288876796</v>
      </c>
      <c r="W56" s="104">
        <f>$E$56*Quantidades!W58</f>
        <v>213799.23288876796</v>
      </c>
      <c r="X56" s="104">
        <f>$E$56*Quantidades!X58</f>
        <v>213799.23288876796</v>
      </c>
      <c r="Y56" s="104">
        <f>$E$56*Quantidades!Y58</f>
        <v>213799.23288876796</v>
      </c>
      <c r="Z56" s="104">
        <f>$E$56*Quantidades!Z58</f>
        <v>213799.23288876796</v>
      </c>
      <c r="AA56" s="104">
        <f>$E$56*Quantidades!AA58</f>
        <v>213799.23288876796</v>
      </c>
      <c r="AB56" s="104">
        <f>$E$56*Quantidades!AB58</f>
        <v>213799.23288876796</v>
      </c>
      <c r="AC56" s="104">
        <f>$E$56*Quantidades!AC58</f>
        <v>213799.23288876796</v>
      </c>
      <c r="AD56" s="104">
        <f>$E$56*Quantidades!AD58</f>
        <v>213799.23288876796</v>
      </c>
      <c r="AE56" s="104">
        <f>$E$56*Quantidades!AE58</f>
        <v>213799.23288876796</v>
      </c>
      <c r="AF56" s="104">
        <f>$E$56*Quantidades!AF58</f>
        <v>213799.23288876796</v>
      </c>
      <c r="AG56" s="104">
        <f>$E$56*Quantidades!AG58</f>
        <v>213799.23288876796</v>
      </c>
      <c r="AH56" s="104">
        <f>$E$56*Quantidades!AH58</f>
        <v>213799.23288876796</v>
      </c>
      <c r="AI56" s="104">
        <f>$E$56*Quantidades!AI58</f>
        <v>213799.23288876796</v>
      </c>
      <c r="AJ56" s="104">
        <f t="shared" si="14"/>
        <v>6200177.7537742667</v>
      </c>
    </row>
    <row r="57" spans="2:39" x14ac:dyDescent="0.25">
      <c r="B57" s="77">
        <v>4915742</v>
      </c>
      <c r="C57" s="84" t="s">
        <v>204</v>
      </c>
      <c r="D57" s="77" t="s">
        <v>254</v>
      </c>
      <c r="E57" s="104">
        <f>'Preços Unitários'!D57</f>
        <v>323.06</v>
      </c>
      <c r="F57" s="98">
        <f>$E$57*Quantidades!F59</f>
        <v>0</v>
      </c>
      <c r="G57" s="104">
        <f>$E$57*Quantidades!G59</f>
        <v>181544.53566310398</v>
      </c>
      <c r="H57" s="104">
        <f>$E$57*Quantidades!H59</f>
        <v>181544.53566310398</v>
      </c>
      <c r="I57" s="104">
        <f>$E$57*Quantidades!I59</f>
        <v>181544.53566310398</v>
      </c>
      <c r="J57" s="104">
        <f>$E$57*Quantidades!J59</f>
        <v>181544.53566310398</v>
      </c>
      <c r="K57" s="104">
        <f>$E$57*Quantidades!K59</f>
        <v>181544.53566310398</v>
      </c>
      <c r="L57" s="104">
        <f>$E$57*Quantidades!L59</f>
        <v>181544.53566310398</v>
      </c>
      <c r="M57" s="104">
        <f>$E$57*Quantidades!M59</f>
        <v>181544.53566310398</v>
      </c>
      <c r="N57" s="104">
        <f>$E$57*Quantidades!N59</f>
        <v>181544.53566310398</v>
      </c>
      <c r="O57" s="104">
        <f>$E$57*Quantidades!O59</f>
        <v>181544.53566310398</v>
      </c>
      <c r="P57" s="104">
        <f>$E$57*Quantidades!P59</f>
        <v>181544.53566310398</v>
      </c>
      <c r="Q57" s="104">
        <f>$E$57*Quantidades!Q59</f>
        <v>181544.53566310398</v>
      </c>
      <c r="R57" s="104">
        <f>$E$57*Quantidades!R59</f>
        <v>181544.53566310398</v>
      </c>
      <c r="S57" s="104">
        <f>$E$57*Quantidades!S59</f>
        <v>181544.53566310398</v>
      </c>
      <c r="T57" s="104">
        <f>$E$57*Quantidades!T59</f>
        <v>181544.53566310398</v>
      </c>
      <c r="U57" s="104">
        <f>$E$57*Quantidades!U59</f>
        <v>181544.53566310398</v>
      </c>
      <c r="V57" s="104">
        <f>$E$57*Quantidades!V59</f>
        <v>181544.53566310398</v>
      </c>
      <c r="W57" s="104">
        <f>$E$57*Quantidades!W59</f>
        <v>181544.53566310398</v>
      </c>
      <c r="X57" s="104">
        <f>$E$57*Quantidades!X59</f>
        <v>181544.53566310398</v>
      </c>
      <c r="Y57" s="104">
        <f>$E$57*Quantidades!Y59</f>
        <v>181544.53566310398</v>
      </c>
      <c r="Z57" s="104">
        <f>$E$57*Quantidades!Z59</f>
        <v>181544.53566310398</v>
      </c>
      <c r="AA57" s="104">
        <f>$E$57*Quantidades!AA59</f>
        <v>181544.53566310398</v>
      </c>
      <c r="AB57" s="104">
        <f>$E$57*Quantidades!AB59</f>
        <v>181544.53566310398</v>
      </c>
      <c r="AC57" s="104">
        <f>$E$57*Quantidades!AC59</f>
        <v>181544.53566310398</v>
      </c>
      <c r="AD57" s="104">
        <f>$E$57*Quantidades!AD59</f>
        <v>181544.53566310398</v>
      </c>
      <c r="AE57" s="104">
        <f>$E$57*Quantidades!AE59</f>
        <v>181544.53566310398</v>
      </c>
      <c r="AF57" s="104">
        <f>$E$57*Quantidades!AF59</f>
        <v>181544.53566310398</v>
      </c>
      <c r="AG57" s="104">
        <f>$E$57*Quantidades!AG59</f>
        <v>181544.53566310398</v>
      </c>
      <c r="AH57" s="104">
        <f>$E$57*Quantidades!AH59</f>
        <v>181544.53566310398</v>
      </c>
      <c r="AI57" s="104">
        <f>$E$57*Quantidades!AI59</f>
        <v>181544.53566310398</v>
      </c>
      <c r="AJ57" s="104">
        <f t="shared" si="14"/>
        <v>5264791.5342300152</v>
      </c>
    </row>
    <row r="58" spans="2:39" x14ac:dyDescent="0.25">
      <c r="B58" s="276">
        <v>4915744</v>
      </c>
      <c r="C58" s="277" t="s">
        <v>205</v>
      </c>
      <c r="D58" s="77" t="s">
        <v>54</v>
      </c>
      <c r="E58" s="104">
        <f>'Preços Unitários'!D58</f>
        <v>0.61</v>
      </c>
      <c r="F58" s="98">
        <f>$E$58*Quantidades!F60</f>
        <v>0</v>
      </c>
      <c r="G58" s="104">
        <f>$E$58*Quantidades!G60</f>
        <v>1467.6599999999999</v>
      </c>
      <c r="H58" s="104">
        <f>$E$58*Quantidades!H60</f>
        <v>1467.6599999999999</v>
      </c>
      <c r="I58" s="104">
        <f>$E$58*Quantidades!I60</f>
        <v>1467.6599999999999</v>
      </c>
      <c r="J58" s="104">
        <f>$E$58*Quantidades!J60</f>
        <v>1467.6599999999999</v>
      </c>
      <c r="K58" s="104">
        <f>$E$58*Quantidades!K60</f>
        <v>1467.6599999999999</v>
      </c>
      <c r="L58" s="104">
        <f>$E$58*Quantidades!L60</f>
        <v>1467.6599999999999</v>
      </c>
      <c r="M58" s="104">
        <f>$E$58*Quantidades!M60</f>
        <v>1467.6599999999999</v>
      </c>
      <c r="N58" s="104">
        <f>$E$58*Quantidades!N60</f>
        <v>1467.6599999999999</v>
      </c>
      <c r="O58" s="104">
        <f>$E$58*Quantidades!O60</f>
        <v>1467.6599999999999</v>
      </c>
      <c r="P58" s="104">
        <f>$E$58*Quantidades!P60</f>
        <v>1467.6599999999999</v>
      </c>
      <c r="Q58" s="104">
        <f>$E$58*Quantidades!Q60</f>
        <v>1467.6599999999999</v>
      </c>
      <c r="R58" s="104">
        <f>$E$58*Quantidades!R60</f>
        <v>1467.6599999999999</v>
      </c>
      <c r="S58" s="104">
        <f>$E$58*Quantidades!S60</f>
        <v>1467.6599999999999</v>
      </c>
      <c r="T58" s="104">
        <f>$E$58*Quantidades!T60</f>
        <v>1467.6599999999999</v>
      </c>
      <c r="U58" s="104">
        <f>$E$58*Quantidades!U60</f>
        <v>1467.6599999999999</v>
      </c>
      <c r="V58" s="104">
        <f>$E$58*Quantidades!V60</f>
        <v>1467.6599999999999</v>
      </c>
      <c r="W58" s="104">
        <f>$E$58*Quantidades!W60</f>
        <v>1467.6599999999999</v>
      </c>
      <c r="X58" s="104">
        <f>$E$58*Quantidades!X60</f>
        <v>1467.6599999999999</v>
      </c>
      <c r="Y58" s="104">
        <f>$E$58*Quantidades!Y60</f>
        <v>1467.6599999999999</v>
      </c>
      <c r="Z58" s="104">
        <f>$E$58*Quantidades!Z60</f>
        <v>1467.6599999999999</v>
      </c>
      <c r="AA58" s="104">
        <f>$E$58*Quantidades!AA60</f>
        <v>1467.6599999999999</v>
      </c>
      <c r="AB58" s="104">
        <f>$E$58*Quantidades!AB60</f>
        <v>1467.6599999999999</v>
      </c>
      <c r="AC58" s="104">
        <f>$E$58*Quantidades!AC60</f>
        <v>1467.6599999999999</v>
      </c>
      <c r="AD58" s="104">
        <f>$E$58*Quantidades!AD60</f>
        <v>1467.6599999999999</v>
      </c>
      <c r="AE58" s="104">
        <f>$E$58*Quantidades!AE60</f>
        <v>1467.6599999999999</v>
      </c>
      <c r="AF58" s="104">
        <f>$E$58*Quantidades!AF60</f>
        <v>1467.6599999999999</v>
      </c>
      <c r="AG58" s="104">
        <f>$E$58*Quantidades!AG60</f>
        <v>1467.6599999999999</v>
      </c>
      <c r="AH58" s="104">
        <f>$E$58*Quantidades!AH60</f>
        <v>1467.6599999999999</v>
      </c>
      <c r="AI58" s="104">
        <f>$E$58*Quantidades!AI60</f>
        <v>1467.6599999999999</v>
      </c>
      <c r="AJ58" s="104">
        <f t="shared" si="14"/>
        <v>42562.140000000014</v>
      </c>
    </row>
    <row r="59" spans="2:39" x14ac:dyDescent="0.25">
      <c r="B59" s="276">
        <v>4413905</v>
      </c>
      <c r="C59" s="277" t="s">
        <v>319</v>
      </c>
      <c r="D59" s="77" t="s">
        <v>54</v>
      </c>
      <c r="E59" s="104">
        <f>'Preços Unitários'!D59</f>
        <v>2.97</v>
      </c>
      <c r="F59" s="98">
        <f>$E$59*Quantidades!F61</f>
        <v>0</v>
      </c>
      <c r="G59" s="104">
        <f>$E$59*Quantidades!G61</f>
        <v>357291</v>
      </c>
      <c r="H59" s="104">
        <f>$E$59*Quantidades!H61</f>
        <v>357291</v>
      </c>
      <c r="I59" s="104">
        <f>$E$59*Quantidades!I61</f>
        <v>357291</v>
      </c>
      <c r="J59" s="104">
        <f>$E$59*Quantidades!J61</f>
        <v>355063.5</v>
      </c>
      <c r="K59" s="104">
        <f>$E$59*Quantidades!K61</f>
        <v>355063.5</v>
      </c>
      <c r="L59" s="104">
        <f>$E$59*Quantidades!L61</f>
        <v>357425.54100000003</v>
      </c>
      <c r="M59" s="104">
        <f>$E$59*Quantidades!M61</f>
        <v>360923.16149999999</v>
      </c>
      <c r="N59" s="104">
        <f>$E$59*Quantidades!N61</f>
        <v>364879.20150000002</v>
      </c>
      <c r="O59" s="104">
        <f>$E$59*Quantidades!O61</f>
        <v>366639.37200000003</v>
      </c>
      <c r="P59" s="104">
        <f>$E$59*Quantidades!P61</f>
        <v>366639.37200000003</v>
      </c>
      <c r="Q59" s="104">
        <f>$E$59*Quantidades!Q61</f>
        <v>366639.37200000003</v>
      </c>
      <c r="R59" s="104">
        <f>$E$59*Quantidades!R61</f>
        <v>366639.37200000003</v>
      </c>
      <c r="S59" s="104">
        <f>$E$59*Quantidades!S61</f>
        <v>366639.37200000003</v>
      </c>
      <c r="T59" s="104">
        <f>$E$59*Quantidades!T61</f>
        <v>366639.37200000003</v>
      </c>
      <c r="U59" s="104">
        <f>$E$59*Quantidades!U61</f>
        <v>366639.37200000003</v>
      </c>
      <c r="V59" s="104">
        <f>$E$59*Quantidades!V61</f>
        <v>366639.37200000003</v>
      </c>
      <c r="W59" s="104">
        <f>$E$59*Quantidades!W61</f>
        <v>366639.37200000003</v>
      </c>
      <c r="X59" s="104">
        <f>$E$59*Quantidades!X61</f>
        <v>366639.37200000003</v>
      </c>
      <c r="Y59" s="104">
        <f>$E$59*Quantidades!Y61</f>
        <v>368666.65666285716</v>
      </c>
      <c r="Z59" s="104">
        <f>$E$59*Quantidades!Z61</f>
        <v>368666.65666285716</v>
      </c>
      <c r="AA59" s="104">
        <f>$E$59*Quantidades!AA61</f>
        <v>368666.65666285716</v>
      </c>
      <c r="AB59" s="104">
        <f>$E$59*Quantidades!AB61</f>
        <v>368666.65666285716</v>
      </c>
      <c r="AC59" s="104">
        <f>$E$59*Quantidades!AC61</f>
        <v>368666.65666285716</v>
      </c>
      <c r="AD59" s="104">
        <f>$E$59*Quantidades!AD61</f>
        <v>368666.65666285716</v>
      </c>
      <c r="AE59" s="104">
        <f>$E$59*Quantidades!AE61</f>
        <v>368666.65666285716</v>
      </c>
      <c r="AF59" s="104">
        <f>$E$59*Quantidades!AF61</f>
        <v>368666.65666285716</v>
      </c>
      <c r="AG59" s="104">
        <f>$E$59*Quantidades!AG61</f>
        <v>368666.65666285716</v>
      </c>
      <c r="AH59" s="104">
        <f>$E$59*Quantidades!AH61</f>
        <v>368666.65666285716</v>
      </c>
      <c r="AI59" s="104">
        <f>$E$59*Quantidades!AI61</f>
        <v>368666.65666285716</v>
      </c>
      <c r="AJ59" s="104">
        <f t="shared" si="14"/>
        <v>10586954.84729143</v>
      </c>
    </row>
    <row r="60" spans="2:39" x14ac:dyDescent="0.25">
      <c r="B60" s="77">
        <v>4915698</v>
      </c>
      <c r="C60" s="84" t="s">
        <v>208</v>
      </c>
      <c r="D60" s="77" t="s">
        <v>313</v>
      </c>
      <c r="E60" s="104">
        <f>'Preços Unitários'!D60</f>
        <v>29.94</v>
      </c>
      <c r="F60" s="98">
        <f>$E$60*Quantidades!F62</f>
        <v>0</v>
      </c>
      <c r="G60" s="104">
        <f>$E$60*Quantidades!G62</f>
        <v>180089.1</v>
      </c>
      <c r="H60" s="104">
        <f>$E$60*Quantidades!H62</f>
        <v>180089.1</v>
      </c>
      <c r="I60" s="104">
        <f>$E$60*Quantidades!I62</f>
        <v>180089.1</v>
      </c>
      <c r="J60" s="104">
        <f>$E$60*Quantidades!J62</f>
        <v>178966.35</v>
      </c>
      <c r="K60" s="104">
        <f>$E$60*Quantidades!K62</f>
        <v>178966.35</v>
      </c>
      <c r="L60" s="104">
        <f>$E$60*Quantidades!L62</f>
        <v>180156.91410000002</v>
      </c>
      <c r="M60" s="104">
        <f>$E$60*Quantidades!M62</f>
        <v>181919.85614999998</v>
      </c>
      <c r="N60" s="104">
        <f>$E$60*Quantidades!N62</f>
        <v>183913.86015000002</v>
      </c>
      <c r="O60" s="104">
        <f>$E$60*Quantidades!O62</f>
        <v>184801.05720000001</v>
      </c>
      <c r="P60" s="104">
        <f>$E$60*Quantidades!P62</f>
        <v>184801.05720000001</v>
      </c>
      <c r="Q60" s="104">
        <f>$E$60*Quantidades!Q62</f>
        <v>184801.05720000001</v>
      </c>
      <c r="R60" s="104">
        <f>$E$60*Quantidades!R62</f>
        <v>184801.05720000001</v>
      </c>
      <c r="S60" s="104">
        <f>$E$60*Quantidades!S62</f>
        <v>184801.05720000001</v>
      </c>
      <c r="T60" s="104">
        <f>$E$60*Quantidades!T62</f>
        <v>184801.05720000001</v>
      </c>
      <c r="U60" s="104">
        <f>$E$60*Quantidades!U62</f>
        <v>184801.05720000001</v>
      </c>
      <c r="V60" s="104">
        <f>$E$60*Quantidades!V62</f>
        <v>184801.05720000001</v>
      </c>
      <c r="W60" s="104">
        <f>$E$60*Quantidades!W62</f>
        <v>184801.05720000001</v>
      </c>
      <c r="X60" s="104">
        <f>$E$60*Quantidades!X62</f>
        <v>184801.05720000001</v>
      </c>
      <c r="Y60" s="104">
        <f>$E$60*Quantidades!Y62</f>
        <v>185822.89058057143</v>
      </c>
      <c r="Z60" s="104">
        <f>$E$60*Quantidades!Z62</f>
        <v>185822.89058057143</v>
      </c>
      <c r="AA60" s="104">
        <f>$E$60*Quantidades!AA62</f>
        <v>185822.89058057143</v>
      </c>
      <c r="AB60" s="104">
        <f>$E$60*Quantidades!AB62</f>
        <v>185822.89058057143</v>
      </c>
      <c r="AC60" s="104">
        <f>$E$60*Quantidades!AC62</f>
        <v>185822.89058057143</v>
      </c>
      <c r="AD60" s="104">
        <f>$E$60*Quantidades!AD62</f>
        <v>185822.89058057143</v>
      </c>
      <c r="AE60" s="104">
        <f>$E$60*Quantidades!AE62</f>
        <v>185822.89058057143</v>
      </c>
      <c r="AF60" s="104">
        <f>$E$60*Quantidades!AF62</f>
        <v>185822.89058057143</v>
      </c>
      <c r="AG60" s="104">
        <f>$E$60*Quantidades!AG62</f>
        <v>185822.89058057143</v>
      </c>
      <c r="AH60" s="104">
        <f>$E$60*Quantidades!AH62</f>
        <v>185822.89058057143</v>
      </c>
      <c r="AI60" s="104">
        <f>$E$60*Quantidades!AI62</f>
        <v>185822.89058057143</v>
      </c>
      <c r="AJ60" s="104">
        <f t="shared" si="14"/>
        <v>5336252.9987862846</v>
      </c>
      <c r="AL60" s="4"/>
      <c r="AM60" s="178"/>
    </row>
    <row r="61" spans="2:39" x14ac:dyDescent="0.25">
      <c r="B61" s="77">
        <v>4915725</v>
      </c>
      <c r="C61" s="84" t="s">
        <v>209</v>
      </c>
      <c r="D61" s="77" t="s">
        <v>316</v>
      </c>
      <c r="E61" s="104">
        <f>'Preços Unitários'!D61</f>
        <v>28.02</v>
      </c>
      <c r="F61" s="98">
        <f>$E$61*Quantidades!F63</f>
        <v>0</v>
      </c>
      <c r="G61" s="104">
        <f>$E$61*Quantidades!G63</f>
        <v>16885.369077306732</v>
      </c>
      <c r="H61" s="104">
        <f>$E$61*Quantidades!H63</f>
        <v>16885.369077306732</v>
      </c>
      <c r="I61" s="104">
        <f>$E$61*Quantidades!I63</f>
        <v>16885.369077306732</v>
      </c>
      <c r="J61" s="104">
        <f>$E$61*Quantidades!J63</f>
        <v>16991.299874529483</v>
      </c>
      <c r="K61" s="104">
        <f>$E$61*Quantidades!K63</f>
        <v>16991.299874529483</v>
      </c>
      <c r="L61" s="104">
        <f>$E$61*Quantidades!L63</f>
        <v>16879.013139690538</v>
      </c>
      <c r="M61" s="104">
        <f>$E$61*Quantidades!M63</f>
        <v>16715.442638612709</v>
      </c>
      <c r="N61" s="104">
        <f>$E$61*Quantidades!N63</f>
        <v>16534.212907172237</v>
      </c>
      <c r="O61" s="104">
        <f>$E$61*Quantidades!O63</f>
        <v>16454.835087923944</v>
      </c>
      <c r="P61" s="104">
        <f>$E$61*Quantidades!P63</f>
        <v>16454.835087923944</v>
      </c>
      <c r="Q61" s="104">
        <f>$E$61*Quantidades!Q63</f>
        <v>16454.835087923944</v>
      </c>
      <c r="R61" s="104">
        <f>$E$61*Quantidades!R63</f>
        <v>16454.835087923944</v>
      </c>
      <c r="S61" s="104">
        <f>$E$61*Quantidades!S63</f>
        <v>16454.835087923944</v>
      </c>
      <c r="T61" s="104">
        <f>$E$61*Quantidades!T63</f>
        <v>16454.835087923944</v>
      </c>
      <c r="U61" s="104">
        <f>$E$61*Quantidades!U63</f>
        <v>16454.835087923944</v>
      </c>
      <c r="V61" s="104">
        <f>$E$61*Quantidades!V63</f>
        <v>16454.835087923944</v>
      </c>
      <c r="W61" s="104">
        <f>$E$61*Quantidades!W63</f>
        <v>16454.835087923944</v>
      </c>
      <c r="X61" s="104">
        <f>$E$61*Quantidades!X63</f>
        <v>16454.835087923944</v>
      </c>
      <c r="Y61" s="104">
        <f>$E$61*Quantidades!Y63</f>
        <v>16364.350542601751</v>
      </c>
      <c r="Z61" s="104">
        <f>$E$61*Quantidades!Z63</f>
        <v>16364.350542601751</v>
      </c>
      <c r="AA61" s="104">
        <f>$E$61*Quantidades!AA63</f>
        <v>16364.350542601751</v>
      </c>
      <c r="AB61" s="104">
        <f>$E$61*Quantidades!AB63</f>
        <v>16364.350542601751</v>
      </c>
      <c r="AC61" s="104">
        <f>$E$61*Quantidades!AC63</f>
        <v>16364.350542601751</v>
      </c>
      <c r="AD61" s="104">
        <f>$E$61*Quantidades!AD63</f>
        <v>16364.350542601751</v>
      </c>
      <c r="AE61" s="104">
        <f>$E$61*Quantidades!AE63</f>
        <v>16364.350542601751</v>
      </c>
      <c r="AF61" s="104">
        <f>$E$61*Quantidades!AF63</f>
        <v>16364.350542601751</v>
      </c>
      <c r="AG61" s="104">
        <f>$E$61*Quantidades!AG63</f>
        <v>16364.350542601751</v>
      </c>
      <c r="AH61" s="104">
        <f>$E$61*Quantidades!AH63</f>
        <v>16364.350542601751</v>
      </c>
      <c r="AI61" s="104">
        <f>$E$61*Quantidades!AI63</f>
        <v>16364.350542601751</v>
      </c>
      <c r="AJ61" s="104">
        <f t="shared" si="14"/>
        <v>479323.58251431363</v>
      </c>
      <c r="AL61" s="4"/>
    </row>
    <row r="62" spans="2:39" x14ac:dyDescent="0.25">
      <c r="B62" s="61"/>
      <c r="C62" s="66" t="s">
        <v>210</v>
      </c>
      <c r="D62" s="61"/>
      <c r="E62" s="93"/>
      <c r="F62" s="169">
        <f t="shared" ref="F62:AH62" si="17">+SUBTOTAL(9,F63:F64)</f>
        <v>0</v>
      </c>
      <c r="G62" s="169">
        <f t="shared" si="17"/>
        <v>46154.437939439995</v>
      </c>
      <c r="H62" s="169">
        <f t="shared" si="17"/>
        <v>46154.437939439995</v>
      </c>
      <c r="I62" s="169">
        <f t="shared" si="17"/>
        <v>46154.437939439995</v>
      </c>
      <c r="J62" s="169">
        <f t="shared" si="17"/>
        <v>46154.437939439995</v>
      </c>
      <c r="K62" s="169">
        <f t="shared" si="17"/>
        <v>46154.437939439995</v>
      </c>
      <c r="L62" s="169">
        <f t="shared" si="17"/>
        <v>46154.437939439995</v>
      </c>
      <c r="M62" s="169">
        <f t="shared" si="17"/>
        <v>46154.437939439995</v>
      </c>
      <c r="N62" s="169">
        <f t="shared" si="17"/>
        <v>46154.437939439995</v>
      </c>
      <c r="O62" s="169">
        <f t="shared" si="17"/>
        <v>46154.437939439995</v>
      </c>
      <c r="P62" s="169">
        <f t="shared" si="17"/>
        <v>46154.437939439995</v>
      </c>
      <c r="Q62" s="169">
        <f t="shared" si="17"/>
        <v>46154.437939439995</v>
      </c>
      <c r="R62" s="169">
        <f t="shared" si="17"/>
        <v>46154.437939439995</v>
      </c>
      <c r="S62" s="169">
        <f t="shared" si="17"/>
        <v>46154.437939439995</v>
      </c>
      <c r="T62" s="169">
        <f t="shared" si="17"/>
        <v>46154.437939439995</v>
      </c>
      <c r="U62" s="169">
        <f t="shared" si="17"/>
        <v>46154.437939439995</v>
      </c>
      <c r="V62" s="169">
        <f t="shared" si="17"/>
        <v>46154.437939439995</v>
      </c>
      <c r="W62" s="169">
        <f t="shared" si="17"/>
        <v>46154.437939439995</v>
      </c>
      <c r="X62" s="169">
        <f t="shared" si="17"/>
        <v>46154.437939439995</v>
      </c>
      <c r="Y62" s="169">
        <f t="shared" si="17"/>
        <v>46154.437939439995</v>
      </c>
      <c r="Z62" s="169">
        <f t="shared" si="17"/>
        <v>46154.437939439995</v>
      </c>
      <c r="AA62" s="169">
        <f t="shared" si="17"/>
        <v>46154.437939439995</v>
      </c>
      <c r="AB62" s="169">
        <f t="shared" si="17"/>
        <v>46154.437939439995</v>
      </c>
      <c r="AC62" s="169">
        <f t="shared" si="17"/>
        <v>46154.437939439995</v>
      </c>
      <c r="AD62" s="169">
        <f t="shared" si="17"/>
        <v>46154.437939439995</v>
      </c>
      <c r="AE62" s="169">
        <f t="shared" si="17"/>
        <v>46154.437939439995</v>
      </c>
      <c r="AF62" s="169">
        <f t="shared" si="17"/>
        <v>46154.437939439995</v>
      </c>
      <c r="AG62" s="169">
        <f t="shared" si="17"/>
        <v>46154.437939439995</v>
      </c>
      <c r="AH62" s="169">
        <f t="shared" si="17"/>
        <v>46154.437939439995</v>
      </c>
      <c r="AI62" s="169">
        <f>+SUBTOTAL(9,AI63:AI64)</f>
        <v>46154.437939439995</v>
      </c>
      <c r="AJ62" s="169">
        <f t="shared" si="14"/>
        <v>1338478.7002437597</v>
      </c>
    </row>
    <row r="63" spans="2:39" x14ac:dyDescent="0.25">
      <c r="B63" s="77"/>
      <c r="C63" s="68" t="s">
        <v>211</v>
      </c>
      <c r="D63" s="177"/>
      <c r="E63" s="94"/>
      <c r="F63" s="98"/>
      <c r="G63" s="172">
        <f>+SUBTOTAL(9,G64)</f>
        <v>46154.437939439995</v>
      </c>
      <c r="H63" s="172">
        <f t="shared" ref="H63:AI63" si="18">+SUBTOTAL(9,H64)</f>
        <v>46154.437939439995</v>
      </c>
      <c r="I63" s="172">
        <f t="shared" si="18"/>
        <v>46154.437939439995</v>
      </c>
      <c r="J63" s="172">
        <f t="shared" si="18"/>
        <v>46154.437939439995</v>
      </c>
      <c r="K63" s="172">
        <f t="shared" si="18"/>
        <v>46154.437939439995</v>
      </c>
      <c r="L63" s="172">
        <f t="shared" si="18"/>
        <v>46154.437939439995</v>
      </c>
      <c r="M63" s="172">
        <f t="shared" si="18"/>
        <v>46154.437939439995</v>
      </c>
      <c r="N63" s="172">
        <f t="shared" si="18"/>
        <v>46154.437939439995</v>
      </c>
      <c r="O63" s="172">
        <f t="shared" si="18"/>
        <v>46154.437939439995</v>
      </c>
      <c r="P63" s="172">
        <f t="shared" si="18"/>
        <v>46154.437939439995</v>
      </c>
      <c r="Q63" s="172">
        <f t="shared" si="18"/>
        <v>46154.437939439995</v>
      </c>
      <c r="R63" s="172">
        <f t="shared" si="18"/>
        <v>46154.437939439995</v>
      </c>
      <c r="S63" s="172">
        <f t="shared" si="18"/>
        <v>46154.437939439995</v>
      </c>
      <c r="T63" s="172">
        <f t="shared" si="18"/>
        <v>46154.437939439995</v>
      </c>
      <c r="U63" s="172">
        <f t="shared" si="18"/>
        <v>46154.437939439995</v>
      </c>
      <c r="V63" s="172">
        <f t="shared" si="18"/>
        <v>46154.437939439995</v>
      </c>
      <c r="W63" s="172">
        <f t="shared" si="18"/>
        <v>46154.437939439995</v>
      </c>
      <c r="X63" s="172">
        <f t="shared" si="18"/>
        <v>46154.437939439995</v>
      </c>
      <c r="Y63" s="172">
        <f t="shared" si="18"/>
        <v>46154.437939439995</v>
      </c>
      <c r="Z63" s="172">
        <f t="shared" si="18"/>
        <v>46154.437939439995</v>
      </c>
      <c r="AA63" s="172">
        <f t="shared" si="18"/>
        <v>46154.437939439995</v>
      </c>
      <c r="AB63" s="172">
        <f t="shared" si="18"/>
        <v>46154.437939439995</v>
      </c>
      <c r="AC63" s="172">
        <f t="shared" si="18"/>
        <v>46154.437939439995</v>
      </c>
      <c r="AD63" s="172">
        <f t="shared" si="18"/>
        <v>46154.437939439995</v>
      </c>
      <c r="AE63" s="172">
        <f t="shared" si="18"/>
        <v>46154.437939439995</v>
      </c>
      <c r="AF63" s="172">
        <f t="shared" si="18"/>
        <v>46154.437939439995</v>
      </c>
      <c r="AG63" s="172">
        <f t="shared" si="18"/>
        <v>46154.437939439995</v>
      </c>
      <c r="AH63" s="172">
        <f t="shared" si="18"/>
        <v>46154.437939439995</v>
      </c>
      <c r="AI63" s="172">
        <f t="shared" si="18"/>
        <v>46154.437939439995</v>
      </c>
      <c r="AJ63" s="104">
        <f t="shared" si="14"/>
        <v>1338478.7002437597</v>
      </c>
    </row>
    <row r="64" spans="2:39" x14ac:dyDescent="0.25">
      <c r="B64" s="77" t="s">
        <v>320</v>
      </c>
      <c r="C64" s="84" t="s">
        <v>213</v>
      </c>
      <c r="D64" s="77" t="s">
        <v>321</v>
      </c>
      <c r="E64" s="104">
        <f>'Preços Unitários'!$D$64</f>
        <v>7939.86</v>
      </c>
      <c r="F64" s="98">
        <f>$E$64*Quantidades!F66</f>
        <v>0</v>
      </c>
      <c r="G64" s="104">
        <f>$E$64*Quantidades!G66</f>
        <v>46154.437939439995</v>
      </c>
      <c r="H64" s="104">
        <f>$E$64*Quantidades!H66</f>
        <v>46154.437939439995</v>
      </c>
      <c r="I64" s="104">
        <f>$E$64*Quantidades!I66</f>
        <v>46154.437939439995</v>
      </c>
      <c r="J64" s="104">
        <f>$E$64*Quantidades!J66</f>
        <v>46154.437939439995</v>
      </c>
      <c r="K64" s="104">
        <f>$E$64*Quantidades!K66</f>
        <v>46154.437939439995</v>
      </c>
      <c r="L64" s="104">
        <f>$E$64*Quantidades!L66</f>
        <v>46154.437939439995</v>
      </c>
      <c r="M64" s="104">
        <f>$E$64*Quantidades!M66</f>
        <v>46154.437939439995</v>
      </c>
      <c r="N64" s="104">
        <f>$E$64*Quantidades!N66</f>
        <v>46154.437939439995</v>
      </c>
      <c r="O64" s="104">
        <f>$E$64*Quantidades!O66</f>
        <v>46154.437939439995</v>
      </c>
      <c r="P64" s="104">
        <f>$E$64*Quantidades!P66</f>
        <v>46154.437939439995</v>
      </c>
      <c r="Q64" s="104">
        <f>$E$64*Quantidades!Q66</f>
        <v>46154.437939439995</v>
      </c>
      <c r="R64" s="104">
        <f>$E$64*Quantidades!R66</f>
        <v>46154.437939439995</v>
      </c>
      <c r="S64" s="104">
        <f>$E$64*Quantidades!S66</f>
        <v>46154.437939439995</v>
      </c>
      <c r="T64" s="104">
        <f>$E$64*Quantidades!T66</f>
        <v>46154.437939439995</v>
      </c>
      <c r="U64" s="104">
        <f>$E$64*Quantidades!U66</f>
        <v>46154.437939439995</v>
      </c>
      <c r="V64" s="104">
        <f>$E$64*Quantidades!V66</f>
        <v>46154.437939439995</v>
      </c>
      <c r="W64" s="104">
        <f>$E$64*Quantidades!W66</f>
        <v>46154.437939439995</v>
      </c>
      <c r="X64" s="104">
        <f>$E$64*Quantidades!X66</f>
        <v>46154.437939439995</v>
      </c>
      <c r="Y64" s="104">
        <f>$E$64*Quantidades!Y66</f>
        <v>46154.437939439995</v>
      </c>
      <c r="Z64" s="104">
        <f>$E$64*Quantidades!Z66</f>
        <v>46154.437939439995</v>
      </c>
      <c r="AA64" s="104">
        <f>$E$64*Quantidades!AA66</f>
        <v>46154.437939439995</v>
      </c>
      <c r="AB64" s="104">
        <f>$E$64*Quantidades!AB66</f>
        <v>46154.437939439995</v>
      </c>
      <c r="AC64" s="104">
        <f>$E$64*Quantidades!AC66</f>
        <v>46154.437939439995</v>
      </c>
      <c r="AD64" s="104">
        <f>$E$64*Quantidades!AD66</f>
        <v>46154.437939439995</v>
      </c>
      <c r="AE64" s="104">
        <f>$E$64*Quantidades!AE66</f>
        <v>46154.437939439995</v>
      </c>
      <c r="AF64" s="104">
        <f>$E$64*Quantidades!AF66</f>
        <v>46154.437939439995</v>
      </c>
      <c r="AG64" s="104">
        <f>$E$64*Quantidades!AG66</f>
        <v>46154.437939439995</v>
      </c>
      <c r="AH64" s="104">
        <f>$E$64*Quantidades!AH66</f>
        <v>46154.437939439995</v>
      </c>
      <c r="AI64" s="104">
        <f>$E$64*Quantidades!AI66</f>
        <v>46154.437939439995</v>
      </c>
      <c r="AJ64" s="104">
        <f t="shared" si="14"/>
        <v>1338478.7002437597</v>
      </c>
      <c r="AK64" s="4"/>
    </row>
    <row r="65" spans="2:38" x14ac:dyDescent="0.25">
      <c r="B65" s="61"/>
      <c r="C65" s="66" t="s">
        <v>215</v>
      </c>
      <c r="D65" s="61"/>
      <c r="E65" s="93"/>
      <c r="F65" s="169">
        <f t="shared" ref="F65:AH65" si="19">+SUBTOTAL(9,F66:F67)</f>
        <v>0</v>
      </c>
      <c r="G65" s="169">
        <f t="shared" si="19"/>
        <v>60850.758392160002</v>
      </c>
      <c r="H65" s="169">
        <f t="shared" si="19"/>
        <v>60850.758392160002</v>
      </c>
      <c r="I65" s="169">
        <f t="shared" si="19"/>
        <v>60850.758392160002</v>
      </c>
      <c r="J65" s="169">
        <f t="shared" si="19"/>
        <v>60850.758392160002</v>
      </c>
      <c r="K65" s="169">
        <f t="shared" si="19"/>
        <v>60850.758392160002</v>
      </c>
      <c r="L65" s="169">
        <f t="shared" si="19"/>
        <v>60850.758392160002</v>
      </c>
      <c r="M65" s="169">
        <f t="shared" si="19"/>
        <v>60850.758392160002</v>
      </c>
      <c r="N65" s="169">
        <f t="shared" si="19"/>
        <v>60850.758392160002</v>
      </c>
      <c r="O65" s="169">
        <f t="shared" si="19"/>
        <v>60850.758392160002</v>
      </c>
      <c r="P65" s="169">
        <f t="shared" si="19"/>
        <v>60850.758392160002</v>
      </c>
      <c r="Q65" s="169">
        <f t="shared" si="19"/>
        <v>60850.758392160002</v>
      </c>
      <c r="R65" s="169">
        <f t="shared" si="19"/>
        <v>60850.758392160002</v>
      </c>
      <c r="S65" s="169">
        <f t="shared" si="19"/>
        <v>60850.758392160002</v>
      </c>
      <c r="T65" s="169">
        <f t="shared" si="19"/>
        <v>60850.758392160002</v>
      </c>
      <c r="U65" s="169">
        <f t="shared" si="19"/>
        <v>60850.758392160002</v>
      </c>
      <c r="V65" s="169">
        <f t="shared" si="19"/>
        <v>60850.758392160002</v>
      </c>
      <c r="W65" s="169">
        <f t="shared" si="19"/>
        <v>60850.758392160002</v>
      </c>
      <c r="X65" s="169">
        <f t="shared" si="19"/>
        <v>60850.758392160002</v>
      </c>
      <c r="Y65" s="169">
        <f t="shared" si="19"/>
        <v>60850.758392160002</v>
      </c>
      <c r="Z65" s="169">
        <f t="shared" si="19"/>
        <v>60850.758392160002</v>
      </c>
      <c r="AA65" s="169">
        <f t="shared" si="19"/>
        <v>60850.758392160002</v>
      </c>
      <c r="AB65" s="169">
        <f t="shared" si="19"/>
        <v>60850.758392160002</v>
      </c>
      <c r="AC65" s="169">
        <f t="shared" si="19"/>
        <v>60850.758392160002</v>
      </c>
      <c r="AD65" s="169">
        <f t="shared" si="19"/>
        <v>60850.758392160002</v>
      </c>
      <c r="AE65" s="169">
        <f t="shared" si="19"/>
        <v>60850.758392160002</v>
      </c>
      <c r="AF65" s="169">
        <f t="shared" si="19"/>
        <v>60850.758392160002</v>
      </c>
      <c r="AG65" s="169">
        <f t="shared" si="19"/>
        <v>60850.758392160002</v>
      </c>
      <c r="AH65" s="169">
        <f t="shared" si="19"/>
        <v>60850.758392160002</v>
      </c>
      <c r="AI65" s="169">
        <f>+SUBTOTAL(9,AI66:AI67)</f>
        <v>60850.758392160002</v>
      </c>
      <c r="AJ65" s="169">
        <f t="shared" si="14"/>
        <v>1764671.9933726413</v>
      </c>
    </row>
    <row r="66" spans="2:38" x14ac:dyDescent="0.25">
      <c r="B66" s="77"/>
      <c r="C66" s="68" t="s">
        <v>216</v>
      </c>
      <c r="D66" s="177"/>
      <c r="E66" s="94"/>
      <c r="F66" s="98"/>
      <c r="G66" s="172">
        <f>+SUBTOTAL(9,G67)</f>
        <v>60850.758392160002</v>
      </c>
      <c r="H66" s="172">
        <f t="shared" ref="H66:AI66" si="20">+SUBTOTAL(9,H67)</f>
        <v>60850.758392160002</v>
      </c>
      <c r="I66" s="172">
        <f t="shared" si="20"/>
        <v>60850.758392160002</v>
      </c>
      <c r="J66" s="172">
        <f t="shared" si="20"/>
        <v>60850.758392160002</v>
      </c>
      <c r="K66" s="172">
        <f t="shared" si="20"/>
        <v>60850.758392160002</v>
      </c>
      <c r="L66" s="172">
        <f t="shared" si="20"/>
        <v>60850.758392160002</v>
      </c>
      <c r="M66" s="172">
        <f t="shared" si="20"/>
        <v>60850.758392160002</v>
      </c>
      <c r="N66" s="172">
        <f t="shared" si="20"/>
        <v>60850.758392160002</v>
      </c>
      <c r="O66" s="172">
        <f t="shared" si="20"/>
        <v>60850.758392160002</v>
      </c>
      <c r="P66" s="172">
        <f t="shared" si="20"/>
        <v>60850.758392160002</v>
      </c>
      <c r="Q66" s="172">
        <f t="shared" si="20"/>
        <v>60850.758392160002</v>
      </c>
      <c r="R66" s="172">
        <f t="shared" si="20"/>
        <v>60850.758392160002</v>
      </c>
      <c r="S66" s="172">
        <f t="shared" si="20"/>
        <v>60850.758392160002</v>
      </c>
      <c r="T66" s="172">
        <f t="shared" si="20"/>
        <v>60850.758392160002</v>
      </c>
      <c r="U66" s="172">
        <f t="shared" si="20"/>
        <v>60850.758392160002</v>
      </c>
      <c r="V66" s="172">
        <f t="shared" si="20"/>
        <v>60850.758392160002</v>
      </c>
      <c r="W66" s="172">
        <f t="shared" si="20"/>
        <v>60850.758392160002</v>
      </c>
      <c r="X66" s="172">
        <f t="shared" si="20"/>
        <v>60850.758392160002</v>
      </c>
      <c r="Y66" s="172">
        <f t="shared" si="20"/>
        <v>60850.758392160002</v>
      </c>
      <c r="Z66" s="172">
        <f t="shared" si="20"/>
        <v>60850.758392160002</v>
      </c>
      <c r="AA66" s="172">
        <f t="shared" si="20"/>
        <v>60850.758392160002</v>
      </c>
      <c r="AB66" s="172">
        <f t="shared" si="20"/>
        <v>60850.758392160002</v>
      </c>
      <c r="AC66" s="172">
        <f t="shared" si="20"/>
        <v>60850.758392160002</v>
      </c>
      <c r="AD66" s="172">
        <f t="shared" si="20"/>
        <v>60850.758392160002</v>
      </c>
      <c r="AE66" s="172">
        <f t="shared" si="20"/>
        <v>60850.758392160002</v>
      </c>
      <c r="AF66" s="172">
        <f t="shared" si="20"/>
        <v>60850.758392160002</v>
      </c>
      <c r="AG66" s="172">
        <f t="shared" si="20"/>
        <v>60850.758392160002</v>
      </c>
      <c r="AH66" s="172">
        <f t="shared" si="20"/>
        <v>60850.758392160002</v>
      </c>
      <c r="AI66" s="172">
        <f t="shared" si="20"/>
        <v>60850.758392160002</v>
      </c>
      <c r="AJ66" s="104">
        <f t="shared" si="14"/>
        <v>1764671.9933726413</v>
      </c>
    </row>
    <row r="67" spans="2:38" x14ac:dyDescent="0.25">
      <c r="B67" s="77" t="s">
        <v>322</v>
      </c>
      <c r="C67" s="84" t="s">
        <v>218</v>
      </c>
      <c r="D67" s="77" t="s">
        <v>321</v>
      </c>
      <c r="E67" s="104">
        <f>'Preços Unitários'!$D$67</f>
        <v>10468.040000000001</v>
      </c>
      <c r="F67" s="98">
        <f>$E$67*Quantidades!F69</f>
        <v>0</v>
      </c>
      <c r="G67" s="104">
        <f>$E$67*Quantidades!G69</f>
        <v>60850.758392160002</v>
      </c>
      <c r="H67" s="104">
        <f>$E$67*Quantidades!H69</f>
        <v>60850.758392160002</v>
      </c>
      <c r="I67" s="104">
        <f>$E$67*Quantidades!I69</f>
        <v>60850.758392160002</v>
      </c>
      <c r="J67" s="104">
        <f>$E$67*Quantidades!J69</f>
        <v>60850.758392160002</v>
      </c>
      <c r="K67" s="104">
        <f>$E$67*Quantidades!K69</f>
        <v>60850.758392160002</v>
      </c>
      <c r="L67" s="104">
        <f>$E$67*Quantidades!L69</f>
        <v>60850.758392160002</v>
      </c>
      <c r="M67" s="104">
        <f>$E$67*Quantidades!M69</f>
        <v>60850.758392160002</v>
      </c>
      <c r="N67" s="104">
        <f>$E$67*Quantidades!N69</f>
        <v>60850.758392160002</v>
      </c>
      <c r="O67" s="104">
        <f>$E$67*Quantidades!O69</f>
        <v>60850.758392160002</v>
      </c>
      <c r="P67" s="104">
        <f>$E$67*Quantidades!P69</f>
        <v>60850.758392160002</v>
      </c>
      <c r="Q67" s="104">
        <f>$E$67*Quantidades!Q69</f>
        <v>60850.758392160002</v>
      </c>
      <c r="R67" s="104">
        <f>$E$67*Quantidades!R69</f>
        <v>60850.758392160002</v>
      </c>
      <c r="S67" s="104">
        <f>$E$67*Quantidades!S69</f>
        <v>60850.758392160002</v>
      </c>
      <c r="T67" s="104">
        <f>$E$67*Quantidades!T69</f>
        <v>60850.758392160002</v>
      </c>
      <c r="U67" s="104">
        <f>$E$67*Quantidades!U69</f>
        <v>60850.758392160002</v>
      </c>
      <c r="V67" s="104">
        <f>$E$67*Quantidades!V69</f>
        <v>60850.758392160002</v>
      </c>
      <c r="W67" s="104">
        <f>$E$67*Quantidades!W69</f>
        <v>60850.758392160002</v>
      </c>
      <c r="X67" s="104">
        <f>$E$67*Quantidades!X69</f>
        <v>60850.758392160002</v>
      </c>
      <c r="Y67" s="104">
        <f>$E$67*Quantidades!Y69</f>
        <v>60850.758392160002</v>
      </c>
      <c r="Z67" s="104">
        <f>$E$67*Quantidades!Z69</f>
        <v>60850.758392160002</v>
      </c>
      <c r="AA67" s="104">
        <f>$E$67*Quantidades!AA69</f>
        <v>60850.758392160002</v>
      </c>
      <c r="AB67" s="104">
        <f>$E$67*Quantidades!AB69</f>
        <v>60850.758392160002</v>
      </c>
      <c r="AC67" s="104">
        <f>$E$67*Quantidades!AC69</f>
        <v>60850.758392160002</v>
      </c>
      <c r="AD67" s="104">
        <f>$E$67*Quantidades!AD69</f>
        <v>60850.758392160002</v>
      </c>
      <c r="AE67" s="104">
        <f>$E$67*Quantidades!AE69</f>
        <v>60850.758392160002</v>
      </c>
      <c r="AF67" s="104">
        <f>$E$67*Quantidades!AF69</f>
        <v>60850.758392160002</v>
      </c>
      <c r="AG67" s="104">
        <f>$E$67*Quantidades!AG69</f>
        <v>60850.758392160002</v>
      </c>
      <c r="AH67" s="104">
        <f>$E$67*Quantidades!AH69</f>
        <v>60850.758392160002</v>
      </c>
      <c r="AI67" s="104">
        <f>$E$67*Quantidades!AI69</f>
        <v>60850.758392160002</v>
      </c>
      <c r="AJ67" s="104">
        <f t="shared" si="14"/>
        <v>1764671.9933726413</v>
      </c>
      <c r="AK67" s="4"/>
    </row>
    <row r="68" spans="2:38" x14ac:dyDescent="0.25">
      <c r="B68" s="179"/>
      <c r="C68" s="94"/>
      <c r="D68" s="94"/>
      <c r="E68" s="94"/>
      <c r="F68" s="94"/>
      <c r="G68" s="94"/>
      <c r="H68" s="94"/>
      <c r="I68" s="94"/>
      <c r="J68" s="94"/>
      <c r="K68" s="94"/>
      <c r="L68" s="180"/>
      <c r="M68" s="179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180"/>
      <c r="Z68" s="179"/>
      <c r="AA68" s="94"/>
      <c r="AB68" s="94"/>
      <c r="AC68" s="94"/>
      <c r="AD68" s="94"/>
      <c r="AE68" s="94"/>
      <c r="AF68" s="94"/>
      <c r="AG68" s="94"/>
      <c r="AH68" s="94"/>
      <c r="AI68" s="94"/>
      <c r="AJ68" s="180"/>
    </row>
    <row r="69" spans="2:38" x14ac:dyDescent="0.25">
      <c r="B69" s="179"/>
      <c r="C69" s="181" t="s">
        <v>323</v>
      </c>
      <c r="D69" s="181"/>
      <c r="E69" s="182"/>
      <c r="F69" s="183">
        <f>+SUM(F65,F62,F54,F49,F42,F34,F21,F6)</f>
        <v>0</v>
      </c>
      <c r="G69" s="183">
        <f>+SUM(G65,G62,G54,G49,G42,G34,G21,G6)</f>
        <v>2493258.0133612333</v>
      </c>
      <c r="H69" s="183">
        <f t="shared" ref="H69:AI69" si="21">+SUM(H65,H62,H54,H49,H42,H34,H21,H6)</f>
        <v>2493258.0133612333</v>
      </c>
      <c r="I69" s="183">
        <f t="shared" si="21"/>
        <v>2493258.0133612333</v>
      </c>
      <c r="J69" s="183">
        <f t="shared" si="21"/>
        <v>2496609.8156184591</v>
      </c>
      <c r="K69" s="183">
        <f t="shared" si="21"/>
        <v>2496609.8156184591</v>
      </c>
      <c r="L69" s="183">
        <f t="shared" si="21"/>
        <v>2697521.6967154848</v>
      </c>
      <c r="M69" s="183">
        <f t="shared" si="21"/>
        <v>2909078.8565362599</v>
      </c>
      <c r="N69" s="183">
        <f t="shared" si="21"/>
        <v>3094387.0217599953</v>
      </c>
      <c r="O69" s="183">
        <f t="shared" si="21"/>
        <v>3250483.9854380125</v>
      </c>
      <c r="P69" s="183">
        <f t="shared" si="21"/>
        <v>3250483.9854380125</v>
      </c>
      <c r="Q69" s="183">
        <f t="shared" si="21"/>
        <v>3250483.9854380125</v>
      </c>
      <c r="R69" s="183">
        <f t="shared" si="21"/>
        <v>3250483.9854380125</v>
      </c>
      <c r="S69" s="183">
        <f t="shared" si="21"/>
        <v>3250483.9854380125</v>
      </c>
      <c r="T69" s="183">
        <f t="shared" si="21"/>
        <v>3250483.9854380125</v>
      </c>
      <c r="U69" s="183">
        <f t="shared" si="21"/>
        <v>3250483.9854380125</v>
      </c>
      <c r="V69" s="183">
        <f t="shared" si="21"/>
        <v>3250483.9854380125</v>
      </c>
      <c r="W69" s="183">
        <f t="shared" si="21"/>
        <v>3250483.9854380125</v>
      </c>
      <c r="X69" s="183">
        <f t="shared" si="21"/>
        <v>3250483.9854380125</v>
      </c>
      <c r="Y69" s="183">
        <f t="shared" si="21"/>
        <v>3264225.9680027594</v>
      </c>
      <c r="Z69" s="183">
        <f t="shared" si="21"/>
        <v>3264225.9680027594</v>
      </c>
      <c r="AA69" s="183">
        <f t="shared" si="21"/>
        <v>3264225.9680027594</v>
      </c>
      <c r="AB69" s="183">
        <f t="shared" si="21"/>
        <v>3264225.9680027594</v>
      </c>
      <c r="AC69" s="183">
        <f t="shared" si="21"/>
        <v>3264225.9680027594</v>
      </c>
      <c r="AD69" s="183">
        <f t="shared" si="21"/>
        <v>3264225.9680027594</v>
      </c>
      <c r="AE69" s="183">
        <f t="shared" si="21"/>
        <v>3264225.9680027594</v>
      </c>
      <c r="AF69" s="183">
        <f t="shared" si="21"/>
        <v>3264225.9680027594</v>
      </c>
      <c r="AG69" s="183">
        <f t="shared" si="21"/>
        <v>3264225.9680027594</v>
      </c>
      <c r="AH69" s="183">
        <f t="shared" si="21"/>
        <v>3264225.9680027594</v>
      </c>
      <c r="AI69" s="183">
        <f t="shared" si="21"/>
        <v>3264225.9680027594</v>
      </c>
      <c r="AJ69" s="183">
        <f>+SUM(F69:AI69)</f>
        <v>89585306.748742864</v>
      </c>
    </row>
    <row r="70" spans="2:38" x14ac:dyDescent="0.25">
      <c r="B70" s="167"/>
      <c r="L70" s="168"/>
      <c r="M70" s="167"/>
      <c r="Y70" s="168"/>
      <c r="Z70" s="167"/>
      <c r="AJ70" s="168"/>
    </row>
    <row r="71" spans="2:38" x14ac:dyDescent="0.25">
      <c r="B71" s="167"/>
      <c r="C71" s="1" t="s">
        <v>324</v>
      </c>
      <c r="L71" s="168"/>
      <c r="M71" s="167"/>
      <c r="Y71" s="168"/>
      <c r="Z71" s="167"/>
      <c r="AJ71" s="184"/>
    </row>
    <row r="72" spans="2:38" x14ac:dyDescent="0.25">
      <c r="B72" s="167" t="s">
        <v>3</v>
      </c>
      <c r="L72" s="168"/>
      <c r="M72" s="167"/>
      <c r="Y72" s="168"/>
      <c r="Z72" s="167"/>
      <c r="AJ72" s="168"/>
    </row>
    <row r="73" spans="2:38" ht="14.4" x14ac:dyDescent="0.25">
      <c r="B73" s="185" t="s">
        <v>325</v>
      </c>
      <c r="C73" s="186" t="str">
        <f>+C6</f>
        <v>PAVIMENTO</v>
      </c>
      <c r="D73" s="187"/>
      <c r="E73" s="187"/>
      <c r="F73" s="169">
        <f t="shared" ref="F73:AJ73" si="22">+F81+F89</f>
        <v>0</v>
      </c>
      <c r="G73" s="169">
        <f t="shared" si="22"/>
        <v>1171204.161813369</v>
      </c>
      <c r="H73" s="169">
        <f t="shared" si="22"/>
        <v>1171204.161813369</v>
      </c>
      <c r="I73" s="169">
        <f t="shared" si="22"/>
        <v>1171204.161813369</v>
      </c>
      <c r="J73" s="169">
        <f t="shared" si="22"/>
        <v>1177485.2648289204</v>
      </c>
      <c r="K73" s="169">
        <f t="shared" si="22"/>
        <v>1177485.2648289204</v>
      </c>
      <c r="L73" s="169">
        <f t="shared" si="22"/>
        <v>1373933.7700410613</v>
      </c>
      <c r="M73" s="169">
        <f t="shared" si="22"/>
        <v>1579324.312271696</v>
      </c>
      <c r="N73" s="169">
        <f t="shared" si="22"/>
        <v>1757933.5086236475</v>
      </c>
      <c r="O73" s="169">
        <f t="shared" si="22"/>
        <v>1910667.082113656</v>
      </c>
      <c r="P73" s="169">
        <f t="shared" si="22"/>
        <v>1910667.082113656</v>
      </c>
      <c r="Q73" s="169">
        <f t="shared" si="22"/>
        <v>1910667.082113656</v>
      </c>
      <c r="R73" s="169">
        <f t="shared" si="22"/>
        <v>1910667.082113656</v>
      </c>
      <c r="S73" s="169">
        <f t="shared" si="22"/>
        <v>1910667.082113656</v>
      </c>
      <c r="T73" s="169">
        <f t="shared" si="22"/>
        <v>1910667.082113656</v>
      </c>
      <c r="U73" s="169">
        <f t="shared" si="22"/>
        <v>1910667.082113656</v>
      </c>
      <c r="V73" s="169">
        <f t="shared" si="22"/>
        <v>1910667.082113656</v>
      </c>
      <c r="W73" s="169">
        <f t="shared" si="22"/>
        <v>1910667.082113656</v>
      </c>
      <c r="X73" s="169">
        <f t="shared" si="22"/>
        <v>1910667.082113656</v>
      </c>
      <c r="Y73" s="169">
        <f t="shared" si="22"/>
        <v>1921394.5649775998</v>
      </c>
      <c r="Z73" s="169">
        <f t="shared" si="22"/>
        <v>1921394.5649775998</v>
      </c>
      <c r="AA73" s="169">
        <f t="shared" si="22"/>
        <v>1921394.5649775998</v>
      </c>
      <c r="AB73" s="169">
        <f t="shared" si="22"/>
        <v>1921394.5649775998</v>
      </c>
      <c r="AC73" s="169">
        <f t="shared" si="22"/>
        <v>1921394.5649775998</v>
      </c>
      <c r="AD73" s="169">
        <f t="shared" si="22"/>
        <v>1921394.5649775998</v>
      </c>
      <c r="AE73" s="169">
        <f t="shared" si="22"/>
        <v>1921394.5649775998</v>
      </c>
      <c r="AF73" s="169">
        <f t="shared" si="22"/>
        <v>1921394.5649775998</v>
      </c>
      <c r="AG73" s="169">
        <f t="shared" si="22"/>
        <v>1921394.5649775998</v>
      </c>
      <c r="AH73" s="169">
        <f t="shared" si="22"/>
        <v>1921394.5649775998</v>
      </c>
      <c r="AI73" s="169">
        <f t="shared" si="22"/>
        <v>1921394.5649775998</v>
      </c>
      <c r="AJ73" s="169">
        <f t="shared" si="22"/>
        <v>50821785.641924515</v>
      </c>
      <c r="AK73" s="4"/>
      <c r="AL73" s="4"/>
    </row>
    <row r="74" spans="2:38" x14ac:dyDescent="0.25">
      <c r="B74" s="377" t="s">
        <v>15</v>
      </c>
      <c r="C74" s="377" t="str">
        <f>+C7</f>
        <v>Reparos no Pavimento</v>
      </c>
      <c r="D74" s="188" t="s">
        <v>326</v>
      </c>
      <c r="E74" s="189"/>
      <c r="F74" s="190"/>
      <c r="G74" s="191">
        <f t="shared" ref="G74:AJ74" si="23">+G7</f>
        <v>370975.11729999993</v>
      </c>
      <c r="H74" s="191">
        <f t="shared" si="23"/>
        <v>370975.11729999993</v>
      </c>
      <c r="I74" s="191">
        <f t="shared" si="23"/>
        <v>370975.11729999993</v>
      </c>
      <c r="J74" s="191">
        <f t="shared" si="23"/>
        <v>372231.69828859996</v>
      </c>
      <c r="K74" s="191">
        <f t="shared" si="23"/>
        <v>372231.69828859996</v>
      </c>
      <c r="L74" s="191">
        <f t="shared" si="23"/>
        <v>427571.36111714994</v>
      </c>
      <c r="M74" s="191">
        <f t="shared" si="23"/>
        <v>485430.00118642498</v>
      </c>
      <c r="N74" s="191">
        <f t="shared" si="23"/>
        <v>535744.319910925</v>
      </c>
      <c r="O74" s="191">
        <f t="shared" si="23"/>
        <v>578769.46001269994</v>
      </c>
      <c r="P74" s="191">
        <f t="shared" si="23"/>
        <v>578769.46001269994</v>
      </c>
      <c r="Q74" s="191">
        <f t="shared" si="23"/>
        <v>578769.46001269994</v>
      </c>
      <c r="R74" s="191">
        <f t="shared" si="23"/>
        <v>578769.46001269994</v>
      </c>
      <c r="S74" s="191">
        <f t="shared" si="23"/>
        <v>578769.46001269994</v>
      </c>
      <c r="T74" s="191">
        <f t="shared" si="23"/>
        <v>578769.46001269994</v>
      </c>
      <c r="U74" s="191">
        <f t="shared" si="23"/>
        <v>578769.46001269994</v>
      </c>
      <c r="V74" s="191">
        <f t="shared" si="23"/>
        <v>578769.46001269994</v>
      </c>
      <c r="W74" s="191">
        <f t="shared" si="23"/>
        <v>578769.46001269994</v>
      </c>
      <c r="X74" s="191">
        <f t="shared" si="23"/>
        <v>578769.46001269994</v>
      </c>
      <c r="Y74" s="191">
        <f t="shared" si="23"/>
        <v>581791.39842881868</v>
      </c>
      <c r="Z74" s="191">
        <f t="shared" si="23"/>
        <v>581791.39842881868</v>
      </c>
      <c r="AA74" s="191">
        <f t="shared" si="23"/>
        <v>581791.39842881868</v>
      </c>
      <c r="AB74" s="191">
        <f t="shared" si="23"/>
        <v>581791.39842881868</v>
      </c>
      <c r="AC74" s="191">
        <f t="shared" si="23"/>
        <v>581791.39842881868</v>
      </c>
      <c r="AD74" s="191">
        <f t="shared" si="23"/>
        <v>581791.39842881868</v>
      </c>
      <c r="AE74" s="191">
        <f t="shared" si="23"/>
        <v>581791.39842881868</v>
      </c>
      <c r="AF74" s="191">
        <f t="shared" si="23"/>
        <v>581791.39842881868</v>
      </c>
      <c r="AG74" s="191">
        <f t="shared" si="23"/>
        <v>581791.39842881868</v>
      </c>
      <c r="AH74" s="191">
        <f t="shared" si="23"/>
        <v>581791.39842881868</v>
      </c>
      <c r="AI74" s="191">
        <f t="shared" si="23"/>
        <v>581791.39842881868</v>
      </c>
      <c r="AJ74" s="191">
        <f t="shared" si="23"/>
        <v>15493534.413535703</v>
      </c>
      <c r="AK74" s="4"/>
    </row>
    <row r="75" spans="2:38" x14ac:dyDescent="0.25">
      <c r="B75" s="378"/>
      <c r="C75" s="378"/>
      <c r="D75" s="192" t="s">
        <v>327</v>
      </c>
      <c r="E75" s="193">
        <v>6.3299999999999995E-2</v>
      </c>
      <c r="F75" s="194"/>
      <c r="G75" s="195">
        <f>+G74*$E75</f>
        <v>23482.724925089995</v>
      </c>
      <c r="H75" s="195">
        <f t="shared" ref="H75:AJ75" si="24">+H74*$E75</f>
        <v>23482.724925089995</v>
      </c>
      <c r="I75" s="195">
        <f t="shared" si="24"/>
        <v>23482.724925089995</v>
      </c>
      <c r="J75" s="195">
        <f t="shared" si="24"/>
        <v>23562.266501668375</v>
      </c>
      <c r="K75" s="195">
        <f t="shared" si="24"/>
        <v>23562.266501668375</v>
      </c>
      <c r="L75" s="195">
        <f t="shared" si="24"/>
        <v>27065.267158715589</v>
      </c>
      <c r="M75" s="195">
        <f t="shared" si="24"/>
        <v>30727.7190751007</v>
      </c>
      <c r="N75" s="195">
        <f t="shared" si="24"/>
        <v>33912.615450361547</v>
      </c>
      <c r="O75" s="195">
        <f t="shared" si="24"/>
        <v>36636.106818803906</v>
      </c>
      <c r="P75" s="195">
        <f t="shared" si="24"/>
        <v>36636.106818803906</v>
      </c>
      <c r="Q75" s="195">
        <f t="shared" si="24"/>
        <v>36636.106818803906</v>
      </c>
      <c r="R75" s="195">
        <f t="shared" si="24"/>
        <v>36636.106818803906</v>
      </c>
      <c r="S75" s="195">
        <f t="shared" si="24"/>
        <v>36636.106818803906</v>
      </c>
      <c r="T75" s="195">
        <f t="shared" si="24"/>
        <v>36636.106818803906</v>
      </c>
      <c r="U75" s="195">
        <f t="shared" si="24"/>
        <v>36636.106818803906</v>
      </c>
      <c r="V75" s="195">
        <f t="shared" si="24"/>
        <v>36636.106818803906</v>
      </c>
      <c r="W75" s="195">
        <f t="shared" si="24"/>
        <v>36636.106818803906</v>
      </c>
      <c r="X75" s="195">
        <f t="shared" si="24"/>
        <v>36636.106818803906</v>
      </c>
      <c r="Y75" s="195">
        <f t="shared" si="24"/>
        <v>36827.395520544218</v>
      </c>
      <c r="Z75" s="195">
        <f t="shared" si="24"/>
        <v>36827.395520544218</v>
      </c>
      <c r="AA75" s="195">
        <f t="shared" si="24"/>
        <v>36827.395520544218</v>
      </c>
      <c r="AB75" s="195">
        <f t="shared" si="24"/>
        <v>36827.395520544218</v>
      </c>
      <c r="AC75" s="195">
        <f t="shared" si="24"/>
        <v>36827.395520544218</v>
      </c>
      <c r="AD75" s="195">
        <f t="shared" si="24"/>
        <v>36827.395520544218</v>
      </c>
      <c r="AE75" s="195">
        <f t="shared" si="24"/>
        <v>36827.395520544218</v>
      </c>
      <c r="AF75" s="195">
        <f t="shared" si="24"/>
        <v>36827.395520544218</v>
      </c>
      <c r="AG75" s="195">
        <f t="shared" si="24"/>
        <v>36827.395520544218</v>
      </c>
      <c r="AH75" s="195">
        <f t="shared" si="24"/>
        <v>36827.395520544218</v>
      </c>
      <c r="AI75" s="195">
        <f t="shared" si="24"/>
        <v>36827.395520544218</v>
      </c>
      <c r="AJ75" s="195">
        <f t="shared" si="24"/>
        <v>980740.72837680997</v>
      </c>
    </row>
    <row r="76" spans="2:38" x14ac:dyDescent="0.25">
      <c r="B76" s="378"/>
      <c r="C76" s="378"/>
      <c r="D76" s="192" t="s">
        <v>328</v>
      </c>
      <c r="E76" s="193">
        <v>5.0000000000000001E-3</v>
      </c>
      <c r="F76" s="194"/>
      <c r="G76" s="195">
        <f>+G74*$E76</f>
        <v>1854.8755864999996</v>
      </c>
      <c r="H76" s="195">
        <f t="shared" ref="H76:AJ76" si="25">+H74*$E76</f>
        <v>1854.8755864999996</v>
      </c>
      <c r="I76" s="195">
        <f t="shared" si="25"/>
        <v>1854.8755864999996</v>
      </c>
      <c r="J76" s="195">
        <f t="shared" si="25"/>
        <v>1861.1584914429998</v>
      </c>
      <c r="K76" s="195">
        <f t="shared" si="25"/>
        <v>1861.1584914429998</v>
      </c>
      <c r="L76" s="195">
        <f t="shared" si="25"/>
        <v>2137.8568055857495</v>
      </c>
      <c r="M76" s="195">
        <f t="shared" si="25"/>
        <v>2427.1500059321252</v>
      </c>
      <c r="N76" s="195">
        <f t="shared" si="25"/>
        <v>2678.7215995546248</v>
      </c>
      <c r="O76" s="195">
        <f t="shared" si="25"/>
        <v>2893.8473000634999</v>
      </c>
      <c r="P76" s="195">
        <f t="shared" si="25"/>
        <v>2893.8473000634999</v>
      </c>
      <c r="Q76" s="195">
        <f t="shared" si="25"/>
        <v>2893.8473000634999</v>
      </c>
      <c r="R76" s="195">
        <f t="shared" si="25"/>
        <v>2893.8473000634999</v>
      </c>
      <c r="S76" s="195">
        <f t="shared" si="25"/>
        <v>2893.8473000634999</v>
      </c>
      <c r="T76" s="195">
        <f t="shared" si="25"/>
        <v>2893.8473000634999</v>
      </c>
      <c r="U76" s="195">
        <f t="shared" si="25"/>
        <v>2893.8473000634999</v>
      </c>
      <c r="V76" s="195">
        <f t="shared" si="25"/>
        <v>2893.8473000634999</v>
      </c>
      <c r="W76" s="195">
        <f t="shared" si="25"/>
        <v>2893.8473000634999</v>
      </c>
      <c r="X76" s="195">
        <f t="shared" si="25"/>
        <v>2893.8473000634999</v>
      </c>
      <c r="Y76" s="195">
        <f t="shared" si="25"/>
        <v>2908.9569921440934</v>
      </c>
      <c r="Z76" s="195">
        <f t="shared" si="25"/>
        <v>2908.9569921440934</v>
      </c>
      <c r="AA76" s="195">
        <f t="shared" si="25"/>
        <v>2908.9569921440934</v>
      </c>
      <c r="AB76" s="195">
        <f t="shared" si="25"/>
        <v>2908.9569921440934</v>
      </c>
      <c r="AC76" s="195">
        <f t="shared" si="25"/>
        <v>2908.9569921440934</v>
      </c>
      <c r="AD76" s="195">
        <f t="shared" si="25"/>
        <v>2908.9569921440934</v>
      </c>
      <c r="AE76" s="195">
        <f t="shared" si="25"/>
        <v>2908.9569921440934</v>
      </c>
      <c r="AF76" s="195">
        <f t="shared" si="25"/>
        <v>2908.9569921440934</v>
      </c>
      <c r="AG76" s="195">
        <f t="shared" si="25"/>
        <v>2908.9569921440934</v>
      </c>
      <c r="AH76" s="195">
        <f t="shared" si="25"/>
        <v>2908.9569921440934</v>
      </c>
      <c r="AI76" s="195">
        <f t="shared" si="25"/>
        <v>2908.9569921440934</v>
      </c>
      <c r="AJ76" s="195">
        <f t="shared" si="25"/>
        <v>77467.672067678519</v>
      </c>
    </row>
    <row r="77" spans="2:38" x14ac:dyDescent="0.25">
      <c r="B77" s="378"/>
      <c r="C77" s="378"/>
      <c r="D77" s="192" t="s">
        <v>329</v>
      </c>
      <c r="E77" s="193">
        <v>2.8000000000000001E-2</v>
      </c>
      <c r="F77" s="194"/>
      <c r="G77" s="195">
        <f>+G74*$E77</f>
        <v>10387.303284399999</v>
      </c>
      <c r="H77" s="195">
        <f t="shared" ref="H77:AJ77" si="26">+H74*$E77</f>
        <v>10387.303284399999</v>
      </c>
      <c r="I77" s="195">
        <f t="shared" si="26"/>
        <v>10387.303284399999</v>
      </c>
      <c r="J77" s="195">
        <f t="shared" si="26"/>
        <v>10422.4875520808</v>
      </c>
      <c r="K77" s="195">
        <f t="shared" si="26"/>
        <v>10422.4875520808</v>
      </c>
      <c r="L77" s="195">
        <f t="shared" si="26"/>
        <v>11971.998111280198</v>
      </c>
      <c r="M77" s="195">
        <f t="shared" si="26"/>
        <v>13592.040033219901</v>
      </c>
      <c r="N77" s="195">
        <f t="shared" si="26"/>
        <v>15000.840957505899</v>
      </c>
      <c r="O77" s="195">
        <f t="shared" si="26"/>
        <v>16205.544880355599</v>
      </c>
      <c r="P77" s="195">
        <f t="shared" si="26"/>
        <v>16205.544880355599</v>
      </c>
      <c r="Q77" s="195">
        <f t="shared" si="26"/>
        <v>16205.544880355599</v>
      </c>
      <c r="R77" s="195">
        <f t="shared" si="26"/>
        <v>16205.544880355599</v>
      </c>
      <c r="S77" s="195">
        <f t="shared" si="26"/>
        <v>16205.544880355599</v>
      </c>
      <c r="T77" s="195">
        <f t="shared" si="26"/>
        <v>16205.544880355599</v>
      </c>
      <c r="U77" s="195">
        <f t="shared" si="26"/>
        <v>16205.544880355599</v>
      </c>
      <c r="V77" s="195">
        <f t="shared" si="26"/>
        <v>16205.544880355599</v>
      </c>
      <c r="W77" s="195">
        <f t="shared" si="26"/>
        <v>16205.544880355599</v>
      </c>
      <c r="X77" s="195">
        <f t="shared" si="26"/>
        <v>16205.544880355599</v>
      </c>
      <c r="Y77" s="195">
        <f t="shared" si="26"/>
        <v>16290.159156006923</v>
      </c>
      <c r="Z77" s="195">
        <f t="shared" si="26"/>
        <v>16290.159156006923</v>
      </c>
      <c r="AA77" s="195">
        <f t="shared" si="26"/>
        <v>16290.159156006923</v>
      </c>
      <c r="AB77" s="195">
        <f t="shared" si="26"/>
        <v>16290.159156006923</v>
      </c>
      <c r="AC77" s="195">
        <f t="shared" si="26"/>
        <v>16290.159156006923</v>
      </c>
      <c r="AD77" s="195">
        <f t="shared" si="26"/>
        <v>16290.159156006923</v>
      </c>
      <c r="AE77" s="195">
        <f t="shared" si="26"/>
        <v>16290.159156006923</v>
      </c>
      <c r="AF77" s="195">
        <f t="shared" si="26"/>
        <v>16290.159156006923</v>
      </c>
      <c r="AG77" s="195">
        <f t="shared" si="26"/>
        <v>16290.159156006923</v>
      </c>
      <c r="AH77" s="195">
        <f t="shared" si="26"/>
        <v>16290.159156006923</v>
      </c>
      <c r="AI77" s="195">
        <f t="shared" si="26"/>
        <v>16290.159156006923</v>
      </c>
      <c r="AJ77" s="195">
        <f t="shared" si="26"/>
        <v>433818.96357899968</v>
      </c>
    </row>
    <row r="78" spans="2:38" x14ac:dyDescent="0.25">
      <c r="B78" s="378"/>
      <c r="C78" s="378"/>
      <c r="D78" s="192" t="s">
        <v>330</v>
      </c>
      <c r="E78" s="193">
        <v>5.0000000000000001E-3</v>
      </c>
      <c r="F78" s="194"/>
      <c r="G78" s="195">
        <f>+G74*$E78</f>
        <v>1854.8755864999996</v>
      </c>
      <c r="H78" s="195">
        <f t="shared" ref="H78:AJ78" si="27">+H74*$E78</f>
        <v>1854.8755864999996</v>
      </c>
      <c r="I78" s="195">
        <f t="shared" si="27"/>
        <v>1854.8755864999996</v>
      </c>
      <c r="J78" s="195">
        <f t="shared" si="27"/>
        <v>1861.1584914429998</v>
      </c>
      <c r="K78" s="195">
        <f t="shared" si="27"/>
        <v>1861.1584914429998</v>
      </c>
      <c r="L78" s="195">
        <f t="shared" si="27"/>
        <v>2137.8568055857495</v>
      </c>
      <c r="M78" s="195">
        <f t="shared" si="27"/>
        <v>2427.1500059321252</v>
      </c>
      <c r="N78" s="195">
        <f t="shared" si="27"/>
        <v>2678.7215995546248</v>
      </c>
      <c r="O78" s="195">
        <f t="shared" si="27"/>
        <v>2893.8473000634999</v>
      </c>
      <c r="P78" s="195">
        <f t="shared" si="27"/>
        <v>2893.8473000634999</v>
      </c>
      <c r="Q78" s="195">
        <f t="shared" si="27"/>
        <v>2893.8473000634999</v>
      </c>
      <c r="R78" s="195">
        <f t="shared" si="27"/>
        <v>2893.8473000634999</v>
      </c>
      <c r="S78" s="195">
        <f t="shared" si="27"/>
        <v>2893.8473000634999</v>
      </c>
      <c r="T78" s="195">
        <f t="shared" si="27"/>
        <v>2893.8473000634999</v>
      </c>
      <c r="U78" s="195">
        <f t="shared" si="27"/>
        <v>2893.8473000634999</v>
      </c>
      <c r="V78" s="195">
        <f t="shared" si="27"/>
        <v>2893.8473000634999</v>
      </c>
      <c r="W78" s="195">
        <f t="shared" si="27"/>
        <v>2893.8473000634999</v>
      </c>
      <c r="X78" s="195">
        <f t="shared" si="27"/>
        <v>2893.8473000634999</v>
      </c>
      <c r="Y78" s="195">
        <f t="shared" si="27"/>
        <v>2908.9569921440934</v>
      </c>
      <c r="Z78" s="195">
        <f t="shared" si="27"/>
        <v>2908.9569921440934</v>
      </c>
      <c r="AA78" s="195">
        <f t="shared" si="27"/>
        <v>2908.9569921440934</v>
      </c>
      <c r="AB78" s="195">
        <f t="shared" si="27"/>
        <v>2908.9569921440934</v>
      </c>
      <c r="AC78" s="195">
        <f t="shared" si="27"/>
        <v>2908.9569921440934</v>
      </c>
      <c r="AD78" s="195">
        <f t="shared" si="27"/>
        <v>2908.9569921440934</v>
      </c>
      <c r="AE78" s="195">
        <f t="shared" si="27"/>
        <v>2908.9569921440934</v>
      </c>
      <c r="AF78" s="195">
        <f t="shared" si="27"/>
        <v>2908.9569921440934</v>
      </c>
      <c r="AG78" s="195">
        <f t="shared" si="27"/>
        <v>2908.9569921440934</v>
      </c>
      <c r="AH78" s="195">
        <f t="shared" si="27"/>
        <v>2908.9569921440934</v>
      </c>
      <c r="AI78" s="195">
        <f t="shared" si="27"/>
        <v>2908.9569921440934</v>
      </c>
      <c r="AJ78" s="195">
        <f t="shared" si="27"/>
        <v>77467.672067678519</v>
      </c>
    </row>
    <row r="79" spans="2:38" x14ac:dyDescent="0.25">
      <c r="B79" s="378"/>
      <c r="C79" s="378"/>
      <c r="D79" s="192" t="s">
        <v>331</v>
      </c>
      <c r="E79" s="196"/>
      <c r="F79" s="194"/>
      <c r="G79" s="195">
        <f>+SUBTOTAL(9,G74:G78)</f>
        <v>408554.8966824899</v>
      </c>
      <c r="H79" s="195">
        <f t="shared" ref="H79:AJ79" si="28">+SUBTOTAL(9,H74:H78)</f>
        <v>408554.8966824899</v>
      </c>
      <c r="I79" s="195">
        <f t="shared" si="28"/>
        <v>408554.8966824899</v>
      </c>
      <c r="J79" s="195">
        <f t="shared" si="28"/>
        <v>409938.76932523522</v>
      </c>
      <c r="K79" s="195">
        <f t="shared" si="28"/>
        <v>409938.76932523522</v>
      </c>
      <c r="L79" s="195">
        <f t="shared" si="28"/>
        <v>470884.33999831718</v>
      </c>
      <c r="M79" s="195">
        <f t="shared" si="28"/>
        <v>534604.06030660984</v>
      </c>
      <c r="N79" s="195">
        <f t="shared" si="28"/>
        <v>590015.21951790166</v>
      </c>
      <c r="O79" s="195">
        <f t="shared" si="28"/>
        <v>637398.80631198641</v>
      </c>
      <c r="P79" s="195">
        <f t="shared" si="28"/>
        <v>637398.80631198641</v>
      </c>
      <c r="Q79" s="195">
        <f t="shared" si="28"/>
        <v>637398.80631198641</v>
      </c>
      <c r="R79" s="195">
        <f t="shared" si="28"/>
        <v>637398.80631198641</v>
      </c>
      <c r="S79" s="195">
        <f t="shared" si="28"/>
        <v>637398.80631198641</v>
      </c>
      <c r="T79" s="195">
        <f t="shared" si="28"/>
        <v>637398.80631198641</v>
      </c>
      <c r="U79" s="195">
        <f t="shared" si="28"/>
        <v>637398.80631198641</v>
      </c>
      <c r="V79" s="195">
        <f t="shared" si="28"/>
        <v>637398.80631198641</v>
      </c>
      <c r="W79" s="195">
        <f t="shared" si="28"/>
        <v>637398.80631198641</v>
      </c>
      <c r="X79" s="195">
        <f t="shared" si="28"/>
        <v>637398.80631198641</v>
      </c>
      <c r="Y79" s="195">
        <f t="shared" si="28"/>
        <v>640726.86708965804</v>
      </c>
      <c r="Z79" s="195">
        <f t="shared" si="28"/>
        <v>640726.86708965804</v>
      </c>
      <c r="AA79" s="195">
        <f t="shared" si="28"/>
        <v>640726.86708965804</v>
      </c>
      <c r="AB79" s="195">
        <f t="shared" si="28"/>
        <v>640726.86708965804</v>
      </c>
      <c r="AC79" s="195">
        <f t="shared" si="28"/>
        <v>640726.86708965804</v>
      </c>
      <c r="AD79" s="195">
        <f t="shared" si="28"/>
        <v>640726.86708965804</v>
      </c>
      <c r="AE79" s="195">
        <f t="shared" si="28"/>
        <v>640726.86708965804</v>
      </c>
      <c r="AF79" s="195">
        <f t="shared" si="28"/>
        <v>640726.86708965804</v>
      </c>
      <c r="AG79" s="195">
        <f t="shared" si="28"/>
        <v>640726.86708965804</v>
      </c>
      <c r="AH79" s="195">
        <f t="shared" si="28"/>
        <v>640726.86708965804</v>
      </c>
      <c r="AI79" s="195">
        <f t="shared" si="28"/>
        <v>640726.86708965804</v>
      </c>
      <c r="AJ79" s="195">
        <f t="shared" si="28"/>
        <v>17063029.44962687</v>
      </c>
    </row>
    <row r="80" spans="2:38" x14ac:dyDescent="0.25">
      <c r="B80" s="378"/>
      <c r="C80" s="378"/>
      <c r="D80" s="192" t="s">
        <v>332</v>
      </c>
      <c r="E80" s="197">
        <f>BDI!G5</f>
        <v>0.21340000000000001</v>
      </c>
      <c r="F80" s="194"/>
      <c r="G80" s="195">
        <f>+G79*$E80</f>
        <v>87185.614952043354</v>
      </c>
      <c r="H80" s="195">
        <f t="shared" ref="H80:AJ80" si="29">+H79*$E80</f>
        <v>87185.614952043354</v>
      </c>
      <c r="I80" s="195">
        <f t="shared" si="29"/>
        <v>87185.614952043354</v>
      </c>
      <c r="J80" s="195">
        <f t="shared" si="29"/>
        <v>87480.933374005195</v>
      </c>
      <c r="K80" s="195">
        <f t="shared" si="29"/>
        <v>87480.933374005195</v>
      </c>
      <c r="L80" s="195">
        <f t="shared" si="29"/>
        <v>100486.71815564089</v>
      </c>
      <c r="M80" s="195">
        <f t="shared" si="29"/>
        <v>114084.50646943055</v>
      </c>
      <c r="N80" s="195">
        <f t="shared" si="29"/>
        <v>125909.24784512022</v>
      </c>
      <c r="O80" s="195">
        <f t="shared" si="29"/>
        <v>136020.9052669779</v>
      </c>
      <c r="P80" s="195">
        <f t="shared" si="29"/>
        <v>136020.9052669779</v>
      </c>
      <c r="Q80" s="195">
        <f t="shared" si="29"/>
        <v>136020.9052669779</v>
      </c>
      <c r="R80" s="195">
        <f t="shared" si="29"/>
        <v>136020.9052669779</v>
      </c>
      <c r="S80" s="195">
        <f t="shared" si="29"/>
        <v>136020.9052669779</v>
      </c>
      <c r="T80" s="195">
        <f t="shared" si="29"/>
        <v>136020.9052669779</v>
      </c>
      <c r="U80" s="195">
        <f t="shared" si="29"/>
        <v>136020.9052669779</v>
      </c>
      <c r="V80" s="195">
        <f t="shared" si="29"/>
        <v>136020.9052669779</v>
      </c>
      <c r="W80" s="195">
        <f t="shared" si="29"/>
        <v>136020.9052669779</v>
      </c>
      <c r="X80" s="195">
        <f t="shared" si="29"/>
        <v>136020.9052669779</v>
      </c>
      <c r="Y80" s="195">
        <f t="shared" si="29"/>
        <v>136731.11343693302</v>
      </c>
      <c r="Z80" s="195">
        <f t="shared" si="29"/>
        <v>136731.11343693302</v>
      </c>
      <c r="AA80" s="195">
        <f t="shared" si="29"/>
        <v>136731.11343693302</v>
      </c>
      <c r="AB80" s="195">
        <f t="shared" si="29"/>
        <v>136731.11343693302</v>
      </c>
      <c r="AC80" s="195">
        <f t="shared" si="29"/>
        <v>136731.11343693302</v>
      </c>
      <c r="AD80" s="195">
        <f t="shared" si="29"/>
        <v>136731.11343693302</v>
      </c>
      <c r="AE80" s="195">
        <f t="shared" si="29"/>
        <v>136731.11343693302</v>
      </c>
      <c r="AF80" s="195">
        <f t="shared" si="29"/>
        <v>136731.11343693302</v>
      </c>
      <c r="AG80" s="195">
        <f t="shared" si="29"/>
        <v>136731.11343693302</v>
      </c>
      <c r="AH80" s="195">
        <f t="shared" si="29"/>
        <v>136731.11343693302</v>
      </c>
      <c r="AI80" s="195">
        <f t="shared" si="29"/>
        <v>136731.11343693302</v>
      </c>
      <c r="AJ80" s="195">
        <f t="shared" si="29"/>
        <v>3641250.4845503741</v>
      </c>
    </row>
    <row r="81" spans="2:37" ht="14.4" x14ac:dyDescent="0.25">
      <c r="B81" s="380"/>
      <c r="C81" s="380"/>
      <c r="D81" s="198" t="s">
        <v>333</v>
      </c>
      <c r="E81" s="199"/>
      <c r="F81" s="200"/>
      <c r="G81" s="201">
        <f>+SUM(G79:G80)</f>
        <v>495740.51163453324</v>
      </c>
      <c r="H81" s="201">
        <f t="shared" ref="H81:AJ81" si="30">+SUM(H79:H80)</f>
        <v>495740.51163453324</v>
      </c>
      <c r="I81" s="201">
        <f t="shared" si="30"/>
        <v>495740.51163453324</v>
      </c>
      <c r="J81" s="201">
        <f t="shared" si="30"/>
        <v>497419.70269924041</v>
      </c>
      <c r="K81" s="201">
        <f t="shared" si="30"/>
        <v>497419.70269924041</v>
      </c>
      <c r="L81" s="201">
        <f t="shared" si="30"/>
        <v>571371.05815395806</v>
      </c>
      <c r="M81" s="201">
        <f t="shared" si="30"/>
        <v>648688.56677604036</v>
      </c>
      <c r="N81" s="201">
        <f t="shared" si="30"/>
        <v>715924.46736302192</v>
      </c>
      <c r="O81" s="201">
        <f t="shared" si="30"/>
        <v>773419.71157896426</v>
      </c>
      <c r="P81" s="201">
        <f t="shared" si="30"/>
        <v>773419.71157896426</v>
      </c>
      <c r="Q81" s="201">
        <f t="shared" si="30"/>
        <v>773419.71157896426</v>
      </c>
      <c r="R81" s="201">
        <f t="shared" si="30"/>
        <v>773419.71157896426</v>
      </c>
      <c r="S81" s="201">
        <f t="shared" si="30"/>
        <v>773419.71157896426</v>
      </c>
      <c r="T81" s="201">
        <f t="shared" si="30"/>
        <v>773419.71157896426</v>
      </c>
      <c r="U81" s="201">
        <f t="shared" si="30"/>
        <v>773419.71157896426</v>
      </c>
      <c r="V81" s="201">
        <f t="shared" si="30"/>
        <v>773419.71157896426</v>
      </c>
      <c r="W81" s="201">
        <f t="shared" si="30"/>
        <v>773419.71157896426</v>
      </c>
      <c r="X81" s="201">
        <f t="shared" si="30"/>
        <v>773419.71157896426</v>
      </c>
      <c r="Y81" s="201">
        <f t="shared" si="30"/>
        <v>777457.98052659107</v>
      </c>
      <c r="Z81" s="201">
        <f t="shared" si="30"/>
        <v>777457.98052659107</v>
      </c>
      <c r="AA81" s="201">
        <f t="shared" si="30"/>
        <v>777457.98052659107</v>
      </c>
      <c r="AB81" s="201">
        <f t="shared" si="30"/>
        <v>777457.98052659107</v>
      </c>
      <c r="AC81" s="201">
        <f t="shared" si="30"/>
        <v>777457.98052659107</v>
      </c>
      <c r="AD81" s="201">
        <f t="shared" si="30"/>
        <v>777457.98052659107</v>
      </c>
      <c r="AE81" s="201">
        <f t="shared" si="30"/>
        <v>777457.98052659107</v>
      </c>
      <c r="AF81" s="201">
        <f t="shared" si="30"/>
        <v>777457.98052659107</v>
      </c>
      <c r="AG81" s="201">
        <f t="shared" si="30"/>
        <v>777457.98052659107</v>
      </c>
      <c r="AH81" s="201">
        <f t="shared" si="30"/>
        <v>777457.98052659107</v>
      </c>
      <c r="AI81" s="201">
        <f t="shared" si="30"/>
        <v>777457.98052659107</v>
      </c>
      <c r="AJ81" s="201">
        <f t="shared" si="30"/>
        <v>20704279.934177246</v>
      </c>
      <c r="AK81" s="4"/>
    </row>
    <row r="82" spans="2:37" ht="14.4" x14ac:dyDescent="0.25">
      <c r="B82" s="377" t="s">
        <v>17</v>
      </c>
      <c r="C82" s="377" t="str">
        <f>+C16</f>
        <v>Produtos derivados de petróleo</v>
      </c>
      <c r="D82" s="188" t="s">
        <v>326</v>
      </c>
      <c r="E82" s="189"/>
      <c r="F82" s="190"/>
      <c r="G82" s="191">
        <f t="shared" ref="G82:AI82" si="31">+G16</f>
        <v>521142.84619720472</v>
      </c>
      <c r="H82" s="191">
        <f t="shared" si="31"/>
        <v>521142.84619720472</v>
      </c>
      <c r="I82" s="191">
        <f t="shared" si="31"/>
        <v>521142.84619720472</v>
      </c>
      <c r="J82" s="191">
        <f t="shared" si="31"/>
        <v>524693.37551344105</v>
      </c>
      <c r="K82" s="191">
        <f t="shared" si="31"/>
        <v>524693.37551344105</v>
      </c>
      <c r="L82" s="191">
        <f t="shared" si="31"/>
        <v>619204.03239146387</v>
      </c>
      <c r="M82" s="191">
        <f t="shared" si="31"/>
        <v>718016.67055222974</v>
      </c>
      <c r="N82" s="191">
        <f t="shared" si="31"/>
        <v>803944.90122748876</v>
      </c>
      <c r="O82" s="191">
        <f t="shared" si="31"/>
        <v>877424.46444575023</v>
      </c>
      <c r="P82" s="191">
        <f t="shared" si="31"/>
        <v>877424.46444575023</v>
      </c>
      <c r="Q82" s="191">
        <f t="shared" si="31"/>
        <v>877424.46444575023</v>
      </c>
      <c r="R82" s="191">
        <f t="shared" si="31"/>
        <v>877424.46444575023</v>
      </c>
      <c r="S82" s="191">
        <f t="shared" si="31"/>
        <v>877424.46444575023</v>
      </c>
      <c r="T82" s="191">
        <f t="shared" si="31"/>
        <v>877424.46444575023</v>
      </c>
      <c r="U82" s="191">
        <f t="shared" si="31"/>
        <v>877424.46444575023</v>
      </c>
      <c r="V82" s="191">
        <f t="shared" si="31"/>
        <v>877424.46444575023</v>
      </c>
      <c r="W82" s="191">
        <f t="shared" si="31"/>
        <v>877424.46444575023</v>
      </c>
      <c r="X82" s="191">
        <f t="shared" si="31"/>
        <v>877424.46444575023</v>
      </c>
      <c r="Y82" s="191">
        <f t="shared" si="31"/>
        <v>882585.41719020717</v>
      </c>
      <c r="Z82" s="191">
        <f t="shared" si="31"/>
        <v>882585.41719020717</v>
      </c>
      <c r="AA82" s="191">
        <f t="shared" si="31"/>
        <v>882585.41719020717</v>
      </c>
      <c r="AB82" s="191">
        <f t="shared" si="31"/>
        <v>882585.41719020717</v>
      </c>
      <c r="AC82" s="191">
        <f t="shared" si="31"/>
        <v>882585.41719020717</v>
      </c>
      <c r="AD82" s="191">
        <f t="shared" si="31"/>
        <v>882585.41719020717</v>
      </c>
      <c r="AE82" s="191">
        <f t="shared" si="31"/>
        <v>882585.41719020717</v>
      </c>
      <c r="AF82" s="191">
        <f t="shared" si="31"/>
        <v>882585.41719020717</v>
      </c>
      <c r="AG82" s="191">
        <f t="shared" si="31"/>
        <v>882585.41719020717</v>
      </c>
      <c r="AH82" s="191">
        <f t="shared" si="31"/>
        <v>882585.41719020717</v>
      </c>
      <c r="AI82" s="191">
        <f t="shared" si="31"/>
        <v>882585.41719020717</v>
      </c>
      <c r="AJ82" s="202">
        <f t="shared" ref="AJ82:AJ89" si="32">+SUM(F82:AI82)</f>
        <v>23236665.127339475</v>
      </c>
    </row>
    <row r="83" spans="2:37" ht="14.4" x14ac:dyDescent="0.25">
      <c r="B83" s="378"/>
      <c r="C83" s="378"/>
      <c r="D83" s="192" t="s">
        <v>327</v>
      </c>
      <c r="E83" s="193">
        <v>6.3299999999999995E-2</v>
      </c>
      <c r="F83" s="194"/>
      <c r="G83" s="195">
        <f t="shared" ref="G83:AI83" si="33">+G82*$E83</f>
        <v>32988.342164283058</v>
      </c>
      <c r="H83" s="195">
        <f t="shared" si="33"/>
        <v>32988.342164283058</v>
      </c>
      <c r="I83" s="195">
        <f t="shared" si="33"/>
        <v>32988.342164283058</v>
      </c>
      <c r="J83" s="195">
        <f t="shared" si="33"/>
        <v>33213.090670000813</v>
      </c>
      <c r="K83" s="195">
        <f t="shared" si="33"/>
        <v>33213.090670000813</v>
      </c>
      <c r="L83" s="195">
        <f t="shared" si="33"/>
        <v>39195.615250379662</v>
      </c>
      <c r="M83" s="195">
        <f t="shared" si="33"/>
        <v>45450.455245956138</v>
      </c>
      <c r="N83" s="195">
        <f t="shared" si="33"/>
        <v>50889.712247700038</v>
      </c>
      <c r="O83" s="195">
        <f t="shared" si="33"/>
        <v>55540.968599415988</v>
      </c>
      <c r="P83" s="195">
        <f t="shared" si="33"/>
        <v>55540.968599415988</v>
      </c>
      <c r="Q83" s="195">
        <f t="shared" si="33"/>
        <v>55540.968599415988</v>
      </c>
      <c r="R83" s="195">
        <f t="shared" si="33"/>
        <v>55540.968599415988</v>
      </c>
      <c r="S83" s="195">
        <f t="shared" si="33"/>
        <v>55540.968599415988</v>
      </c>
      <c r="T83" s="195">
        <f t="shared" si="33"/>
        <v>55540.968599415988</v>
      </c>
      <c r="U83" s="195">
        <f t="shared" si="33"/>
        <v>55540.968599415988</v>
      </c>
      <c r="V83" s="195">
        <f t="shared" si="33"/>
        <v>55540.968599415988</v>
      </c>
      <c r="W83" s="195">
        <f t="shared" si="33"/>
        <v>55540.968599415988</v>
      </c>
      <c r="X83" s="195">
        <f t="shared" si="33"/>
        <v>55540.968599415988</v>
      </c>
      <c r="Y83" s="195">
        <f t="shared" si="33"/>
        <v>55867.65690814011</v>
      </c>
      <c r="Z83" s="195">
        <f t="shared" si="33"/>
        <v>55867.65690814011</v>
      </c>
      <c r="AA83" s="195">
        <f t="shared" si="33"/>
        <v>55867.65690814011</v>
      </c>
      <c r="AB83" s="195">
        <f t="shared" si="33"/>
        <v>55867.65690814011</v>
      </c>
      <c r="AC83" s="195">
        <f t="shared" si="33"/>
        <v>55867.65690814011</v>
      </c>
      <c r="AD83" s="195">
        <f t="shared" si="33"/>
        <v>55867.65690814011</v>
      </c>
      <c r="AE83" s="195">
        <f t="shared" si="33"/>
        <v>55867.65690814011</v>
      </c>
      <c r="AF83" s="195">
        <f t="shared" si="33"/>
        <v>55867.65690814011</v>
      </c>
      <c r="AG83" s="195">
        <f t="shared" si="33"/>
        <v>55867.65690814011</v>
      </c>
      <c r="AH83" s="195">
        <f t="shared" si="33"/>
        <v>55867.65690814011</v>
      </c>
      <c r="AI83" s="195">
        <f t="shared" si="33"/>
        <v>55867.65690814011</v>
      </c>
      <c r="AJ83" s="203">
        <f t="shared" si="32"/>
        <v>1470880.902560587</v>
      </c>
    </row>
    <row r="84" spans="2:37" ht="14.4" x14ac:dyDescent="0.25">
      <c r="B84" s="378"/>
      <c r="C84" s="378"/>
      <c r="D84" s="192" t="s">
        <v>328</v>
      </c>
      <c r="E84" s="193">
        <v>5.0000000000000001E-3</v>
      </c>
      <c r="F84" s="194"/>
      <c r="G84" s="195">
        <f>+G82*$E84</f>
        <v>2605.7142309860237</v>
      </c>
      <c r="H84" s="195">
        <f t="shared" ref="H84:AI84" si="34">+H82*$E84</f>
        <v>2605.7142309860237</v>
      </c>
      <c r="I84" s="195">
        <f t="shared" si="34"/>
        <v>2605.7142309860237</v>
      </c>
      <c r="J84" s="195">
        <f t="shared" si="34"/>
        <v>2623.4668775672053</v>
      </c>
      <c r="K84" s="195">
        <f t="shared" si="34"/>
        <v>2623.4668775672053</v>
      </c>
      <c r="L84" s="195">
        <f t="shared" si="34"/>
        <v>3096.0201619573195</v>
      </c>
      <c r="M84" s="195">
        <f t="shared" si="34"/>
        <v>3590.0833527611489</v>
      </c>
      <c r="N84" s="195">
        <f t="shared" si="34"/>
        <v>4019.7245061374438</v>
      </c>
      <c r="O84" s="195">
        <f t="shared" si="34"/>
        <v>4387.1223222287508</v>
      </c>
      <c r="P84" s="195">
        <f t="shared" si="34"/>
        <v>4387.1223222287508</v>
      </c>
      <c r="Q84" s="195">
        <f t="shared" si="34"/>
        <v>4387.1223222287508</v>
      </c>
      <c r="R84" s="195">
        <f t="shared" si="34"/>
        <v>4387.1223222287508</v>
      </c>
      <c r="S84" s="195">
        <f t="shared" si="34"/>
        <v>4387.1223222287508</v>
      </c>
      <c r="T84" s="195">
        <f t="shared" si="34"/>
        <v>4387.1223222287508</v>
      </c>
      <c r="U84" s="195">
        <f t="shared" si="34"/>
        <v>4387.1223222287508</v>
      </c>
      <c r="V84" s="195">
        <f t="shared" si="34"/>
        <v>4387.1223222287508</v>
      </c>
      <c r="W84" s="195">
        <f t="shared" si="34"/>
        <v>4387.1223222287508</v>
      </c>
      <c r="X84" s="195">
        <f t="shared" si="34"/>
        <v>4387.1223222287508</v>
      </c>
      <c r="Y84" s="195">
        <f t="shared" si="34"/>
        <v>4412.9270859510361</v>
      </c>
      <c r="Z84" s="195">
        <f t="shared" si="34"/>
        <v>4412.9270859510361</v>
      </c>
      <c r="AA84" s="195">
        <f t="shared" si="34"/>
        <v>4412.9270859510361</v>
      </c>
      <c r="AB84" s="195">
        <f t="shared" si="34"/>
        <v>4412.9270859510361</v>
      </c>
      <c r="AC84" s="195">
        <f t="shared" si="34"/>
        <v>4412.9270859510361</v>
      </c>
      <c r="AD84" s="195">
        <f t="shared" si="34"/>
        <v>4412.9270859510361</v>
      </c>
      <c r="AE84" s="195">
        <f t="shared" si="34"/>
        <v>4412.9270859510361</v>
      </c>
      <c r="AF84" s="195">
        <f t="shared" si="34"/>
        <v>4412.9270859510361</v>
      </c>
      <c r="AG84" s="195">
        <f t="shared" si="34"/>
        <v>4412.9270859510361</v>
      </c>
      <c r="AH84" s="195">
        <f t="shared" si="34"/>
        <v>4412.9270859510361</v>
      </c>
      <c r="AI84" s="195">
        <f t="shared" si="34"/>
        <v>4412.9270859510361</v>
      </c>
      <c r="AJ84" s="203">
        <f t="shared" si="32"/>
        <v>116183.32563669723</v>
      </c>
    </row>
    <row r="85" spans="2:37" ht="14.4" x14ac:dyDescent="0.25">
      <c r="B85" s="378"/>
      <c r="C85" s="378"/>
      <c r="D85" s="192" t="s">
        <v>329</v>
      </c>
      <c r="E85" s="193">
        <v>2.8000000000000001E-2</v>
      </c>
      <c r="F85" s="194"/>
      <c r="G85" s="195">
        <f>+G82*$E85</f>
        <v>14591.999693521733</v>
      </c>
      <c r="H85" s="195">
        <f t="shared" ref="H85:AI85" si="35">+H82*$E85</f>
        <v>14591.999693521733</v>
      </c>
      <c r="I85" s="195">
        <f t="shared" si="35"/>
        <v>14591.999693521733</v>
      </c>
      <c r="J85" s="195">
        <f t="shared" si="35"/>
        <v>14691.414514376349</v>
      </c>
      <c r="K85" s="195">
        <f t="shared" si="35"/>
        <v>14691.414514376349</v>
      </c>
      <c r="L85" s="195">
        <f t="shared" si="35"/>
        <v>17337.712906960987</v>
      </c>
      <c r="M85" s="195">
        <f t="shared" si="35"/>
        <v>20104.466775462432</v>
      </c>
      <c r="N85" s="195">
        <f t="shared" si="35"/>
        <v>22510.457234369685</v>
      </c>
      <c r="O85" s="195">
        <f t="shared" si="35"/>
        <v>24567.885004481006</v>
      </c>
      <c r="P85" s="195">
        <f t="shared" si="35"/>
        <v>24567.885004481006</v>
      </c>
      <c r="Q85" s="195">
        <f t="shared" si="35"/>
        <v>24567.885004481006</v>
      </c>
      <c r="R85" s="195">
        <f t="shared" si="35"/>
        <v>24567.885004481006</v>
      </c>
      <c r="S85" s="195">
        <f t="shared" si="35"/>
        <v>24567.885004481006</v>
      </c>
      <c r="T85" s="195">
        <f t="shared" si="35"/>
        <v>24567.885004481006</v>
      </c>
      <c r="U85" s="195">
        <f t="shared" si="35"/>
        <v>24567.885004481006</v>
      </c>
      <c r="V85" s="195">
        <f t="shared" si="35"/>
        <v>24567.885004481006</v>
      </c>
      <c r="W85" s="195">
        <f t="shared" si="35"/>
        <v>24567.885004481006</v>
      </c>
      <c r="X85" s="195">
        <f t="shared" si="35"/>
        <v>24567.885004481006</v>
      </c>
      <c r="Y85" s="195">
        <f t="shared" si="35"/>
        <v>24712.3916813258</v>
      </c>
      <c r="Z85" s="195">
        <f t="shared" si="35"/>
        <v>24712.3916813258</v>
      </c>
      <c r="AA85" s="195">
        <f t="shared" si="35"/>
        <v>24712.3916813258</v>
      </c>
      <c r="AB85" s="195">
        <f t="shared" si="35"/>
        <v>24712.3916813258</v>
      </c>
      <c r="AC85" s="195">
        <f t="shared" si="35"/>
        <v>24712.3916813258</v>
      </c>
      <c r="AD85" s="195">
        <f t="shared" si="35"/>
        <v>24712.3916813258</v>
      </c>
      <c r="AE85" s="195">
        <f t="shared" si="35"/>
        <v>24712.3916813258</v>
      </c>
      <c r="AF85" s="195">
        <f t="shared" si="35"/>
        <v>24712.3916813258</v>
      </c>
      <c r="AG85" s="195">
        <f t="shared" si="35"/>
        <v>24712.3916813258</v>
      </c>
      <c r="AH85" s="195">
        <f t="shared" si="35"/>
        <v>24712.3916813258</v>
      </c>
      <c r="AI85" s="195">
        <f t="shared" si="35"/>
        <v>24712.3916813258</v>
      </c>
      <c r="AJ85" s="203">
        <f t="shared" si="32"/>
        <v>650626.62356550514</v>
      </c>
    </row>
    <row r="86" spans="2:37" ht="14.4" x14ac:dyDescent="0.25">
      <c r="B86" s="378"/>
      <c r="C86" s="378"/>
      <c r="D86" s="192" t="s">
        <v>330</v>
      </c>
      <c r="E86" s="193">
        <v>5.0000000000000001E-3</v>
      </c>
      <c r="F86" s="194"/>
      <c r="G86" s="195">
        <f>+G82*$E86</f>
        <v>2605.7142309860237</v>
      </c>
      <c r="H86" s="195">
        <f t="shared" ref="H86:AI86" si="36">+H82*$E86</f>
        <v>2605.7142309860237</v>
      </c>
      <c r="I86" s="195">
        <f t="shared" si="36"/>
        <v>2605.7142309860237</v>
      </c>
      <c r="J86" s="195">
        <f t="shared" si="36"/>
        <v>2623.4668775672053</v>
      </c>
      <c r="K86" s="195">
        <f t="shared" si="36"/>
        <v>2623.4668775672053</v>
      </c>
      <c r="L86" s="195">
        <f t="shared" si="36"/>
        <v>3096.0201619573195</v>
      </c>
      <c r="M86" s="195">
        <f t="shared" si="36"/>
        <v>3590.0833527611489</v>
      </c>
      <c r="N86" s="195">
        <f t="shared" si="36"/>
        <v>4019.7245061374438</v>
      </c>
      <c r="O86" s="195">
        <f t="shared" si="36"/>
        <v>4387.1223222287508</v>
      </c>
      <c r="P86" s="195">
        <f t="shared" si="36"/>
        <v>4387.1223222287508</v>
      </c>
      <c r="Q86" s="195">
        <f t="shared" si="36"/>
        <v>4387.1223222287508</v>
      </c>
      <c r="R86" s="195">
        <f t="shared" si="36"/>
        <v>4387.1223222287508</v>
      </c>
      <c r="S86" s="195">
        <f t="shared" si="36"/>
        <v>4387.1223222287508</v>
      </c>
      <c r="T86" s="195">
        <f t="shared" si="36"/>
        <v>4387.1223222287508</v>
      </c>
      <c r="U86" s="195">
        <f t="shared" si="36"/>
        <v>4387.1223222287508</v>
      </c>
      <c r="V86" s="195">
        <f t="shared" si="36"/>
        <v>4387.1223222287508</v>
      </c>
      <c r="W86" s="195">
        <f t="shared" si="36"/>
        <v>4387.1223222287508</v>
      </c>
      <c r="X86" s="195">
        <f t="shared" si="36"/>
        <v>4387.1223222287508</v>
      </c>
      <c r="Y86" s="195">
        <f t="shared" si="36"/>
        <v>4412.9270859510361</v>
      </c>
      <c r="Z86" s="195">
        <f t="shared" si="36"/>
        <v>4412.9270859510361</v>
      </c>
      <c r="AA86" s="195">
        <f t="shared" si="36"/>
        <v>4412.9270859510361</v>
      </c>
      <c r="AB86" s="195">
        <f t="shared" si="36"/>
        <v>4412.9270859510361</v>
      </c>
      <c r="AC86" s="195">
        <f t="shared" si="36"/>
        <v>4412.9270859510361</v>
      </c>
      <c r="AD86" s="195">
        <f t="shared" si="36"/>
        <v>4412.9270859510361</v>
      </c>
      <c r="AE86" s="195">
        <f t="shared" si="36"/>
        <v>4412.9270859510361</v>
      </c>
      <c r="AF86" s="195">
        <f t="shared" si="36"/>
        <v>4412.9270859510361</v>
      </c>
      <c r="AG86" s="195">
        <f t="shared" si="36"/>
        <v>4412.9270859510361</v>
      </c>
      <c r="AH86" s="195">
        <f t="shared" si="36"/>
        <v>4412.9270859510361</v>
      </c>
      <c r="AI86" s="195">
        <f t="shared" si="36"/>
        <v>4412.9270859510361</v>
      </c>
      <c r="AJ86" s="203">
        <f t="shared" si="32"/>
        <v>116183.32563669723</v>
      </c>
    </row>
    <row r="87" spans="2:37" ht="14.4" x14ac:dyDescent="0.25">
      <c r="B87" s="378"/>
      <c r="C87" s="378"/>
      <c r="D87" s="192" t="s">
        <v>331</v>
      </c>
      <c r="E87" s="196"/>
      <c r="F87" s="194"/>
      <c r="G87" s="195">
        <f t="shared" ref="G87:AI87" si="37">+SUBTOTAL(9,G82:G86)</f>
        <v>573934.61651698174</v>
      </c>
      <c r="H87" s="195">
        <f t="shared" si="37"/>
        <v>573934.61651698174</v>
      </c>
      <c r="I87" s="195">
        <f t="shared" si="37"/>
        <v>573934.61651698174</v>
      </c>
      <c r="J87" s="195">
        <f t="shared" si="37"/>
        <v>577844.81445295259</v>
      </c>
      <c r="K87" s="195">
        <f t="shared" si="37"/>
        <v>577844.81445295259</v>
      </c>
      <c r="L87" s="195">
        <f t="shared" si="37"/>
        <v>681929.40087271924</v>
      </c>
      <c r="M87" s="195">
        <f t="shared" si="37"/>
        <v>790751.75927917042</v>
      </c>
      <c r="N87" s="195">
        <f t="shared" si="37"/>
        <v>885384.51972183341</v>
      </c>
      <c r="O87" s="195">
        <f t="shared" si="37"/>
        <v>966307.56269410462</v>
      </c>
      <c r="P87" s="195">
        <f t="shared" si="37"/>
        <v>966307.56269410462</v>
      </c>
      <c r="Q87" s="195">
        <f t="shared" si="37"/>
        <v>966307.56269410462</v>
      </c>
      <c r="R87" s="195">
        <f t="shared" si="37"/>
        <v>966307.56269410462</v>
      </c>
      <c r="S87" s="195">
        <f t="shared" si="37"/>
        <v>966307.56269410462</v>
      </c>
      <c r="T87" s="195">
        <f t="shared" si="37"/>
        <v>966307.56269410462</v>
      </c>
      <c r="U87" s="195">
        <f t="shared" si="37"/>
        <v>966307.56269410462</v>
      </c>
      <c r="V87" s="195">
        <f t="shared" si="37"/>
        <v>966307.56269410462</v>
      </c>
      <c r="W87" s="195">
        <f t="shared" si="37"/>
        <v>966307.56269410462</v>
      </c>
      <c r="X87" s="195">
        <f t="shared" si="37"/>
        <v>966307.56269410462</v>
      </c>
      <c r="Y87" s="195">
        <f t="shared" si="37"/>
        <v>971991.31995157525</v>
      </c>
      <c r="Z87" s="195">
        <f t="shared" si="37"/>
        <v>971991.31995157525</v>
      </c>
      <c r="AA87" s="195">
        <f t="shared" si="37"/>
        <v>971991.31995157525</v>
      </c>
      <c r="AB87" s="195">
        <f t="shared" si="37"/>
        <v>971991.31995157525</v>
      </c>
      <c r="AC87" s="195">
        <f t="shared" si="37"/>
        <v>971991.31995157525</v>
      </c>
      <c r="AD87" s="195">
        <f t="shared" si="37"/>
        <v>971991.31995157525</v>
      </c>
      <c r="AE87" s="195">
        <f t="shared" si="37"/>
        <v>971991.31995157525</v>
      </c>
      <c r="AF87" s="195">
        <f t="shared" si="37"/>
        <v>971991.31995157525</v>
      </c>
      <c r="AG87" s="195">
        <f t="shared" si="37"/>
        <v>971991.31995157525</v>
      </c>
      <c r="AH87" s="195">
        <f t="shared" si="37"/>
        <v>971991.31995157525</v>
      </c>
      <c r="AI87" s="195">
        <f t="shared" si="37"/>
        <v>971991.31995157525</v>
      </c>
      <c r="AJ87" s="203">
        <f t="shared" si="32"/>
        <v>25590539.304738943</v>
      </c>
    </row>
    <row r="88" spans="2:37" ht="14.4" x14ac:dyDescent="0.25">
      <c r="B88" s="378"/>
      <c r="C88" s="378"/>
      <c r="D88" s="192" t="s">
        <v>334</v>
      </c>
      <c r="E88" s="197">
        <f>BDI!G9</f>
        <v>0.1769</v>
      </c>
      <c r="F88" s="194"/>
      <c r="G88" s="195">
        <f t="shared" ref="G88:AI88" si="38">+G87*$E88</f>
        <v>101529.03366185408</v>
      </c>
      <c r="H88" s="195">
        <f t="shared" si="38"/>
        <v>101529.03366185408</v>
      </c>
      <c r="I88" s="195">
        <f t="shared" si="38"/>
        <v>101529.03366185408</v>
      </c>
      <c r="J88" s="195">
        <f t="shared" si="38"/>
        <v>102220.74767672732</v>
      </c>
      <c r="K88" s="195">
        <f t="shared" si="38"/>
        <v>102220.74767672732</v>
      </c>
      <c r="L88" s="195">
        <f t="shared" si="38"/>
        <v>120633.31101438403</v>
      </c>
      <c r="M88" s="195">
        <f t="shared" si="38"/>
        <v>139883.98621648524</v>
      </c>
      <c r="N88" s="195">
        <f t="shared" si="38"/>
        <v>156624.52153879232</v>
      </c>
      <c r="O88" s="195">
        <f t="shared" si="38"/>
        <v>170939.80784058711</v>
      </c>
      <c r="P88" s="195">
        <f t="shared" si="38"/>
        <v>170939.80784058711</v>
      </c>
      <c r="Q88" s="195">
        <f t="shared" si="38"/>
        <v>170939.80784058711</v>
      </c>
      <c r="R88" s="195">
        <f t="shared" si="38"/>
        <v>170939.80784058711</v>
      </c>
      <c r="S88" s="195">
        <f t="shared" si="38"/>
        <v>170939.80784058711</v>
      </c>
      <c r="T88" s="195">
        <f t="shared" si="38"/>
        <v>170939.80784058711</v>
      </c>
      <c r="U88" s="195">
        <f t="shared" si="38"/>
        <v>170939.80784058711</v>
      </c>
      <c r="V88" s="195">
        <f t="shared" si="38"/>
        <v>170939.80784058711</v>
      </c>
      <c r="W88" s="195">
        <f t="shared" si="38"/>
        <v>170939.80784058711</v>
      </c>
      <c r="X88" s="195">
        <f t="shared" si="38"/>
        <v>170939.80784058711</v>
      </c>
      <c r="Y88" s="195">
        <f t="shared" si="38"/>
        <v>171945.26449943366</v>
      </c>
      <c r="Z88" s="195">
        <f t="shared" si="38"/>
        <v>171945.26449943366</v>
      </c>
      <c r="AA88" s="195">
        <f t="shared" si="38"/>
        <v>171945.26449943366</v>
      </c>
      <c r="AB88" s="195">
        <f t="shared" si="38"/>
        <v>171945.26449943366</v>
      </c>
      <c r="AC88" s="195">
        <f t="shared" si="38"/>
        <v>171945.26449943366</v>
      </c>
      <c r="AD88" s="195">
        <f t="shared" si="38"/>
        <v>171945.26449943366</v>
      </c>
      <c r="AE88" s="195">
        <f t="shared" si="38"/>
        <v>171945.26449943366</v>
      </c>
      <c r="AF88" s="195">
        <f t="shared" si="38"/>
        <v>171945.26449943366</v>
      </c>
      <c r="AG88" s="195">
        <f t="shared" si="38"/>
        <v>171945.26449943366</v>
      </c>
      <c r="AH88" s="195">
        <f t="shared" si="38"/>
        <v>171945.26449943366</v>
      </c>
      <c r="AI88" s="195">
        <f t="shared" si="38"/>
        <v>171945.26449943366</v>
      </c>
      <c r="AJ88" s="203">
        <f t="shared" si="32"/>
        <v>4526966.4030083204</v>
      </c>
    </row>
    <row r="89" spans="2:37" ht="14.4" x14ac:dyDescent="0.25">
      <c r="B89" s="378"/>
      <c r="C89" s="378"/>
      <c r="D89" s="192" t="s">
        <v>333</v>
      </c>
      <c r="E89" s="196"/>
      <c r="F89" s="194"/>
      <c r="G89" s="204">
        <f t="shared" ref="G89:AI89" si="39">+SUM(G87:G88)</f>
        <v>675463.65017883584</v>
      </c>
      <c r="H89" s="204">
        <f t="shared" si="39"/>
        <v>675463.65017883584</v>
      </c>
      <c r="I89" s="204">
        <f t="shared" si="39"/>
        <v>675463.65017883584</v>
      </c>
      <c r="J89" s="204">
        <f t="shared" si="39"/>
        <v>680065.56212967995</v>
      </c>
      <c r="K89" s="204">
        <f t="shared" si="39"/>
        <v>680065.56212967995</v>
      </c>
      <c r="L89" s="204">
        <f t="shared" si="39"/>
        <v>802562.71188710327</v>
      </c>
      <c r="M89" s="204">
        <f t="shared" si="39"/>
        <v>930635.74549565569</v>
      </c>
      <c r="N89" s="204">
        <f t="shared" si="39"/>
        <v>1042009.0412606257</v>
      </c>
      <c r="O89" s="204">
        <f t="shared" si="39"/>
        <v>1137247.3705346917</v>
      </c>
      <c r="P89" s="204">
        <f t="shared" si="39"/>
        <v>1137247.3705346917</v>
      </c>
      <c r="Q89" s="204">
        <f t="shared" si="39"/>
        <v>1137247.3705346917</v>
      </c>
      <c r="R89" s="204">
        <f t="shared" si="39"/>
        <v>1137247.3705346917</v>
      </c>
      <c r="S89" s="204">
        <f t="shared" si="39"/>
        <v>1137247.3705346917</v>
      </c>
      <c r="T89" s="204">
        <f t="shared" si="39"/>
        <v>1137247.3705346917</v>
      </c>
      <c r="U89" s="204">
        <f t="shared" si="39"/>
        <v>1137247.3705346917</v>
      </c>
      <c r="V89" s="204">
        <f t="shared" si="39"/>
        <v>1137247.3705346917</v>
      </c>
      <c r="W89" s="204">
        <f t="shared" si="39"/>
        <v>1137247.3705346917</v>
      </c>
      <c r="X89" s="204">
        <f t="shared" si="39"/>
        <v>1137247.3705346917</v>
      </c>
      <c r="Y89" s="204">
        <f t="shared" si="39"/>
        <v>1143936.5844510088</v>
      </c>
      <c r="Z89" s="204">
        <f t="shared" si="39"/>
        <v>1143936.5844510088</v>
      </c>
      <c r="AA89" s="204">
        <f t="shared" si="39"/>
        <v>1143936.5844510088</v>
      </c>
      <c r="AB89" s="204">
        <f t="shared" si="39"/>
        <v>1143936.5844510088</v>
      </c>
      <c r="AC89" s="204">
        <f t="shared" si="39"/>
        <v>1143936.5844510088</v>
      </c>
      <c r="AD89" s="204">
        <f t="shared" si="39"/>
        <v>1143936.5844510088</v>
      </c>
      <c r="AE89" s="204">
        <f t="shared" si="39"/>
        <v>1143936.5844510088</v>
      </c>
      <c r="AF89" s="204">
        <f t="shared" si="39"/>
        <v>1143936.5844510088</v>
      </c>
      <c r="AG89" s="204">
        <f t="shared" si="39"/>
        <v>1143936.5844510088</v>
      </c>
      <c r="AH89" s="204">
        <f t="shared" si="39"/>
        <v>1143936.5844510088</v>
      </c>
      <c r="AI89" s="204">
        <f t="shared" si="39"/>
        <v>1143936.5844510088</v>
      </c>
      <c r="AJ89" s="205">
        <f t="shared" si="32"/>
        <v>30117505.707747266</v>
      </c>
      <c r="AK89" s="4"/>
    </row>
    <row r="90" spans="2:37" ht="14.4" x14ac:dyDescent="0.25">
      <c r="B90" s="185" t="s">
        <v>335</v>
      </c>
      <c r="C90" s="186" t="str">
        <f>+C21</f>
        <v>ELEMENTOS DE PROTEÇÃO E SEGURANÇA</v>
      </c>
      <c r="D90" s="187"/>
      <c r="E90" s="187"/>
      <c r="F90" s="169">
        <f t="shared" ref="F90:AJ90" si="40">+F98+F106+F114</f>
        <v>0</v>
      </c>
      <c r="G90" s="169">
        <f t="shared" si="40"/>
        <v>492840.78667591535</v>
      </c>
      <c r="H90" s="169">
        <f t="shared" si="40"/>
        <v>492840.78667591535</v>
      </c>
      <c r="I90" s="169">
        <f t="shared" si="40"/>
        <v>492840.78667591535</v>
      </c>
      <c r="J90" s="169">
        <f t="shared" si="40"/>
        <v>493916.38813586568</v>
      </c>
      <c r="K90" s="169">
        <f t="shared" si="40"/>
        <v>493916.38813586568</v>
      </c>
      <c r="L90" s="169">
        <f t="shared" si="40"/>
        <v>522547.55590400333</v>
      </c>
      <c r="M90" s="169">
        <f t="shared" si="40"/>
        <v>552481.97086045076</v>
      </c>
      <c r="N90" s="169">
        <f t="shared" si="40"/>
        <v>578513.16850261495</v>
      </c>
      <c r="O90" s="169">
        <f t="shared" si="40"/>
        <v>600773.15241899737</v>
      </c>
      <c r="P90" s="169">
        <f t="shared" si="40"/>
        <v>600773.15241899737</v>
      </c>
      <c r="Q90" s="169">
        <f t="shared" si="40"/>
        <v>600773.15241899737</v>
      </c>
      <c r="R90" s="169">
        <f t="shared" si="40"/>
        <v>600773.15241899737</v>
      </c>
      <c r="S90" s="169">
        <f t="shared" si="40"/>
        <v>600773.15241899737</v>
      </c>
      <c r="T90" s="169">
        <f t="shared" si="40"/>
        <v>600773.15241899737</v>
      </c>
      <c r="U90" s="169">
        <f t="shared" si="40"/>
        <v>600773.15241899737</v>
      </c>
      <c r="V90" s="169">
        <f t="shared" si="40"/>
        <v>600773.15241899737</v>
      </c>
      <c r="W90" s="169">
        <f t="shared" si="40"/>
        <v>600773.15241899737</v>
      </c>
      <c r="X90" s="169">
        <f t="shared" si="40"/>
        <v>600773.15241899737</v>
      </c>
      <c r="Y90" s="169">
        <f t="shared" si="40"/>
        <v>602336.6174159731</v>
      </c>
      <c r="Z90" s="169">
        <f t="shared" si="40"/>
        <v>602336.6174159731</v>
      </c>
      <c r="AA90" s="169">
        <f t="shared" si="40"/>
        <v>602336.6174159731</v>
      </c>
      <c r="AB90" s="169">
        <f t="shared" si="40"/>
        <v>602336.6174159731</v>
      </c>
      <c r="AC90" s="169">
        <f t="shared" si="40"/>
        <v>602336.6174159731</v>
      </c>
      <c r="AD90" s="169">
        <f t="shared" si="40"/>
        <v>602336.6174159731</v>
      </c>
      <c r="AE90" s="169">
        <f t="shared" si="40"/>
        <v>602336.6174159731</v>
      </c>
      <c r="AF90" s="169">
        <f t="shared" si="40"/>
        <v>602336.6174159731</v>
      </c>
      <c r="AG90" s="169">
        <f t="shared" si="40"/>
        <v>602336.6174159731</v>
      </c>
      <c r="AH90" s="169">
        <f t="shared" si="40"/>
        <v>602336.6174159731</v>
      </c>
      <c r="AI90" s="169">
        <f t="shared" si="40"/>
        <v>602336.6174159731</v>
      </c>
      <c r="AJ90" s="169">
        <f t="shared" si="40"/>
        <v>16753332.147332231</v>
      </c>
    </row>
    <row r="91" spans="2:37" ht="14.4" x14ac:dyDescent="0.25">
      <c r="B91" s="377" t="s">
        <v>40</v>
      </c>
      <c r="C91" s="377" t="str">
        <f>+C22</f>
        <v>Sinalização Horizontal</v>
      </c>
      <c r="D91" s="188" t="s">
        <v>326</v>
      </c>
      <c r="E91" s="189"/>
      <c r="F91" s="190"/>
      <c r="G91" s="191">
        <f t="shared" ref="G91:AI91" si="41">+G22</f>
        <v>66057.949708333326</v>
      </c>
      <c r="H91" s="191">
        <f t="shared" si="41"/>
        <v>66057.949708333326</v>
      </c>
      <c r="I91" s="191">
        <f t="shared" si="41"/>
        <v>66057.949708333326</v>
      </c>
      <c r="J91" s="191">
        <f t="shared" si="41"/>
        <v>66508.000378166675</v>
      </c>
      <c r="K91" s="191">
        <f t="shared" si="41"/>
        <v>66508.000378166675</v>
      </c>
      <c r="L91" s="191">
        <f t="shared" si="41"/>
        <v>78487.787234125019</v>
      </c>
      <c r="M91" s="191">
        <f t="shared" si="41"/>
        <v>91012.875757937509</v>
      </c>
      <c r="N91" s="191">
        <f t="shared" si="41"/>
        <v>101904.78914002083</v>
      </c>
      <c r="O91" s="191">
        <f t="shared" si="41"/>
        <v>111218.76001591668</v>
      </c>
      <c r="P91" s="191">
        <f t="shared" si="41"/>
        <v>111218.76001591668</v>
      </c>
      <c r="Q91" s="191">
        <f t="shared" si="41"/>
        <v>111218.76001591668</v>
      </c>
      <c r="R91" s="191">
        <f t="shared" si="41"/>
        <v>111218.76001591668</v>
      </c>
      <c r="S91" s="191">
        <f t="shared" si="41"/>
        <v>111218.76001591668</v>
      </c>
      <c r="T91" s="191">
        <f t="shared" si="41"/>
        <v>111218.76001591668</v>
      </c>
      <c r="U91" s="191">
        <f t="shared" si="41"/>
        <v>111218.76001591668</v>
      </c>
      <c r="V91" s="191">
        <f t="shared" si="41"/>
        <v>111218.76001591668</v>
      </c>
      <c r="W91" s="191">
        <f t="shared" si="41"/>
        <v>111218.76001591668</v>
      </c>
      <c r="X91" s="191">
        <f t="shared" si="41"/>
        <v>111218.76001591668</v>
      </c>
      <c r="Y91" s="191">
        <f t="shared" si="41"/>
        <v>111872.9414161376</v>
      </c>
      <c r="Z91" s="191">
        <f t="shared" si="41"/>
        <v>111872.9414161376</v>
      </c>
      <c r="AA91" s="191">
        <f t="shared" si="41"/>
        <v>111872.9414161376</v>
      </c>
      <c r="AB91" s="191">
        <f t="shared" si="41"/>
        <v>111872.9414161376</v>
      </c>
      <c r="AC91" s="191">
        <f t="shared" si="41"/>
        <v>111872.9414161376</v>
      </c>
      <c r="AD91" s="191">
        <f t="shared" si="41"/>
        <v>111872.9414161376</v>
      </c>
      <c r="AE91" s="191">
        <f t="shared" si="41"/>
        <v>111872.9414161376</v>
      </c>
      <c r="AF91" s="191">
        <f t="shared" si="41"/>
        <v>111872.9414161376</v>
      </c>
      <c r="AG91" s="191">
        <f t="shared" si="41"/>
        <v>111872.9414161376</v>
      </c>
      <c r="AH91" s="191">
        <f t="shared" si="41"/>
        <v>111872.9414161376</v>
      </c>
      <c r="AI91" s="191">
        <f t="shared" si="41"/>
        <v>111872.9414161376</v>
      </c>
      <c r="AJ91" s="202">
        <f t="shared" ref="AJ91:AJ114" si="42">+SUM(F91:AI91)</f>
        <v>2945385.2577500958</v>
      </c>
    </row>
    <row r="92" spans="2:37" ht="14.4" x14ac:dyDescent="0.25">
      <c r="B92" s="378"/>
      <c r="C92" s="378"/>
      <c r="D92" s="192" t="s">
        <v>327</v>
      </c>
      <c r="E92" s="193">
        <v>6.3299999999999995E-2</v>
      </c>
      <c r="F92" s="194"/>
      <c r="G92" s="195">
        <f t="shared" ref="G92:AI92" si="43">+G91*$E92</f>
        <v>4181.4682165374988</v>
      </c>
      <c r="H92" s="195">
        <f t="shared" si="43"/>
        <v>4181.4682165374988</v>
      </c>
      <c r="I92" s="195">
        <f t="shared" si="43"/>
        <v>4181.4682165374988</v>
      </c>
      <c r="J92" s="195">
        <f t="shared" si="43"/>
        <v>4209.9564239379506</v>
      </c>
      <c r="K92" s="195">
        <f t="shared" si="43"/>
        <v>4209.9564239379506</v>
      </c>
      <c r="L92" s="195">
        <f t="shared" si="43"/>
        <v>4968.2769319201134</v>
      </c>
      <c r="M92" s="195">
        <f t="shared" si="43"/>
        <v>5761.1150354774436</v>
      </c>
      <c r="N92" s="195">
        <f t="shared" si="43"/>
        <v>6450.5731525633182</v>
      </c>
      <c r="O92" s="195">
        <f t="shared" si="43"/>
        <v>7040.1475090075246</v>
      </c>
      <c r="P92" s="195">
        <f t="shared" si="43"/>
        <v>7040.1475090075246</v>
      </c>
      <c r="Q92" s="195">
        <f t="shared" si="43"/>
        <v>7040.1475090075246</v>
      </c>
      <c r="R92" s="195">
        <f t="shared" si="43"/>
        <v>7040.1475090075246</v>
      </c>
      <c r="S92" s="195">
        <f t="shared" si="43"/>
        <v>7040.1475090075246</v>
      </c>
      <c r="T92" s="195">
        <f t="shared" si="43"/>
        <v>7040.1475090075246</v>
      </c>
      <c r="U92" s="195">
        <f t="shared" si="43"/>
        <v>7040.1475090075246</v>
      </c>
      <c r="V92" s="195">
        <f t="shared" si="43"/>
        <v>7040.1475090075246</v>
      </c>
      <c r="W92" s="195">
        <f t="shared" si="43"/>
        <v>7040.1475090075246</v>
      </c>
      <c r="X92" s="195">
        <f t="shared" si="43"/>
        <v>7040.1475090075246</v>
      </c>
      <c r="Y92" s="195">
        <f t="shared" si="43"/>
        <v>7081.5571916415101</v>
      </c>
      <c r="Z92" s="195">
        <f t="shared" si="43"/>
        <v>7081.5571916415101</v>
      </c>
      <c r="AA92" s="195">
        <f t="shared" si="43"/>
        <v>7081.5571916415101</v>
      </c>
      <c r="AB92" s="195">
        <f t="shared" si="43"/>
        <v>7081.5571916415101</v>
      </c>
      <c r="AC92" s="195">
        <f t="shared" si="43"/>
        <v>7081.5571916415101</v>
      </c>
      <c r="AD92" s="195">
        <f t="shared" si="43"/>
        <v>7081.5571916415101</v>
      </c>
      <c r="AE92" s="195">
        <f t="shared" si="43"/>
        <v>7081.5571916415101</v>
      </c>
      <c r="AF92" s="195">
        <f t="shared" si="43"/>
        <v>7081.5571916415101</v>
      </c>
      <c r="AG92" s="195">
        <f t="shared" si="43"/>
        <v>7081.5571916415101</v>
      </c>
      <c r="AH92" s="195">
        <f t="shared" si="43"/>
        <v>7081.5571916415101</v>
      </c>
      <c r="AI92" s="195">
        <f t="shared" si="43"/>
        <v>7081.5571916415101</v>
      </c>
      <c r="AJ92" s="203">
        <f t="shared" si="42"/>
        <v>186442.88681558109</v>
      </c>
    </row>
    <row r="93" spans="2:37" ht="14.4" x14ac:dyDescent="0.25">
      <c r="B93" s="378"/>
      <c r="C93" s="378"/>
      <c r="D93" s="192" t="s">
        <v>328</v>
      </c>
      <c r="E93" s="193">
        <v>5.0000000000000001E-3</v>
      </c>
      <c r="F93" s="194"/>
      <c r="G93" s="195">
        <f>+G91*$E93</f>
        <v>330.28974854166665</v>
      </c>
      <c r="H93" s="195">
        <f t="shared" ref="H93:AI93" si="44">+H91*$E93</f>
        <v>330.28974854166665</v>
      </c>
      <c r="I93" s="195">
        <f t="shared" si="44"/>
        <v>330.28974854166665</v>
      </c>
      <c r="J93" s="195">
        <f t="shared" si="44"/>
        <v>332.54000189083337</v>
      </c>
      <c r="K93" s="195">
        <f t="shared" si="44"/>
        <v>332.54000189083337</v>
      </c>
      <c r="L93" s="195">
        <f t="shared" si="44"/>
        <v>392.43893617062508</v>
      </c>
      <c r="M93" s="195">
        <f t="shared" si="44"/>
        <v>455.06437878968757</v>
      </c>
      <c r="N93" s="195">
        <f t="shared" si="44"/>
        <v>509.52394570010415</v>
      </c>
      <c r="O93" s="195">
        <f t="shared" si="44"/>
        <v>556.09380007958339</v>
      </c>
      <c r="P93" s="195">
        <f t="shared" si="44"/>
        <v>556.09380007958339</v>
      </c>
      <c r="Q93" s="195">
        <f t="shared" si="44"/>
        <v>556.09380007958339</v>
      </c>
      <c r="R93" s="195">
        <f t="shared" si="44"/>
        <v>556.09380007958339</v>
      </c>
      <c r="S93" s="195">
        <f t="shared" si="44"/>
        <v>556.09380007958339</v>
      </c>
      <c r="T93" s="195">
        <f t="shared" si="44"/>
        <v>556.09380007958339</v>
      </c>
      <c r="U93" s="195">
        <f t="shared" si="44"/>
        <v>556.09380007958339</v>
      </c>
      <c r="V93" s="195">
        <f t="shared" si="44"/>
        <v>556.09380007958339</v>
      </c>
      <c r="W93" s="195">
        <f t="shared" si="44"/>
        <v>556.09380007958339</v>
      </c>
      <c r="X93" s="195">
        <f t="shared" si="44"/>
        <v>556.09380007958339</v>
      </c>
      <c r="Y93" s="195">
        <f t="shared" si="44"/>
        <v>559.36470708068805</v>
      </c>
      <c r="Z93" s="195">
        <f t="shared" si="44"/>
        <v>559.36470708068805</v>
      </c>
      <c r="AA93" s="195">
        <f t="shared" si="44"/>
        <v>559.36470708068805</v>
      </c>
      <c r="AB93" s="195">
        <f t="shared" si="44"/>
        <v>559.36470708068805</v>
      </c>
      <c r="AC93" s="195">
        <f t="shared" si="44"/>
        <v>559.36470708068805</v>
      </c>
      <c r="AD93" s="195">
        <f t="shared" si="44"/>
        <v>559.36470708068805</v>
      </c>
      <c r="AE93" s="195">
        <f t="shared" si="44"/>
        <v>559.36470708068805</v>
      </c>
      <c r="AF93" s="195">
        <f t="shared" si="44"/>
        <v>559.36470708068805</v>
      </c>
      <c r="AG93" s="195">
        <f t="shared" si="44"/>
        <v>559.36470708068805</v>
      </c>
      <c r="AH93" s="195">
        <f t="shared" si="44"/>
        <v>559.36470708068805</v>
      </c>
      <c r="AI93" s="195">
        <f t="shared" si="44"/>
        <v>559.36470708068805</v>
      </c>
      <c r="AJ93" s="203">
        <f t="shared" si="42"/>
        <v>14726.926288750476</v>
      </c>
    </row>
    <row r="94" spans="2:37" ht="14.4" x14ac:dyDescent="0.25">
      <c r="B94" s="378"/>
      <c r="C94" s="378"/>
      <c r="D94" s="192" t="s">
        <v>329</v>
      </c>
      <c r="E94" s="193">
        <v>2.8000000000000001E-2</v>
      </c>
      <c r="F94" s="194"/>
      <c r="G94" s="195">
        <f>+G91*$E94</f>
        <v>1849.6225918333332</v>
      </c>
      <c r="H94" s="195">
        <f t="shared" ref="H94:AI94" si="45">+H91*$E94</f>
        <v>1849.6225918333332</v>
      </c>
      <c r="I94" s="195">
        <f t="shared" si="45"/>
        <v>1849.6225918333332</v>
      </c>
      <c r="J94" s="195">
        <f t="shared" si="45"/>
        <v>1862.2240105886669</v>
      </c>
      <c r="K94" s="195">
        <f t="shared" si="45"/>
        <v>1862.2240105886669</v>
      </c>
      <c r="L94" s="195">
        <f t="shared" si="45"/>
        <v>2197.6580425555007</v>
      </c>
      <c r="M94" s="195">
        <f t="shared" si="45"/>
        <v>2548.3605212222501</v>
      </c>
      <c r="N94" s="195">
        <f t="shared" si="45"/>
        <v>2853.3340959205834</v>
      </c>
      <c r="O94" s="195">
        <f t="shared" si="45"/>
        <v>3114.1252804456672</v>
      </c>
      <c r="P94" s="195">
        <f t="shared" si="45"/>
        <v>3114.1252804456672</v>
      </c>
      <c r="Q94" s="195">
        <f t="shared" si="45"/>
        <v>3114.1252804456672</v>
      </c>
      <c r="R94" s="195">
        <f t="shared" si="45"/>
        <v>3114.1252804456672</v>
      </c>
      <c r="S94" s="195">
        <f t="shared" si="45"/>
        <v>3114.1252804456672</v>
      </c>
      <c r="T94" s="195">
        <f t="shared" si="45"/>
        <v>3114.1252804456672</v>
      </c>
      <c r="U94" s="195">
        <f t="shared" si="45"/>
        <v>3114.1252804456672</v>
      </c>
      <c r="V94" s="195">
        <f t="shared" si="45"/>
        <v>3114.1252804456672</v>
      </c>
      <c r="W94" s="195">
        <f t="shared" si="45"/>
        <v>3114.1252804456672</v>
      </c>
      <c r="X94" s="195">
        <f t="shared" si="45"/>
        <v>3114.1252804456672</v>
      </c>
      <c r="Y94" s="195">
        <f t="shared" si="45"/>
        <v>3132.4423596518532</v>
      </c>
      <c r="Z94" s="195">
        <f t="shared" si="45"/>
        <v>3132.4423596518532</v>
      </c>
      <c r="AA94" s="195">
        <f t="shared" si="45"/>
        <v>3132.4423596518532</v>
      </c>
      <c r="AB94" s="195">
        <f t="shared" si="45"/>
        <v>3132.4423596518532</v>
      </c>
      <c r="AC94" s="195">
        <f t="shared" si="45"/>
        <v>3132.4423596518532</v>
      </c>
      <c r="AD94" s="195">
        <f t="shared" si="45"/>
        <v>3132.4423596518532</v>
      </c>
      <c r="AE94" s="195">
        <f t="shared" si="45"/>
        <v>3132.4423596518532</v>
      </c>
      <c r="AF94" s="195">
        <f t="shared" si="45"/>
        <v>3132.4423596518532</v>
      </c>
      <c r="AG94" s="195">
        <f t="shared" si="45"/>
        <v>3132.4423596518532</v>
      </c>
      <c r="AH94" s="195">
        <f t="shared" si="45"/>
        <v>3132.4423596518532</v>
      </c>
      <c r="AI94" s="195">
        <f t="shared" si="45"/>
        <v>3132.4423596518532</v>
      </c>
      <c r="AJ94" s="203">
        <f t="shared" si="42"/>
        <v>82470.787217002697</v>
      </c>
    </row>
    <row r="95" spans="2:37" ht="14.4" x14ac:dyDescent="0.25">
      <c r="B95" s="378"/>
      <c r="C95" s="378"/>
      <c r="D95" s="192" t="s">
        <v>330</v>
      </c>
      <c r="E95" s="193">
        <v>5.0000000000000001E-3</v>
      </c>
      <c r="F95" s="194"/>
      <c r="G95" s="195">
        <f>+G91*$E95</f>
        <v>330.28974854166665</v>
      </c>
      <c r="H95" s="195">
        <f t="shared" ref="H95:AI95" si="46">+H91*$E95</f>
        <v>330.28974854166665</v>
      </c>
      <c r="I95" s="195">
        <f t="shared" si="46"/>
        <v>330.28974854166665</v>
      </c>
      <c r="J95" s="195">
        <f t="shared" si="46"/>
        <v>332.54000189083337</v>
      </c>
      <c r="K95" s="195">
        <f t="shared" si="46"/>
        <v>332.54000189083337</v>
      </c>
      <c r="L95" s="195">
        <f t="shared" si="46"/>
        <v>392.43893617062508</v>
      </c>
      <c r="M95" s="195">
        <f t="shared" si="46"/>
        <v>455.06437878968757</v>
      </c>
      <c r="N95" s="195">
        <f t="shared" si="46"/>
        <v>509.52394570010415</v>
      </c>
      <c r="O95" s="195">
        <f t="shared" si="46"/>
        <v>556.09380007958339</v>
      </c>
      <c r="P95" s="195">
        <f t="shared" si="46"/>
        <v>556.09380007958339</v>
      </c>
      <c r="Q95" s="195">
        <f t="shared" si="46"/>
        <v>556.09380007958339</v>
      </c>
      <c r="R95" s="195">
        <f t="shared" si="46"/>
        <v>556.09380007958339</v>
      </c>
      <c r="S95" s="195">
        <f t="shared" si="46"/>
        <v>556.09380007958339</v>
      </c>
      <c r="T95" s="195">
        <f t="shared" si="46"/>
        <v>556.09380007958339</v>
      </c>
      <c r="U95" s="195">
        <f t="shared" si="46"/>
        <v>556.09380007958339</v>
      </c>
      <c r="V95" s="195">
        <f t="shared" si="46"/>
        <v>556.09380007958339</v>
      </c>
      <c r="W95" s="195">
        <f t="shared" si="46"/>
        <v>556.09380007958339</v>
      </c>
      <c r="X95" s="195">
        <f t="shared" si="46"/>
        <v>556.09380007958339</v>
      </c>
      <c r="Y95" s="195">
        <f t="shared" si="46"/>
        <v>559.36470708068805</v>
      </c>
      <c r="Z95" s="195">
        <f t="shared" si="46"/>
        <v>559.36470708068805</v>
      </c>
      <c r="AA95" s="195">
        <f t="shared" si="46"/>
        <v>559.36470708068805</v>
      </c>
      <c r="AB95" s="195">
        <f t="shared" si="46"/>
        <v>559.36470708068805</v>
      </c>
      <c r="AC95" s="195">
        <f t="shared" si="46"/>
        <v>559.36470708068805</v>
      </c>
      <c r="AD95" s="195">
        <f t="shared" si="46"/>
        <v>559.36470708068805</v>
      </c>
      <c r="AE95" s="195">
        <f t="shared" si="46"/>
        <v>559.36470708068805</v>
      </c>
      <c r="AF95" s="195">
        <f t="shared" si="46"/>
        <v>559.36470708068805</v>
      </c>
      <c r="AG95" s="195">
        <f t="shared" si="46"/>
        <v>559.36470708068805</v>
      </c>
      <c r="AH95" s="195">
        <f t="shared" si="46"/>
        <v>559.36470708068805</v>
      </c>
      <c r="AI95" s="195">
        <f t="shared" si="46"/>
        <v>559.36470708068805</v>
      </c>
      <c r="AJ95" s="203">
        <f t="shared" si="42"/>
        <v>14726.926288750476</v>
      </c>
    </row>
    <row r="96" spans="2:37" ht="14.4" x14ac:dyDescent="0.25">
      <c r="B96" s="378"/>
      <c r="C96" s="378"/>
      <c r="D96" s="192" t="s">
        <v>331</v>
      </c>
      <c r="E96" s="196"/>
      <c r="F96" s="194"/>
      <c r="G96" s="195">
        <f t="shared" ref="G96:AI96" si="47">+SUBTOTAL(9,G91:G95)</f>
        <v>72749.620013787484</v>
      </c>
      <c r="H96" s="195">
        <f t="shared" si="47"/>
        <v>72749.620013787484</v>
      </c>
      <c r="I96" s="195">
        <f t="shared" si="47"/>
        <v>72749.620013787484</v>
      </c>
      <c r="J96" s="195">
        <f t="shared" si="47"/>
        <v>73245.260816474984</v>
      </c>
      <c r="K96" s="195">
        <f t="shared" si="47"/>
        <v>73245.260816474984</v>
      </c>
      <c r="L96" s="195">
        <f t="shared" si="47"/>
        <v>86438.600080941891</v>
      </c>
      <c r="M96" s="195">
        <f t="shared" si="47"/>
        <v>100232.48007221657</v>
      </c>
      <c r="N96" s="195">
        <f t="shared" si="47"/>
        <v>112227.74427990493</v>
      </c>
      <c r="O96" s="195">
        <f t="shared" si="47"/>
        <v>122485.22040552903</v>
      </c>
      <c r="P96" s="195">
        <f t="shared" si="47"/>
        <v>122485.22040552903</v>
      </c>
      <c r="Q96" s="195">
        <f t="shared" si="47"/>
        <v>122485.22040552903</v>
      </c>
      <c r="R96" s="195">
        <f t="shared" si="47"/>
        <v>122485.22040552903</v>
      </c>
      <c r="S96" s="195">
        <f t="shared" si="47"/>
        <v>122485.22040552903</v>
      </c>
      <c r="T96" s="195">
        <f t="shared" si="47"/>
        <v>122485.22040552903</v>
      </c>
      <c r="U96" s="195">
        <f t="shared" si="47"/>
        <v>122485.22040552903</v>
      </c>
      <c r="V96" s="195">
        <f t="shared" si="47"/>
        <v>122485.22040552903</v>
      </c>
      <c r="W96" s="195">
        <f t="shared" si="47"/>
        <v>122485.22040552903</v>
      </c>
      <c r="X96" s="195">
        <f t="shared" si="47"/>
        <v>122485.22040552903</v>
      </c>
      <c r="Y96" s="195">
        <f t="shared" si="47"/>
        <v>123205.67038159234</v>
      </c>
      <c r="Z96" s="195">
        <f t="shared" si="47"/>
        <v>123205.67038159234</v>
      </c>
      <c r="AA96" s="195">
        <f t="shared" si="47"/>
        <v>123205.67038159234</v>
      </c>
      <c r="AB96" s="195">
        <f t="shared" si="47"/>
        <v>123205.67038159234</v>
      </c>
      <c r="AC96" s="195">
        <f t="shared" si="47"/>
        <v>123205.67038159234</v>
      </c>
      <c r="AD96" s="195">
        <f t="shared" si="47"/>
        <v>123205.67038159234</v>
      </c>
      <c r="AE96" s="195">
        <f t="shared" si="47"/>
        <v>123205.67038159234</v>
      </c>
      <c r="AF96" s="195">
        <f t="shared" si="47"/>
        <v>123205.67038159234</v>
      </c>
      <c r="AG96" s="195">
        <f t="shared" si="47"/>
        <v>123205.67038159234</v>
      </c>
      <c r="AH96" s="195">
        <f t="shared" si="47"/>
        <v>123205.67038159234</v>
      </c>
      <c r="AI96" s="195">
        <f t="shared" si="47"/>
        <v>123205.67038159234</v>
      </c>
      <c r="AJ96" s="203">
        <f t="shared" si="42"/>
        <v>3243752.7843601797</v>
      </c>
    </row>
    <row r="97" spans="2:37" ht="14.4" x14ac:dyDescent="0.25">
      <c r="B97" s="378"/>
      <c r="C97" s="378"/>
      <c r="D97" s="192" t="s">
        <v>332</v>
      </c>
      <c r="E97" s="197">
        <f>BDI!G5</f>
        <v>0.21340000000000001</v>
      </c>
      <c r="F97" s="194"/>
      <c r="G97" s="195">
        <f t="shared" ref="G97:AI97" si="48">+G96*$E97</f>
        <v>15524.76891094225</v>
      </c>
      <c r="H97" s="195">
        <f t="shared" si="48"/>
        <v>15524.76891094225</v>
      </c>
      <c r="I97" s="195">
        <f t="shared" si="48"/>
        <v>15524.76891094225</v>
      </c>
      <c r="J97" s="195">
        <f t="shared" si="48"/>
        <v>15630.538658235762</v>
      </c>
      <c r="K97" s="195">
        <f t="shared" si="48"/>
        <v>15630.538658235762</v>
      </c>
      <c r="L97" s="195">
        <f t="shared" si="48"/>
        <v>18445.997257273</v>
      </c>
      <c r="M97" s="195">
        <f t="shared" si="48"/>
        <v>21389.611247411016</v>
      </c>
      <c r="N97" s="195">
        <f t="shared" si="48"/>
        <v>23949.400629331714</v>
      </c>
      <c r="O97" s="195">
        <f t="shared" si="48"/>
        <v>26138.346034539896</v>
      </c>
      <c r="P97" s="195">
        <f t="shared" si="48"/>
        <v>26138.346034539896</v>
      </c>
      <c r="Q97" s="195">
        <f t="shared" si="48"/>
        <v>26138.346034539896</v>
      </c>
      <c r="R97" s="195">
        <f t="shared" si="48"/>
        <v>26138.346034539896</v>
      </c>
      <c r="S97" s="195">
        <f t="shared" si="48"/>
        <v>26138.346034539896</v>
      </c>
      <c r="T97" s="195">
        <f t="shared" si="48"/>
        <v>26138.346034539896</v>
      </c>
      <c r="U97" s="195">
        <f t="shared" si="48"/>
        <v>26138.346034539896</v>
      </c>
      <c r="V97" s="195">
        <f t="shared" si="48"/>
        <v>26138.346034539896</v>
      </c>
      <c r="W97" s="195">
        <f t="shared" si="48"/>
        <v>26138.346034539896</v>
      </c>
      <c r="X97" s="195">
        <f t="shared" si="48"/>
        <v>26138.346034539896</v>
      </c>
      <c r="Y97" s="195">
        <f t="shared" si="48"/>
        <v>26292.090059431805</v>
      </c>
      <c r="Z97" s="195">
        <f t="shared" si="48"/>
        <v>26292.090059431805</v>
      </c>
      <c r="AA97" s="195">
        <f t="shared" si="48"/>
        <v>26292.090059431805</v>
      </c>
      <c r="AB97" s="195">
        <f t="shared" si="48"/>
        <v>26292.090059431805</v>
      </c>
      <c r="AC97" s="195">
        <f t="shared" si="48"/>
        <v>26292.090059431805</v>
      </c>
      <c r="AD97" s="195">
        <f t="shared" si="48"/>
        <v>26292.090059431805</v>
      </c>
      <c r="AE97" s="195">
        <f t="shared" si="48"/>
        <v>26292.090059431805</v>
      </c>
      <c r="AF97" s="195">
        <f t="shared" si="48"/>
        <v>26292.090059431805</v>
      </c>
      <c r="AG97" s="195">
        <f t="shared" si="48"/>
        <v>26292.090059431805</v>
      </c>
      <c r="AH97" s="195">
        <f t="shared" si="48"/>
        <v>26292.090059431805</v>
      </c>
      <c r="AI97" s="195">
        <f t="shared" si="48"/>
        <v>26292.090059431805</v>
      </c>
      <c r="AJ97" s="203">
        <f t="shared" si="42"/>
        <v>692216.84418246325</v>
      </c>
    </row>
    <row r="98" spans="2:37" ht="14.4" x14ac:dyDescent="0.25">
      <c r="B98" s="378"/>
      <c r="C98" s="378"/>
      <c r="D98" s="192" t="s">
        <v>333</v>
      </c>
      <c r="E98" s="196"/>
      <c r="F98" s="194"/>
      <c r="G98" s="204">
        <f t="shared" ref="G98:AI98" si="49">+SUM(G96:G97)</f>
        <v>88274.388924729734</v>
      </c>
      <c r="H98" s="204">
        <f t="shared" si="49"/>
        <v>88274.388924729734</v>
      </c>
      <c r="I98" s="204">
        <f t="shared" si="49"/>
        <v>88274.388924729734</v>
      </c>
      <c r="J98" s="204">
        <f t="shared" si="49"/>
        <v>88875.799474710744</v>
      </c>
      <c r="K98" s="204">
        <f t="shared" si="49"/>
        <v>88875.799474710744</v>
      </c>
      <c r="L98" s="204">
        <f t="shared" si="49"/>
        <v>104884.59733821489</v>
      </c>
      <c r="M98" s="204">
        <f t="shared" si="49"/>
        <v>121622.09131962758</v>
      </c>
      <c r="N98" s="204">
        <f t="shared" si="49"/>
        <v>136177.14490923664</v>
      </c>
      <c r="O98" s="204">
        <f t="shared" si="49"/>
        <v>148623.56644006894</v>
      </c>
      <c r="P98" s="204">
        <f t="shared" si="49"/>
        <v>148623.56644006894</v>
      </c>
      <c r="Q98" s="204">
        <f t="shared" si="49"/>
        <v>148623.56644006894</v>
      </c>
      <c r="R98" s="204">
        <f t="shared" si="49"/>
        <v>148623.56644006894</v>
      </c>
      <c r="S98" s="204">
        <f t="shared" si="49"/>
        <v>148623.56644006894</v>
      </c>
      <c r="T98" s="204">
        <f t="shared" si="49"/>
        <v>148623.56644006894</v>
      </c>
      <c r="U98" s="204">
        <f t="shared" si="49"/>
        <v>148623.56644006894</v>
      </c>
      <c r="V98" s="204">
        <f t="shared" si="49"/>
        <v>148623.56644006894</v>
      </c>
      <c r="W98" s="204">
        <f t="shared" si="49"/>
        <v>148623.56644006894</v>
      </c>
      <c r="X98" s="204">
        <f t="shared" si="49"/>
        <v>148623.56644006894</v>
      </c>
      <c r="Y98" s="204">
        <f t="shared" si="49"/>
        <v>149497.76044102415</v>
      </c>
      <c r="Z98" s="204">
        <f t="shared" si="49"/>
        <v>149497.76044102415</v>
      </c>
      <c r="AA98" s="204">
        <f t="shared" si="49"/>
        <v>149497.76044102415</v>
      </c>
      <c r="AB98" s="204">
        <f t="shared" si="49"/>
        <v>149497.76044102415</v>
      </c>
      <c r="AC98" s="204">
        <f t="shared" si="49"/>
        <v>149497.76044102415</v>
      </c>
      <c r="AD98" s="204">
        <f t="shared" si="49"/>
        <v>149497.76044102415</v>
      </c>
      <c r="AE98" s="204">
        <f t="shared" si="49"/>
        <v>149497.76044102415</v>
      </c>
      <c r="AF98" s="204">
        <f t="shared" si="49"/>
        <v>149497.76044102415</v>
      </c>
      <c r="AG98" s="204">
        <f t="shared" si="49"/>
        <v>149497.76044102415</v>
      </c>
      <c r="AH98" s="204">
        <f t="shared" si="49"/>
        <v>149497.76044102415</v>
      </c>
      <c r="AI98" s="204">
        <f t="shared" si="49"/>
        <v>149497.76044102415</v>
      </c>
      <c r="AJ98" s="205">
        <f t="shared" si="42"/>
        <v>3935969.6285426463</v>
      </c>
      <c r="AK98" s="4"/>
    </row>
    <row r="99" spans="2:37" ht="14.4" x14ac:dyDescent="0.25">
      <c r="B99" s="377" t="s">
        <v>41</v>
      </c>
      <c r="C99" s="377" t="str">
        <f>+C27</f>
        <v>Sinalização Vertical</v>
      </c>
      <c r="D99" s="188" t="s">
        <v>326</v>
      </c>
      <c r="E99" s="189"/>
      <c r="F99" s="190"/>
      <c r="G99" s="191">
        <f t="shared" ref="G99:AI99" si="50">+G27</f>
        <v>52084.352833333331</v>
      </c>
      <c r="H99" s="191">
        <f t="shared" si="50"/>
        <v>52084.352833333331</v>
      </c>
      <c r="I99" s="191">
        <f t="shared" si="50"/>
        <v>52084.352833333331</v>
      </c>
      <c r="J99" s="191">
        <f t="shared" si="50"/>
        <v>52439.201840666668</v>
      </c>
      <c r="K99" s="191">
        <f t="shared" si="50"/>
        <v>52439.201840666668</v>
      </c>
      <c r="L99" s="191">
        <f t="shared" si="50"/>
        <v>61884.839318500002</v>
      </c>
      <c r="M99" s="191">
        <f t="shared" si="50"/>
        <v>71760.427840749995</v>
      </c>
      <c r="N99" s="191">
        <f t="shared" si="50"/>
        <v>80348.315629083329</v>
      </c>
      <c r="O99" s="191">
        <f t="shared" si="50"/>
        <v>87692.051659666671</v>
      </c>
      <c r="P99" s="191">
        <f t="shared" si="50"/>
        <v>87692.051659666671</v>
      </c>
      <c r="Q99" s="191">
        <f t="shared" si="50"/>
        <v>87692.051659666671</v>
      </c>
      <c r="R99" s="191">
        <f t="shared" si="50"/>
        <v>87692.051659666671</v>
      </c>
      <c r="S99" s="191">
        <f t="shared" si="50"/>
        <v>87692.051659666671</v>
      </c>
      <c r="T99" s="191">
        <f t="shared" si="50"/>
        <v>87692.051659666671</v>
      </c>
      <c r="U99" s="191">
        <f t="shared" si="50"/>
        <v>87692.051659666671</v>
      </c>
      <c r="V99" s="191">
        <f t="shared" si="50"/>
        <v>87692.051659666671</v>
      </c>
      <c r="W99" s="191">
        <f t="shared" si="50"/>
        <v>87692.051659666671</v>
      </c>
      <c r="X99" s="191">
        <f t="shared" si="50"/>
        <v>87692.051659666671</v>
      </c>
      <c r="Y99" s="191">
        <f t="shared" si="50"/>
        <v>88207.850515316182</v>
      </c>
      <c r="Z99" s="191">
        <f t="shared" si="50"/>
        <v>88207.850515316182</v>
      </c>
      <c r="AA99" s="191">
        <f t="shared" si="50"/>
        <v>88207.850515316182</v>
      </c>
      <c r="AB99" s="191">
        <f t="shared" si="50"/>
        <v>88207.850515316182</v>
      </c>
      <c r="AC99" s="191">
        <f t="shared" si="50"/>
        <v>88207.850515316182</v>
      </c>
      <c r="AD99" s="191">
        <f t="shared" si="50"/>
        <v>88207.850515316182</v>
      </c>
      <c r="AE99" s="191">
        <f t="shared" si="50"/>
        <v>88207.850515316182</v>
      </c>
      <c r="AF99" s="191">
        <f t="shared" si="50"/>
        <v>88207.850515316182</v>
      </c>
      <c r="AG99" s="191">
        <f t="shared" si="50"/>
        <v>88207.850515316182</v>
      </c>
      <c r="AH99" s="191">
        <f t="shared" si="50"/>
        <v>88207.850515316182</v>
      </c>
      <c r="AI99" s="191">
        <f t="shared" si="50"/>
        <v>88207.850515316182</v>
      </c>
      <c r="AJ99" s="202">
        <f t="shared" si="42"/>
        <v>2322331.9172348119</v>
      </c>
    </row>
    <row r="100" spans="2:37" ht="14.4" x14ac:dyDescent="0.25">
      <c r="B100" s="378"/>
      <c r="C100" s="378"/>
      <c r="D100" s="192" t="s">
        <v>327</v>
      </c>
      <c r="E100" s="193">
        <v>6.3299999999999995E-2</v>
      </c>
      <c r="F100" s="194"/>
      <c r="G100" s="195">
        <f t="shared" ref="G100:AI100" si="51">+G99*$E100</f>
        <v>3296.9395343499996</v>
      </c>
      <c r="H100" s="195">
        <f t="shared" si="51"/>
        <v>3296.9395343499996</v>
      </c>
      <c r="I100" s="195">
        <f t="shared" si="51"/>
        <v>3296.9395343499996</v>
      </c>
      <c r="J100" s="195">
        <f t="shared" si="51"/>
        <v>3319.4014765141997</v>
      </c>
      <c r="K100" s="195">
        <f t="shared" si="51"/>
        <v>3319.4014765141997</v>
      </c>
      <c r="L100" s="195">
        <f t="shared" si="51"/>
        <v>3917.31032886105</v>
      </c>
      <c r="M100" s="195">
        <f t="shared" si="51"/>
        <v>4542.4350823194745</v>
      </c>
      <c r="N100" s="195">
        <f t="shared" si="51"/>
        <v>5086.0483793209742</v>
      </c>
      <c r="O100" s="195">
        <f t="shared" si="51"/>
        <v>5550.9068700568996</v>
      </c>
      <c r="P100" s="195">
        <f t="shared" si="51"/>
        <v>5550.9068700568996</v>
      </c>
      <c r="Q100" s="195">
        <f t="shared" si="51"/>
        <v>5550.9068700568996</v>
      </c>
      <c r="R100" s="195">
        <f t="shared" si="51"/>
        <v>5550.9068700568996</v>
      </c>
      <c r="S100" s="195">
        <f t="shared" si="51"/>
        <v>5550.9068700568996</v>
      </c>
      <c r="T100" s="195">
        <f t="shared" si="51"/>
        <v>5550.9068700568996</v>
      </c>
      <c r="U100" s="195">
        <f t="shared" si="51"/>
        <v>5550.9068700568996</v>
      </c>
      <c r="V100" s="195">
        <f t="shared" si="51"/>
        <v>5550.9068700568996</v>
      </c>
      <c r="W100" s="195">
        <f t="shared" si="51"/>
        <v>5550.9068700568996</v>
      </c>
      <c r="X100" s="195">
        <f t="shared" si="51"/>
        <v>5550.9068700568996</v>
      </c>
      <c r="Y100" s="195">
        <f t="shared" si="51"/>
        <v>5583.5569376195135</v>
      </c>
      <c r="Z100" s="195">
        <f t="shared" si="51"/>
        <v>5583.5569376195135</v>
      </c>
      <c r="AA100" s="195">
        <f t="shared" si="51"/>
        <v>5583.5569376195135</v>
      </c>
      <c r="AB100" s="195">
        <f t="shared" si="51"/>
        <v>5583.5569376195135</v>
      </c>
      <c r="AC100" s="195">
        <f t="shared" si="51"/>
        <v>5583.5569376195135</v>
      </c>
      <c r="AD100" s="195">
        <f t="shared" si="51"/>
        <v>5583.5569376195135</v>
      </c>
      <c r="AE100" s="195">
        <f t="shared" si="51"/>
        <v>5583.5569376195135</v>
      </c>
      <c r="AF100" s="195">
        <f t="shared" si="51"/>
        <v>5583.5569376195135</v>
      </c>
      <c r="AG100" s="195">
        <f t="shared" si="51"/>
        <v>5583.5569376195135</v>
      </c>
      <c r="AH100" s="195">
        <f t="shared" si="51"/>
        <v>5583.5569376195135</v>
      </c>
      <c r="AI100" s="195">
        <f t="shared" si="51"/>
        <v>5583.5569376195135</v>
      </c>
      <c r="AJ100" s="203">
        <f t="shared" si="42"/>
        <v>147003.61036096362</v>
      </c>
    </row>
    <row r="101" spans="2:37" ht="14.4" x14ac:dyDescent="0.25">
      <c r="B101" s="378"/>
      <c r="C101" s="378"/>
      <c r="D101" s="192" t="s">
        <v>328</v>
      </c>
      <c r="E101" s="193">
        <v>5.0000000000000001E-3</v>
      </c>
      <c r="F101" s="194"/>
      <c r="G101" s="195">
        <f>+G99*$E101</f>
        <v>260.42176416666666</v>
      </c>
      <c r="H101" s="195">
        <f t="shared" ref="H101:AI101" si="52">+H99*$E101</f>
        <v>260.42176416666666</v>
      </c>
      <c r="I101" s="195">
        <f t="shared" si="52"/>
        <v>260.42176416666666</v>
      </c>
      <c r="J101" s="195">
        <f t="shared" si="52"/>
        <v>262.19600920333335</v>
      </c>
      <c r="K101" s="195">
        <f t="shared" si="52"/>
        <v>262.19600920333335</v>
      </c>
      <c r="L101" s="195">
        <f t="shared" si="52"/>
        <v>309.42419659250004</v>
      </c>
      <c r="M101" s="195">
        <f t="shared" si="52"/>
        <v>358.80213920374996</v>
      </c>
      <c r="N101" s="195">
        <f t="shared" si="52"/>
        <v>401.74157814541667</v>
      </c>
      <c r="O101" s="195">
        <f t="shared" si="52"/>
        <v>438.46025829833337</v>
      </c>
      <c r="P101" s="195">
        <f t="shared" si="52"/>
        <v>438.46025829833337</v>
      </c>
      <c r="Q101" s="195">
        <f t="shared" si="52"/>
        <v>438.46025829833337</v>
      </c>
      <c r="R101" s="195">
        <f t="shared" si="52"/>
        <v>438.46025829833337</v>
      </c>
      <c r="S101" s="195">
        <f t="shared" si="52"/>
        <v>438.46025829833337</v>
      </c>
      <c r="T101" s="195">
        <f t="shared" si="52"/>
        <v>438.46025829833337</v>
      </c>
      <c r="U101" s="195">
        <f t="shared" si="52"/>
        <v>438.46025829833337</v>
      </c>
      <c r="V101" s="195">
        <f t="shared" si="52"/>
        <v>438.46025829833337</v>
      </c>
      <c r="W101" s="195">
        <f t="shared" si="52"/>
        <v>438.46025829833337</v>
      </c>
      <c r="X101" s="195">
        <f t="shared" si="52"/>
        <v>438.46025829833337</v>
      </c>
      <c r="Y101" s="195">
        <f t="shared" si="52"/>
        <v>441.03925257658091</v>
      </c>
      <c r="Z101" s="195">
        <f t="shared" si="52"/>
        <v>441.03925257658091</v>
      </c>
      <c r="AA101" s="195">
        <f t="shared" si="52"/>
        <v>441.03925257658091</v>
      </c>
      <c r="AB101" s="195">
        <f t="shared" si="52"/>
        <v>441.03925257658091</v>
      </c>
      <c r="AC101" s="195">
        <f t="shared" si="52"/>
        <v>441.03925257658091</v>
      </c>
      <c r="AD101" s="195">
        <f t="shared" si="52"/>
        <v>441.03925257658091</v>
      </c>
      <c r="AE101" s="195">
        <f t="shared" si="52"/>
        <v>441.03925257658091</v>
      </c>
      <c r="AF101" s="195">
        <f t="shared" si="52"/>
        <v>441.03925257658091</v>
      </c>
      <c r="AG101" s="195">
        <f t="shared" si="52"/>
        <v>441.03925257658091</v>
      </c>
      <c r="AH101" s="195">
        <f t="shared" si="52"/>
        <v>441.03925257658091</v>
      </c>
      <c r="AI101" s="195">
        <f t="shared" si="52"/>
        <v>441.03925257658091</v>
      </c>
      <c r="AJ101" s="203">
        <f t="shared" si="42"/>
        <v>11611.659586174052</v>
      </c>
    </row>
    <row r="102" spans="2:37" ht="14.4" x14ac:dyDescent="0.25">
      <c r="B102" s="378"/>
      <c r="C102" s="378"/>
      <c r="D102" s="192" t="s">
        <v>329</v>
      </c>
      <c r="E102" s="193">
        <v>2.8000000000000001E-2</v>
      </c>
      <c r="F102" s="194"/>
      <c r="G102" s="195">
        <f>+G99*$E102</f>
        <v>1458.3618793333333</v>
      </c>
      <c r="H102" s="195">
        <f t="shared" ref="H102:AI102" si="53">+H99*$E102</f>
        <v>1458.3618793333333</v>
      </c>
      <c r="I102" s="195">
        <f t="shared" si="53"/>
        <v>1458.3618793333333</v>
      </c>
      <c r="J102" s="195">
        <f t="shared" si="53"/>
        <v>1468.2976515386667</v>
      </c>
      <c r="K102" s="195">
        <f t="shared" si="53"/>
        <v>1468.2976515386667</v>
      </c>
      <c r="L102" s="195">
        <f t="shared" si="53"/>
        <v>1732.775500918</v>
      </c>
      <c r="M102" s="195">
        <f t="shared" si="53"/>
        <v>2009.2919795409998</v>
      </c>
      <c r="N102" s="195">
        <f t="shared" si="53"/>
        <v>2249.7528376143332</v>
      </c>
      <c r="O102" s="195">
        <f t="shared" si="53"/>
        <v>2455.3774464706667</v>
      </c>
      <c r="P102" s="195">
        <f t="shared" si="53"/>
        <v>2455.3774464706667</v>
      </c>
      <c r="Q102" s="195">
        <f t="shared" si="53"/>
        <v>2455.3774464706667</v>
      </c>
      <c r="R102" s="195">
        <f t="shared" si="53"/>
        <v>2455.3774464706667</v>
      </c>
      <c r="S102" s="195">
        <f t="shared" si="53"/>
        <v>2455.3774464706667</v>
      </c>
      <c r="T102" s="195">
        <f t="shared" si="53"/>
        <v>2455.3774464706667</v>
      </c>
      <c r="U102" s="195">
        <f t="shared" si="53"/>
        <v>2455.3774464706667</v>
      </c>
      <c r="V102" s="195">
        <f t="shared" si="53"/>
        <v>2455.3774464706667</v>
      </c>
      <c r="W102" s="195">
        <f t="shared" si="53"/>
        <v>2455.3774464706667</v>
      </c>
      <c r="X102" s="195">
        <f t="shared" si="53"/>
        <v>2455.3774464706667</v>
      </c>
      <c r="Y102" s="195">
        <f t="shared" si="53"/>
        <v>2469.8198144288531</v>
      </c>
      <c r="Z102" s="195">
        <f t="shared" si="53"/>
        <v>2469.8198144288531</v>
      </c>
      <c r="AA102" s="195">
        <f t="shared" si="53"/>
        <v>2469.8198144288531</v>
      </c>
      <c r="AB102" s="195">
        <f t="shared" si="53"/>
        <v>2469.8198144288531</v>
      </c>
      <c r="AC102" s="195">
        <f t="shared" si="53"/>
        <v>2469.8198144288531</v>
      </c>
      <c r="AD102" s="195">
        <f t="shared" si="53"/>
        <v>2469.8198144288531</v>
      </c>
      <c r="AE102" s="195">
        <f t="shared" si="53"/>
        <v>2469.8198144288531</v>
      </c>
      <c r="AF102" s="195">
        <f t="shared" si="53"/>
        <v>2469.8198144288531</v>
      </c>
      <c r="AG102" s="195">
        <f t="shared" si="53"/>
        <v>2469.8198144288531</v>
      </c>
      <c r="AH102" s="195">
        <f t="shared" si="53"/>
        <v>2469.8198144288531</v>
      </c>
      <c r="AI102" s="195">
        <f t="shared" si="53"/>
        <v>2469.8198144288531</v>
      </c>
      <c r="AJ102" s="203">
        <f t="shared" si="42"/>
        <v>65025.293682574724</v>
      </c>
    </row>
    <row r="103" spans="2:37" ht="14.4" x14ac:dyDescent="0.25">
      <c r="B103" s="378"/>
      <c r="C103" s="378"/>
      <c r="D103" s="192" t="s">
        <v>330</v>
      </c>
      <c r="E103" s="193">
        <v>5.0000000000000001E-3</v>
      </c>
      <c r="F103" s="194"/>
      <c r="G103" s="195">
        <f>+G99*$E103</f>
        <v>260.42176416666666</v>
      </c>
      <c r="H103" s="195">
        <f t="shared" ref="H103:AI103" si="54">+H99*$E103</f>
        <v>260.42176416666666</v>
      </c>
      <c r="I103" s="195">
        <f t="shared" si="54"/>
        <v>260.42176416666666</v>
      </c>
      <c r="J103" s="195">
        <f t="shared" si="54"/>
        <v>262.19600920333335</v>
      </c>
      <c r="K103" s="195">
        <f t="shared" si="54"/>
        <v>262.19600920333335</v>
      </c>
      <c r="L103" s="195">
        <f t="shared" si="54"/>
        <v>309.42419659250004</v>
      </c>
      <c r="M103" s="195">
        <f t="shared" si="54"/>
        <v>358.80213920374996</v>
      </c>
      <c r="N103" s="195">
        <f t="shared" si="54"/>
        <v>401.74157814541667</v>
      </c>
      <c r="O103" s="195">
        <f t="shared" si="54"/>
        <v>438.46025829833337</v>
      </c>
      <c r="P103" s="195">
        <f t="shared" si="54"/>
        <v>438.46025829833337</v>
      </c>
      <c r="Q103" s="195">
        <f t="shared" si="54"/>
        <v>438.46025829833337</v>
      </c>
      <c r="R103" s="195">
        <f t="shared" si="54"/>
        <v>438.46025829833337</v>
      </c>
      <c r="S103" s="195">
        <f t="shared" si="54"/>
        <v>438.46025829833337</v>
      </c>
      <c r="T103" s="195">
        <f t="shared" si="54"/>
        <v>438.46025829833337</v>
      </c>
      <c r="U103" s="195">
        <f t="shared" si="54"/>
        <v>438.46025829833337</v>
      </c>
      <c r="V103" s="195">
        <f t="shared" si="54"/>
        <v>438.46025829833337</v>
      </c>
      <c r="W103" s="195">
        <f t="shared" si="54"/>
        <v>438.46025829833337</v>
      </c>
      <c r="X103" s="195">
        <f t="shared" si="54"/>
        <v>438.46025829833337</v>
      </c>
      <c r="Y103" s="195">
        <f t="shared" si="54"/>
        <v>441.03925257658091</v>
      </c>
      <c r="Z103" s="195">
        <f t="shared" si="54"/>
        <v>441.03925257658091</v>
      </c>
      <c r="AA103" s="195">
        <f t="shared" si="54"/>
        <v>441.03925257658091</v>
      </c>
      <c r="AB103" s="195">
        <f t="shared" si="54"/>
        <v>441.03925257658091</v>
      </c>
      <c r="AC103" s="195">
        <f t="shared" si="54"/>
        <v>441.03925257658091</v>
      </c>
      <c r="AD103" s="195">
        <f t="shared" si="54"/>
        <v>441.03925257658091</v>
      </c>
      <c r="AE103" s="195">
        <f t="shared" si="54"/>
        <v>441.03925257658091</v>
      </c>
      <c r="AF103" s="195">
        <f t="shared" si="54"/>
        <v>441.03925257658091</v>
      </c>
      <c r="AG103" s="195">
        <f t="shared" si="54"/>
        <v>441.03925257658091</v>
      </c>
      <c r="AH103" s="195">
        <f t="shared" si="54"/>
        <v>441.03925257658091</v>
      </c>
      <c r="AI103" s="195">
        <f t="shared" si="54"/>
        <v>441.03925257658091</v>
      </c>
      <c r="AJ103" s="203">
        <f t="shared" si="42"/>
        <v>11611.659586174052</v>
      </c>
    </row>
    <row r="104" spans="2:37" ht="14.4" x14ac:dyDescent="0.25">
      <c r="B104" s="378"/>
      <c r="C104" s="378"/>
      <c r="D104" s="192" t="s">
        <v>331</v>
      </c>
      <c r="E104" s="196"/>
      <c r="F104" s="194"/>
      <c r="G104" s="195">
        <f t="shared" ref="G104:AI104" si="55">+SUBTOTAL(9,G99:G103)</f>
        <v>57360.497775349999</v>
      </c>
      <c r="H104" s="195">
        <f t="shared" si="55"/>
        <v>57360.497775349999</v>
      </c>
      <c r="I104" s="195">
        <f t="shared" si="55"/>
        <v>57360.497775349999</v>
      </c>
      <c r="J104" s="195">
        <f t="shared" si="55"/>
        <v>57751.292987126202</v>
      </c>
      <c r="K104" s="195">
        <f t="shared" si="55"/>
        <v>57751.292987126202</v>
      </c>
      <c r="L104" s="195">
        <f t="shared" si="55"/>
        <v>68153.773541464048</v>
      </c>
      <c r="M104" s="195">
        <f t="shared" si="55"/>
        <v>79029.759181017958</v>
      </c>
      <c r="N104" s="195">
        <f t="shared" si="55"/>
        <v>88487.600002309468</v>
      </c>
      <c r="O104" s="195">
        <f t="shared" si="55"/>
        <v>96575.256492790912</v>
      </c>
      <c r="P104" s="195">
        <f t="shared" si="55"/>
        <v>96575.256492790912</v>
      </c>
      <c r="Q104" s="195">
        <f t="shared" si="55"/>
        <v>96575.256492790912</v>
      </c>
      <c r="R104" s="195">
        <f t="shared" si="55"/>
        <v>96575.256492790912</v>
      </c>
      <c r="S104" s="195">
        <f t="shared" si="55"/>
        <v>96575.256492790912</v>
      </c>
      <c r="T104" s="195">
        <f t="shared" si="55"/>
        <v>96575.256492790912</v>
      </c>
      <c r="U104" s="195">
        <f t="shared" si="55"/>
        <v>96575.256492790912</v>
      </c>
      <c r="V104" s="195">
        <f t="shared" si="55"/>
        <v>96575.256492790912</v>
      </c>
      <c r="W104" s="195">
        <f t="shared" si="55"/>
        <v>96575.256492790912</v>
      </c>
      <c r="X104" s="195">
        <f t="shared" si="55"/>
        <v>96575.256492790912</v>
      </c>
      <c r="Y104" s="195">
        <f t="shared" si="55"/>
        <v>97143.305772517706</v>
      </c>
      <c r="Z104" s="195">
        <f t="shared" si="55"/>
        <v>97143.305772517706</v>
      </c>
      <c r="AA104" s="195">
        <f t="shared" si="55"/>
        <v>97143.305772517706</v>
      </c>
      <c r="AB104" s="195">
        <f t="shared" si="55"/>
        <v>97143.305772517706</v>
      </c>
      <c r="AC104" s="195">
        <f t="shared" si="55"/>
        <v>97143.305772517706</v>
      </c>
      <c r="AD104" s="195">
        <f t="shared" si="55"/>
        <v>97143.305772517706</v>
      </c>
      <c r="AE104" s="195">
        <f t="shared" si="55"/>
        <v>97143.305772517706</v>
      </c>
      <c r="AF104" s="195">
        <f t="shared" si="55"/>
        <v>97143.305772517706</v>
      </c>
      <c r="AG104" s="195">
        <f t="shared" si="55"/>
        <v>97143.305772517706</v>
      </c>
      <c r="AH104" s="195">
        <f t="shared" si="55"/>
        <v>97143.305772517706</v>
      </c>
      <c r="AI104" s="195">
        <f t="shared" si="55"/>
        <v>97143.305772517706</v>
      </c>
      <c r="AJ104" s="203">
        <f t="shared" si="42"/>
        <v>2557584.1404506993</v>
      </c>
    </row>
    <row r="105" spans="2:37" ht="14.4" x14ac:dyDescent="0.25">
      <c r="B105" s="378"/>
      <c r="C105" s="378"/>
      <c r="D105" s="192" t="s">
        <v>332</v>
      </c>
      <c r="E105" s="197">
        <f>BDI!G5</f>
        <v>0.21340000000000001</v>
      </c>
      <c r="F105" s="194"/>
      <c r="G105" s="195">
        <f t="shared" ref="G105:AI105" si="56">+G104*$E105</f>
        <v>12240.730225259691</v>
      </c>
      <c r="H105" s="195">
        <f t="shared" si="56"/>
        <v>12240.730225259691</v>
      </c>
      <c r="I105" s="195">
        <f t="shared" si="56"/>
        <v>12240.730225259691</v>
      </c>
      <c r="J105" s="195">
        <f t="shared" si="56"/>
        <v>12324.125923452732</v>
      </c>
      <c r="K105" s="195">
        <f t="shared" si="56"/>
        <v>12324.125923452732</v>
      </c>
      <c r="L105" s="195">
        <f t="shared" si="56"/>
        <v>14544.015273748428</v>
      </c>
      <c r="M105" s="195">
        <f t="shared" si="56"/>
        <v>16864.950609229232</v>
      </c>
      <c r="N105" s="195">
        <f t="shared" si="56"/>
        <v>18883.253840492842</v>
      </c>
      <c r="O105" s="195">
        <f t="shared" si="56"/>
        <v>20609.159735561581</v>
      </c>
      <c r="P105" s="195">
        <f t="shared" si="56"/>
        <v>20609.159735561581</v>
      </c>
      <c r="Q105" s="195">
        <f t="shared" si="56"/>
        <v>20609.159735561581</v>
      </c>
      <c r="R105" s="195">
        <f t="shared" si="56"/>
        <v>20609.159735561581</v>
      </c>
      <c r="S105" s="195">
        <f t="shared" si="56"/>
        <v>20609.159735561581</v>
      </c>
      <c r="T105" s="195">
        <f t="shared" si="56"/>
        <v>20609.159735561581</v>
      </c>
      <c r="U105" s="195">
        <f t="shared" si="56"/>
        <v>20609.159735561581</v>
      </c>
      <c r="V105" s="195">
        <f t="shared" si="56"/>
        <v>20609.159735561581</v>
      </c>
      <c r="W105" s="195">
        <f t="shared" si="56"/>
        <v>20609.159735561581</v>
      </c>
      <c r="X105" s="195">
        <f t="shared" si="56"/>
        <v>20609.159735561581</v>
      </c>
      <c r="Y105" s="195">
        <f t="shared" si="56"/>
        <v>20730.381451855279</v>
      </c>
      <c r="Z105" s="195">
        <f t="shared" si="56"/>
        <v>20730.381451855279</v>
      </c>
      <c r="AA105" s="195">
        <f t="shared" si="56"/>
        <v>20730.381451855279</v>
      </c>
      <c r="AB105" s="195">
        <f t="shared" si="56"/>
        <v>20730.381451855279</v>
      </c>
      <c r="AC105" s="195">
        <f t="shared" si="56"/>
        <v>20730.381451855279</v>
      </c>
      <c r="AD105" s="195">
        <f t="shared" si="56"/>
        <v>20730.381451855279</v>
      </c>
      <c r="AE105" s="195">
        <f t="shared" si="56"/>
        <v>20730.381451855279</v>
      </c>
      <c r="AF105" s="195">
        <f t="shared" si="56"/>
        <v>20730.381451855279</v>
      </c>
      <c r="AG105" s="195">
        <f t="shared" si="56"/>
        <v>20730.381451855279</v>
      </c>
      <c r="AH105" s="195">
        <f t="shared" si="56"/>
        <v>20730.381451855279</v>
      </c>
      <c r="AI105" s="195">
        <f t="shared" si="56"/>
        <v>20730.381451855279</v>
      </c>
      <c r="AJ105" s="203">
        <f t="shared" si="42"/>
        <v>545788.45557217905</v>
      </c>
    </row>
    <row r="106" spans="2:37" ht="14.4" x14ac:dyDescent="0.25">
      <c r="B106" s="378"/>
      <c r="C106" s="378"/>
      <c r="D106" s="192" t="s">
        <v>333</v>
      </c>
      <c r="E106" s="196"/>
      <c r="F106" s="194"/>
      <c r="G106" s="204">
        <f t="shared" ref="G106:AI106" si="57">+SUM(G104:G105)</f>
        <v>69601.228000609684</v>
      </c>
      <c r="H106" s="204">
        <f t="shared" si="57"/>
        <v>69601.228000609684</v>
      </c>
      <c r="I106" s="204">
        <f t="shared" si="57"/>
        <v>69601.228000609684</v>
      </c>
      <c r="J106" s="204">
        <f t="shared" si="57"/>
        <v>70075.418910578941</v>
      </c>
      <c r="K106" s="204">
        <f t="shared" si="57"/>
        <v>70075.418910578941</v>
      </c>
      <c r="L106" s="204">
        <f t="shared" si="57"/>
        <v>82697.78881521248</v>
      </c>
      <c r="M106" s="204">
        <f t="shared" si="57"/>
        <v>95894.709790247187</v>
      </c>
      <c r="N106" s="204">
        <f t="shared" si="57"/>
        <v>107370.85384280232</v>
      </c>
      <c r="O106" s="204">
        <f t="shared" si="57"/>
        <v>117184.41622835249</v>
      </c>
      <c r="P106" s="204">
        <f t="shared" si="57"/>
        <v>117184.41622835249</v>
      </c>
      <c r="Q106" s="204">
        <f t="shared" si="57"/>
        <v>117184.41622835249</v>
      </c>
      <c r="R106" s="204">
        <f t="shared" si="57"/>
        <v>117184.41622835249</v>
      </c>
      <c r="S106" s="204">
        <f t="shared" si="57"/>
        <v>117184.41622835249</v>
      </c>
      <c r="T106" s="204">
        <f t="shared" si="57"/>
        <v>117184.41622835249</v>
      </c>
      <c r="U106" s="204">
        <f t="shared" si="57"/>
        <v>117184.41622835249</v>
      </c>
      <c r="V106" s="204">
        <f t="shared" si="57"/>
        <v>117184.41622835249</v>
      </c>
      <c r="W106" s="204">
        <f t="shared" si="57"/>
        <v>117184.41622835249</v>
      </c>
      <c r="X106" s="204">
        <f t="shared" si="57"/>
        <v>117184.41622835249</v>
      </c>
      <c r="Y106" s="204">
        <f t="shared" si="57"/>
        <v>117873.68722437299</v>
      </c>
      <c r="Z106" s="204">
        <f t="shared" si="57"/>
        <v>117873.68722437299</v>
      </c>
      <c r="AA106" s="204">
        <f t="shared" si="57"/>
        <v>117873.68722437299</v>
      </c>
      <c r="AB106" s="204">
        <f t="shared" si="57"/>
        <v>117873.68722437299</v>
      </c>
      <c r="AC106" s="204">
        <f t="shared" si="57"/>
        <v>117873.68722437299</v>
      </c>
      <c r="AD106" s="204">
        <f t="shared" si="57"/>
        <v>117873.68722437299</v>
      </c>
      <c r="AE106" s="204">
        <f t="shared" si="57"/>
        <v>117873.68722437299</v>
      </c>
      <c r="AF106" s="204">
        <f t="shared" si="57"/>
        <v>117873.68722437299</v>
      </c>
      <c r="AG106" s="204">
        <f t="shared" si="57"/>
        <v>117873.68722437299</v>
      </c>
      <c r="AH106" s="204">
        <f t="shared" si="57"/>
        <v>117873.68722437299</v>
      </c>
      <c r="AI106" s="204">
        <f t="shared" si="57"/>
        <v>117873.68722437299</v>
      </c>
      <c r="AJ106" s="205">
        <f t="shared" si="42"/>
        <v>3103372.5960228788</v>
      </c>
      <c r="AK106" s="4"/>
    </row>
    <row r="107" spans="2:37" ht="14.4" x14ac:dyDescent="0.25">
      <c r="B107" s="377" t="s">
        <v>42</v>
      </c>
      <c r="C107" s="377" t="str">
        <f>+C30</f>
        <v>Dispositivos de Proteção e Segurança</v>
      </c>
      <c r="D107" s="188" t="s">
        <v>326</v>
      </c>
      <c r="E107" s="189"/>
      <c r="F107" s="190"/>
      <c r="G107" s="191">
        <f t="shared" ref="G107:AI107" si="58">+G30</f>
        <v>250662.87749999997</v>
      </c>
      <c r="H107" s="191">
        <f t="shared" si="58"/>
        <v>250662.87749999997</v>
      </c>
      <c r="I107" s="191">
        <f t="shared" si="58"/>
        <v>250662.87749999997</v>
      </c>
      <c r="J107" s="191">
        <f t="shared" si="58"/>
        <v>250662.87749999997</v>
      </c>
      <c r="K107" s="191">
        <f t="shared" si="58"/>
        <v>250662.87749999997</v>
      </c>
      <c r="L107" s="191">
        <f t="shared" si="58"/>
        <v>250662.87749999997</v>
      </c>
      <c r="M107" s="191">
        <f t="shared" si="58"/>
        <v>250662.87749999997</v>
      </c>
      <c r="N107" s="191">
        <f t="shared" si="58"/>
        <v>250662.87749999997</v>
      </c>
      <c r="O107" s="191">
        <f t="shared" si="58"/>
        <v>250662.87749999997</v>
      </c>
      <c r="P107" s="191">
        <f t="shared" si="58"/>
        <v>250662.87749999997</v>
      </c>
      <c r="Q107" s="191">
        <f t="shared" si="58"/>
        <v>250662.87749999997</v>
      </c>
      <c r="R107" s="191">
        <f t="shared" si="58"/>
        <v>250662.87749999997</v>
      </c>
      <c r="S107" s="191">
        <f t="shared" si="58"/>
        <v>250662.87749999997</v>
      </c>
      <c r="T107" s="191">
        <f t="shared" si="58"/>
        <v>250662.87749999997</v>
      </c>
      <c r="U107" s="191">
        <f t="shared" si="58"/>
        <v>250662.87749999997</v>
      </c>
      <c r="V107" s="191">
        <f t="shared" si="58"/>
        <v>250662.87749999997</v>
      </c>
      <c r="W107" s="191">
        <f t="shared" si="58"/>
        <v>250662.87749999997</v>
      </c>
      <c r="X107" s="191">
        <f t="shared" si="58"/>
        <v>250662.87749999997</v>
      </c>
      <c r="Y107" s="191">
        <f t="shared" si="58"/>
        <v>250662.87749999997</v>
      </c>
      <c r="Z107" s="191">
        <f t="shared" si="58"/>
        <v>250662.87749999997</v>
      </c>
      <c r="AA107" s="191">
        <f t="shared" si="58"/>
        <v>250662.87749999997</v>
      </c>
      <c r="AB107" s="191">
        <f t="shared" si="58"/>
        <v>250662.87749999997</v>
      </c>
      <c r="AC107" s="191">
        <f t="shared" si="58"/>
        <v>250662.87749999997</v>
      </c>
      <c r="AD107" s="191">
        <f t="shared" si="58"/>
        <v>250662.87749999997</v>
      </c>
      <c r="AE107" s="191">
        <f t="shared" si="58"/>
        <v>250662.87749999997</v>
      </c>
      <c r="AF107" s="191">
        <f t="shared" si="58"/>
        <v>250662.87749999997</v>
      </c>
      <c r="AG107" s="191">
        <f t="shared" si="58"/>
        <v>250662.87749999997</v>
      </c>
      <c r="AH107" s="191">
        <f t="shared" si="58"/>
        <v>250662.87749999997</v>
      </c>
      <c r="AI107" s="191">
        <f t="shared" si="58"/>
        <v>250662.87749999997</v>
      </c>
      <c r="AJ107" s="202">
        <f t="shared" si="42"/>
        <v>7269223.4475000044</v>
      </c>
    </row>
    <row r="108" spans="2:37" ht="14.4" x14ac:dyDescent="0.25">
      <c r="B108" s="378"/>
      <c r="C108" s="378"/>
      <c r="D108" s="192" t="s">
        <v>327</v>
      </c>
      <c r="E108" s="193">
        <v>6.3299999999999995E-2</v>
      </c>
      <c r="F108" s="194"/>
      <c r="G108" s="195">
        <f t="shared" ref="G108:AI108" si="59">+G107*$E108</f>
        <v>15866.960145749998</v>
      </c>
      <c r="H108" s="195">
        <f t="shared" si="59"/>
        <v>15866.960145749998</v>
      </c>
      <c r="I108" s="195">
        <f t="shared" si="59"/>
        <v>15866.960145749998</v>
      </c>
      <c r="J108" s="195">
        <f t="shared" si="59"/>
        <v>15866.960145749998</v>
      </c>
      <c r="K108" s="195">
        <f t="shared" si="59"/>
        <v>15866.960145749998</v>
      </c>
      <c r="L108" s="195">
        <f t="shared" si="59"/>
        <v>15866.960145749998</v>
      </c>
      <c r="M108" s="195">
        <f t="shared" si="59"/>
        <v>15866.960145749998</v>
      </c>
      <c r="N108" s="195">
        <f t="shared" si="59"/>
        <v>15866.960145749998</v>
      </c>
      <c r="O108" s="195">
        <f t="shared" si="59"/>
        <v>15866.960145749998</v>
      </c>
      <c r="P108" s="195">
        <f t="shared" si="59"/>
        <v>15866.960145749998</v>
      </c>
      <c r="Q108" s="195">
        <f t="shared" si="59"/>
        <v>15866.960145749998</v>
      </c>
      <c r="R108" s="195">
        <f t="shared" si="59"/>
        <v>15866.960145749998</v>
      </c>
      <c r="S108" s="195">
        <f t="shared" si="59"/>
        <v>15866.960145749998</v>
      </c>
      <c r="T108" s="195">
        <f t="shared" si="59"/>
        <v>15866.960145749998</v>
      </c>
      <c r="U108" s="195">
        <f t="shared" si="59"/>
        <v>15866.960145749998</v>
      </c>
      <c r="V108" s="195">
        <f t="shared" si="59"/>
        <v>15866.960145749998</v>
      </c>
      <c r="W108" s="195">
        <f t="shared" si="59"/>
        <v>15866.960145749998</v>
      </c>
      <c r="X108" s="195">
        <f t="shared" si="59"/>
        <v>15866.960145749998</v>
      </c>
      <c r="Y108" s="195">
        <f t="shared" si="59"/>
        <v>15866.960145749998</v>
      </c>
      <c r="Z108" s="195">
        <f t="shared" si="59"/>
        <v>15866.960145749998</v>
      </c>
      <c r="AA108" s="195">
        <f t="shared" si="59"/>
        <v>15866.960145749998</v>
      </c>
      <c r="AB108" s="195">
        <f t="shared" si="59"/>
        <v>15866.960145749998</v>
      </c>
      <c r="AC108" s="195">
        <f t="shared" si="59"/>
        <v>15866.960145749998</v>
      </c>
      <c r="AD108" s="195">
        <f t="shared" si="59"/>
        <v>15866.960145749998</v>
      </c>
      <c r="AE108" s="195">
        <f t="shared" si="59"/>
        <v>15866.960145749998</v>
      </c>
      <c r="AF108" s="195">
        <f t="shared" si="59"/>
        <v>15866.960145749998</v>
      </c>
      <c r="AG108" s="195">
        <f t="shared" si="59"/>
        <v>15866.960145749998</v>
      </c>
      <c r="AH108" s="195">
        <f t="shared" si="59"/>
        <v>15866.960145749998</v>
      </c>
      <c r="AI108" s="195">
        <f t="shared" si="59"/>
        <v>15866.960145749998</v>
      </c>
      <c r="AJ108" s="203">
        <f t="shared" si="42"/>
        <v>460141.84422675025</v>
      </c>
    </row>
    <row r="109" spans="2:37" ht="14.4" x14ac:dyDescent="0.25">
      <c r="B109" s="378"/>
      <c r="C109" s="378"/>
      <c r="D109" s="192" t="s">
        <v>328</v>
      </c>
      <c r="E109" s="193">
        <v>5.0000000000000001E-3</v>
      </c>
      <c r="F109" s="194"/>
      <c r="G109" s="195">
        <f>+G107*$E109</f>
        <v>1253.3143874999998</v>
      </c>
      <c r="H109" s="195">
        <f t="shared" ref="H109:AI109" si="60">+H107*$E109</f>
        <v>1253.3143874999998</v>
      </c>
      <c r="I109" s="195">
        <f t="shared" si="60"/>
        <v>1253.3143874999998</v>
      </c>
      <c r="J109" s="195">
        <f t="shared" si="60"/>
        <v>1253.3143874999998</v>
      </c>
      <c r="K109" s="195">
        <f t="shared" si="60"/>
        <v>1253.3143874999998</v>
      </c>
      <c r="L109" s="195">
        <f t="shared" si="60"/>
        <v>1253.3143874999998</v>
      </c>
      <c r="M109" s="195">
        <f t="shared" si="60"/>
        <v>1253.3143874999998</v>
      </c>
      <c r="N109" s="195">
        <f t="shared" si="60"/>
        <v>1253.3143874999998</v>
      </c>
      <c r="O109" s="195">
        <f t="shared" si="60"/>
        <v>1253.3143874999998</v>
      </c>
      <c r="P109" s="195">
        <f t="shared" si="60"/>
        <v>1253.3143874999998</v>
      </c>
      <c r="Q109" s="195">
        <f t="shared" si="60"/>
        <v>1253.3143874999998</v>
      </c>
      <c r="R109" s="195">
        <f t="shared" si="60"/>
        <v>1253.3143874999998</v>
      </c>
      <c r="S109" s="195">
        <f t="shared" si="60"/>
        <v>1253.3143874999998</v>
      </c>
      <c r="T109" s="195">
        <f t="shared" si="60"/>
        <v>1253.3143874999998</v>
      </c>
      <c r="U109" s="195">
        <f t="shared" si="60"/>
        <v>1253.3143874999998</v>
      </c>
      <c r="V109" s="195">
        <f t="shared" si="60"/>
        <v>1253.3143874999998</v>
      </c>
      <c r="W109" s="195">
        <f t="shared" si="60"/>
        <v>1253.3143874999998</v>
      </c>
      <c r="X109" s="195">
        <f t="shared" si="60"/>
        <v>1253.3143874999998</v>
      </c>
      <c r="Y109" s="195">
        <f t="shared" si="60"/>
        <v>1253.3143874999998</v>
      </c>
      <c r="Z109" s="195">
        <f t="shared" si="60"/>
        <v>1253.3143874999998</v>
      </c>
      <c r="AA109" s="195">
        <f t="shared" si="60"/>
        <v>1253.3143874999998</v>
      </c>
      <c r="AB109" s="195">
        <f t="shared" si="60"/>
        <v>1253.3143874999998</v>
      </c>
      <c r="AC109" s="195">
        <f t="shared" si="60"/>
        <v>1253.3143874999998</v>
      </c>
      <c r="AD109" s="195">
        <f t="shared" si="60"/>
        <v>1253.3143874999998</v>
      </c>
      <c r="AE109" s="195">
        <f t="shared" si="60"/>
        <v>1253.3143874999998</v>
      </c>
      <c r="AF109" s="195">
        <f t="shared" si="60"/>
        <v>1253.3143874999998</v>
      </c>
      <c r="AG109" s="195">
        <f t="shared" si="60"/>
        <v>1253.3143874999998</v>
      </c>
      <c r="AH109" s="195">
        <f t="shared" si="60"/>
        <v>1253.3143874999998</v>
      </c>
      <c r="AI109" s="195">
        <f t="shared" si="60"/>
        <v>1253.3143874999998</v>
      </c>
      <c r="AJ109" s="203">
        <f t="shared" si="42"/>
        <v>36346.117237499988</v>
      </c>
    </row>
    <row r="110" spans="2:37" ht="14.4" x14ac:dyDescent="0.25">
      <c r="B110" s="378"/>
      <c r="C110" s="378"/>
      <c r="D110" s="192" t="s">
        <v>329</v>
      </c>
      <c r="E110" s="193">
        <v>2.8000000000000001E-2</v>
      </c>
      <c r="F110" s="194"/>
      <c r="G110" s="195">
        <f>+G107*$E110</f>
        <v>7018.5605699999996</v>
      </c>
      <c r="H110" s="195">
        <f t="shared" ref="H110:AI110" si="61">+H107*$E110</f>
        <v>7018.5605699999996</v>
      </c>
      <c r="I110" s="195">
        <f t="shared" si="61"/>
        <v>7018.5605699999996</v>
      </c>
      <c r="J110" s="195">
        <f t="shared" si="61"/>
        <v>7018.5605699999996</v>
      </c>
      <c r="K110" s="195">
        <f t="shared" si="61"/>
        <v>7018.5605699999996</v>
      </c>
      <c r="L110" s="195">
        <f t="shared" si="61"/>
        <v>7018.5605699999996</v>
      </c>
      <c r="M110" s="195">
        <f t="shared" si="61"/>
        <v>7018.5605699999996</v>
      </c>
      <c r="N110" s="195">
        <f t="shared" si="61"/>
        <v>7018.5605699999996</v>
      </c>
      <c r="O110" s="195">
        <f t="shared" si="61"/>
        <v>7018.5605699999996</v>
      </c>
      <c r="P110" s="195">
        <f t="shared" si="61"/>
        <v>7018.5605699999996</v>
      </c>
      <c r="Q110" s="195">
        <f t="shared" si="61"/>
        <v>7018.5605699999996</v>
      </c>
      <c r="R110" s="195">
        <f t="shared" si="61"/>
        <v>7018.5605699999996</v>
      </c>
      <c r="S110" s="195">
        <f t="shared" si="61"/>
        <v>7018.5605699999996</v>
      </c>
      <c r="T110" s="195">
        <f t="shared" si="61"/>
        <v>7018.5605699999996</v>
      </c>
      <c r="U110" s="195">
        <f t="shared" si="61"/>
        <v>7018.5605699999996</v>
      </c>
      <c r="V110" s="195">
        <f t="shared" si="61"/>
        <v>7018.5605699999996</v>
      </c>
      <c r="W110" s="195">
        <f t="shared" si="61"/>
        <v>7018.5605699999996</v>
      </c>
      <c r="X110" s="195">
        <f t="shared" si="61"/>
        <v>7018.5605699999996</v>
      </c>
      <c r="Y110" s="195">
        <f t="shared" si="61"/>
        <v>7018.5605699999996</v>
      </c>
      <c r="Z110" s="195">
        <f t="shared" si="61"/>
        <v>7018.5605699999996</v>
      </c>
      <c r="AA110" s="195">
        <f t="shared" si="61"/>
        <v>7018.5605699999996</v>
      </c>
      <c r="AB110" s="195">
        <f t="shared" si="61"/>
        <v>7018.5605699999996</v>
      </c>
      <c r="AC110" s="195">
        <f t="shared" si="61"/>
        <v>7018.5605699999996</v>
      </c>
      <c r="AD110" s="195">
        <f t="shared" si="61"/>
        <v>7018.5605699999996</v>
      </c>
      <c r="AE110" s="195">
        <f t="shared" si="61"/>
        <v>7018.5605699999996</v>
      </c>
      <c r="AF110" s="195">
        <f t="shared" si="61"/>
        <v>7018.5605699999996</v>
      </c>
      <c r="AG110" s="195">
        <f t="shared" si="61"/>
        <v>7018.5605699999996</v>
      </c>
      <c r="AH110" s="195">
        <f t="shared" si="61"/>
        <v>7018.5605699999996</v>
      </c>
      <c r="AI110" s="195">
        <f t="shared" si="61"/>
        <v>7018.5605699999996</v>
      </c>
      <c r="AJ110" s="203">
        <f t="shared" si="42"/>
        <v>203538.25653000001</v>
      </c>
    </row>
    <row r="111" spans="2:37" ht="14.4" x14ac:dyDescent="0.25">
      <c r="B111" s="378"/>
      <c r="C111" s="378"/>
      <c r="D111" s="192" t="s">
        <v>330</v>
      </c>
      <c r="E111" s="193">
        <v>5.0000000000000001E-3</v>
      </c>
      <c r="F111" s="194"/>
      <c r="G111" s="195">
        <f>+G107*$E111</f>
        <v>1253.3143874999998</v>
      </c>
      <c r="H111" s="195">
        <f t="shared" ref="H111:AI111" si="62">+H107*$E111</f>
        <v>1253.3143874999998</v>
      </c>
      <c r="I111" s="195">
        <f t="shared" si="62"/>
        <v>1253.3143874999998</v>
      </c>
      <c r="J111" s="195">
        <f t="shared" si="62"/>
        <v>1253.3143874999998</v>
      </c>
      <c r="K111" s="195">
        <f t="shared" si="62"/>
        <v>1253.3143874999998</v>
      </c>
      <c r="L111" s="195">
        <f t="shared" si="62"/>
        <v>1253.3143874999998</v>
      </c>
      <c r="M111" s="195">
        <f t="shared" si="62"/>
        <v>1253.3143874999998</v>
      </c>
      <c r="N111" s="195">
        <f t="shared" si="62"/>
        <v>1253.3143874999998</v>
      </c>
      <c r="O111" s="195">
        <f t="shared" si="62"/>
        <v>1253.3143874999998</v>
      </c>
      <c r="P111" s="195">
        <f t="shared" si="62"/>
        <v>1253.3143874999998</v>
      </c>
      <c r="Q111" s="195">
        <f t="shared" si="62"/>
        <v>1253.3143874999998</v>
      </c>
      <c r="R111" s="195">
        <f t="shared" si="62"/>
        <v>1253.3143874999998</v>
      </c>
      <c r="S111" s="195">
        <f t="shared" si="62"/>
        <v>1253.3143874999998</v>
      </c>
      <c r="T111" s="195">
        <f t="shared" si="62"/>
        <v>1253.3143874999998</v>
      </c>
      <c r="U111" s="195">
        <f t="shared" si="62"/>
        <v>1253.3143874999998</v>
      </c>
      <c r="V111" s="195">
        <f t="shared" si="62"/>
        <v>1253.3143874999998</v>
      </c>
      <c r="W111" s="195">
        <f t="shared" si="62"/>
        <v>1253.3143874999998</v>
      </c>
      <c r="X111" s="195">
        <f t="shared" si="62"/>
        <v>1253.3143874999998</v>
      </c>
      <c r="Y111" s="195">
        <f t="shared" si="62"/>
        <v>1253.3143874999998</v>
      </c>
      <c r="Z111" s="195">
        <f t="shared" si="62"/>
        <v>1253.3143874999998</v>
      </c>
      <c r="AA111" s="195">
        <f t="shared" si="62"/>
        <v>1253.3143874999998</v>
      </c>
      <c r="AB111" s="195">
        <f t="shared" si="62"/>
        <v>1253.3143874999998</v>
      </c>
      <c r="AC111" s="195">
        <f t="shared" si="62"/>
        <v>1253.3143874999998</v>
      </c>
      <c r="AD111" s="195">
        <f t="shared" si="62"/>
        <v>1253.3143874999998</v>
      </c>
      <c r="AE111" s="195">
        <f t="shared" si="62"/>
        <v>1253.3143874999998</v>
      </c>
      <c r="AF111" s="195">
        <f t="shared" si="62"/>
        <v>1253.3143874999998</v>
      </c>
      <c r="AG111" s="195">
        <f t="shared" si="62"/>
        <v>1253.3143874999998</v>
      </c>
      <c r="AH111" s="195">
        <f t="shared" si="62"/>
        <v>1253.3143874999998</v>
      </c>
      <c r="AI111" s="195">
        <f t="shared" si="62"/>
        <v>1253.3143874999998</v>
      </c>
      <c r="AJ111" s="203">
        <f t="shared" si="42"/>
        <v>36346.117237499988</v>
      </c>
    </row>
    <row r="112" spans="2:37" ht="14.4" x14ac:dyDescent="0.25">
      <c r="B112" s="378"/>
      <c r="C112" s="378"/>
      <c r="D112" s="192" t="s">
        <v>331</v>
      </c>
      <c r="E112" s="196"/>
      <c r="F112" s="194"/>
      <c r="G112" s="195">
        <f t="shared" ref="G112:AI112" si="63">+SUBTOTAL(9,G107:G111)</f>
        <v>276055.02699074993</v>
      </c>
      <c r="H112" s="195">
        <f t="shared" si="63"/>
        <v>276055.02699074993</v>
      </c>
      <c r="I112" s="195">
        <f t="shared" si="63"/>
        <v>276055.02699074993</v>
      </c>
      <c r="J112" s="195">
        <f t="shared" si="63"/>
        <v>276055.02699074993</v>
      </c>
      <c r="K112" s="195">
        <f t="shared" si="63"/>
        <v>276055.02699074993</v>
      </c>
      <c r="L112" s="195">
        <f t="shared" si="63"/>
        <v>276055.02699074993</v>
      </c>
      <c r="M112" s="195">
        <f t="shared" si="63"/>
        <v>276055.02699074993</v>
      </c>
      <c r="N112" s="195">
        <f t="shared" si="63"/>
        <v>276055.02699074993</v>
      </c>
      <c r="O112" s="195">
        <f t="shared" si="63"/>
        <v>276055.02699074993</v>
      </c>
      <c r="P112" s="195">
        <f t="shared" si="63"/>
        <v>276055.02699074993</v>
      </c>
      <c r="Q112" s="195">
        <f t="shared" si="63"/>
        <v>276055.02699074993</v>
      </c>
      <c r="R112" s="195">
        <f t="shared" si="63"/>
        <v>276055.02699074993</v>
      </c>
      <c r="S112" s="195">
        <f t="shared" si="63"/>
        <v>276055.02699074993</v>
      </c>
      <c r="T112" s="195">
        <f t="shared" si="63"/>
        <v>276055.02699074993</v>
      </c>
      <c r="U112" s="195">
        <f t="shared" si="63"/>
        <v>276055.02699074993</v>
      </c>
      <c r="V112" s="195">
        <f t="shared" si="63"/>
        <v>276055.02699074993</v>
      </c>
      <c r="W112" s="195">
        <f t="shared" si="63"/>
        <v>276055.02699074993</v>
      </c>
      <c r="X112" s="195">
        <f t="shared" si="63"/>
        <v>276055.02699074993</v>
      </c>
      <c r="Y112" s="195">
        <f t="shared" si="63"/>
        <v>276055.02699074993</v>
      </c>
      <c r="Z112" s="195">
        <f t="shared" si="63"/>
        <v>276055.02699074993</v>
      </c>
      <c r="AA112" s="195">
        <f t="shared" si="63"/>
        <v>276055.02699074993</v>
      </c>
      <c r="AB112" s="195">
        <f t="shared" si="63"/>
        <v>276055.02699074993</v>
      </c>
      <c r="AC112" s="195">
        <f t="shared" si="63"/>
        <v>276055.02699074993</v>
      </c>
      <c r="AD112" s="195">
        <f t="shared" si="63"/>
        <v>276055.02699074993</v>
      </c>
      <c r="AE112" s="195">
        <f t="shared" si="63"/>
        <v>276055.02699074993</v>
      </c>
      <c r="AF112" s="195">
        <f t="shared" si="63"/>
        <v>276055.02699074993</v>
      </c>
      <c r="AG112" s="195">
        <f t="shared" si="63"/>
        <v>276055.02699074993</v>
      </c>
      <c r="AH112" s="195">
        <f t="shared" si="63"/>
        <v>276055.02699074993</v>
      </c>
      <c r="AI112" s="195">
        <f t="shared" si="63"/>
        <v>276055.02699074993</v>
      </c>
      <c r="AJ112" s="203">
        <f t="shared" si="42"/>
        <v>8005595.7827317473</v>
      </c>
    </row>
    <row r="113" spans="2:37" ht="14.4" x14ac:dyDescent="0.25">
      <c r="B113" s="378"/>
      <c r="C113" s="378"/>
      <c r="D113" s="192" t="s">
        <v>332</v>
      </c>
      <c r="E113" s="197">
        <f>BDI!G5</f>
        <v>0.21340000000000001</v>
      </c>
      <c r="F113" s="194"/>
      <c r="G113" s="195">
        <f t="shared" ref="G113:AI113" si="64">+G112*$E113</f>
        <v>58910.142759826034</v>
      </c>
      <c r="H113" s="195">
        <f t="shared" si="64"/>
        <v>58910.142759826034</v>
      </c>
      <c r="I113" s="195">
        <f t="shared" si="64"/>
        <v>58910.142759826034</v>
      </c>
      <c r="J113" s="195">
        <f t="shared" si="64"/>
        <v>58910.142759826034</v>
      </c>
      <c r="K113" s="195">
        <f t="shared" si="64"/>
        <v>58910.142759826034</v>
      </c>
      <c r="L113" s="195">
        <f t="shared" si="64"/>
        <v>58910.142759826034</v>
      </c>
      <c r="M113" s="195">
        <f t="shared" si="64"/>
        <v>58910.142759826034</v>
      </c>
      <c r="N113" s="195">
        <f t="shared" si="64"/>
        <v>58910.142759826034</v>
      </c>
      <c r="O113" s="195">
        <f t="shared" si="64"/>
        <v>58910.142759826034</v>
      </c>
      <c r="P113" s="195">
        <f t="shared" si="64"/>
        <v>58910.142759826034</v>
      </c>
      <c r="Q113" s="195">
        <f t="shared" si="64"/>
        <v>58910.142759826034</v>
      </c>
      <c r="R113" s="195">
        <f t="shared" si="64"/>
        <v>58910.142759826034</v>
      </c>
      <c r="S113" s="195">
        <f t="shared" si="64"/>
        <v>58910.142759826034</v>
      </c>
      <c r="T113" s="195">
        <f t="shared" si="64"/>
        <v>58910.142759826034</v>
      </c>
      <c r="U113" s="195">
        <f t="shared" si="64"/>
        <v>58910.142759826034</v>
      </c>
      <c r="V113" s="195">
        <f t="shared" si="64"/>
        <v>58910.142759826034</v>
      </c>
      <c r="W113" s="195">
        <f t="shared" si="64"/>
        <v>58910.142759826034</v>
      </c>
      <c r="X113" s="195">
        <f t="shared" si="64"/>
        <v>58910.142759826034</v>
      </c>
      <c r="Y113" s="195">
        <f t="shared" si="64"/>
        <v>58910.142759826034</v>
      </c>
      <c r="Z113" s="195">
        <f t="shared" si="64"/>
        <v>58910.142759826034</v>
      </c>
      <c r="AA113" s="195">
        <f t="shared" si="64"/>
        <v>58910.142759826034</v>
      </c>
      <c r="AB113" s="195">
        <f t="shared" si="64"/>
        <v>58910.142759826034</v>
      </c>
      <c r="AC113" s="195">
        <f t="shared" si="64"/>
        <v>58910.142759826034</v>
      </c>
      <c r="AD113" s="195">
        <f t="shared" si="64"/>
        <v>58910.142759826034</v>
      </c>
      <c r="AE113" s="195">
        <f t="shared" si="64"/>
        <v>58910.142759826034</v>
      </c>
      <c r="AF113" s="195">
        <f t="shared" si="64"/>
        <v>58910.142759826034</v>
      </c>
      <c r="AG113" s="195">
        <f t="shared" si="64"/>
        <v>58910.142759826034</v>
      </c>
      <c r="AH113" s="195">
        <f t="shared" si="64"/>
        <v>58910.142759826034</v>
      </c>
      <c r="AI113" s="195">
        <f t="shared" si="64"/>
        <v>58910.142759826034</v>
      </c>
      <c r="AJ113" s="203">
        <f t="shared" si="42"/>
        <v>1708394.140034955</v>
      </c>
    </row>
    <row r="114" spans="2:37" ht="14.4" x14ac:dyDescent="0.25">
      <c r="B114" s="378"/>
      <c r="C114" s="378"/>
      <c r="D114" s="192" t="s">
        <v>333</v>
      </c>
      <c r="E114" s="196"/>
      <c r="F114" s="194"/>
      <c r="G114" s="204">
        <f t="shared" ref="G114:AI114" si="65">+SUM(G112:G113)</f>
        <v>334965.16975057597</v>
      </c>
      <c r="H114" s="204">
        <f t="shared" si="65"/>
        <v>334965.16975057597</v>
      </c>
      <c r="I114" s="204">
        <f t="shared" si="65"/>
        <v>334965.16975057597</v>
      </c>
      <c r="J114" s="204">
        <f t="shared" si="65"/>
        <v>334965.16975057597</v>
      </c>
      <c r="K114" s="204">
        <f t="shared" si="65"/>
        <v>334965.16975057597</v>
      </c>
      <c r="L114" s="204">
        <f t="shared" si="65"/>
        <v>334965.16975057597</v>
      </c>
      <c r="M114" s="204">
        <f t="shared" si="65"/>
        <v>334965.16975057597</v>
      </c>
      <c r="N114" s="204">
        <f t="shared" si="65"/>
        <v>334965.16975057597</v>
      </c>
      <c r="O114" s="204">
        <f t="shared" si="65"/>
        <v>334965.16975057597</v>
      </c>
      <c r="P114" s="204">
        <f t="shared" si="65"/>
        <v>334965.16975057597</v>
      </c>
      <c r="Q114" s="204">
        <f t="shared" si="65"/>
        <v>334965.16975057597</v>
      </c>
      <c r="R114" s="204">
        <f t="shared" si="65"/>
        <v>334965.16975057597</v>
      </c>
      <c r="S114" s="204">
        <f t="shared" si="65"/>
        <v>334965.16975057597</v>
      </c>
      <c r="T114" s="204">
        <f t="shared" si="65"/>
        <v>334965.16975057597</v>
      </c>
      <c r="U114" s="204">
        <f t="shared" si="65"/>
        <v>334965.16975057597</v>
      </c>
      <c r="V114" s="204">
        <f t="shared" si="65"/>
        <v>334965.16975057597</v>
      </c>
      <c r="W114" s="204">
        <f t="shared" si="65"/>
        <v>334965.16975057597</v>
      </c>
      <c r="X114" s="204">
        <f t="shared" si="65"/>
        <v>334965.16975057597</v>
      </c>
      <c r="Y114" s="204">
        <f t="shared" si="65"/>
        <v>334965.16975057597</v>
      </c>
      <c r="Z114" s="204">
        <f t="shared" si="65"/>
        <v>334965.16975057597</v>
      </c>
      <c r="AA114" s="204">
        <f t="shared" si="65"/>
        <v>334965.16975057597</v>
      </c>
      <c r="AB114" s="204">
        <f t="shared" si="65"/>
        <v>334965.16975057597</v>
      </c>
      <c r="AC114" s="204">
        <f t="shared" si="65"/>
        <v>334965.16975057597</v>
      </c>
      <c r="AD114" s="204">
        <f t="shared" si="65"/>
        <v>334965.16975057597</v>
      </c>
      <c r="AE114" s="204">
        <f t="shared" si="65"/>
        <v>334965.16975057597</v>
      </c>
      <c r="AF114" s="204">
        <f t="shared" si="65"/>
        <v>334965.16975057597</v>
      </c>
      <c r="AG114" s="204">
        <f t="shared" si="65"/>
        <v>334965.16975057597</v>
      </c>
      <c r="AH114" s="204">
        <f t="shared" si="65"/>
        <v>334965.16975057597</v>
      </c>
      <c r="AI114" s="204">
        <f t="shared" si="65"/>
        <v>334965.16975057597</v>
      </c>
      <c r="AJ114" s="205">
        <f t="shared" si="42"/>
        <v>9713989.922766706</v>
      </c>
      <c r="AK114" s="4"/>
    </row>
    <row r="115" spans="2:37" ht="14.4" x14ac:dyDescent="0.25">
      <c r="B115" s="185" t="s">
        <v>336</v>
      </c>
      <c r="C115" s="66" t="s">
        <v>180</v>
      </c>
      <c r="D115" s="66"/>
      <c r="E115" s="93"/>
      <c r="F115" s="169">
        <f t="shared" ref="F115:AI115" si="66">+F123</f>
        <v>0</v>
      </c>
      <c r="G115" s="169">
        <f t="shared" si="66"/>
        <v>12013.469409545913</v>
      </c>
      <c r="H115" s="169">
        <f t="shared" si="66"/>
        <v>12013.469409545913</v>
      </c>
      <c r="I115" s="169">
        <f t="shared" si="66"/>
        <v>12013.469409545913</v>
      </c>
      <c r="J115" s="169">
        <f t="shared" si="66"/>
        <v>12013.469409545913</v>
      </c>
      <c r="K115" s="169">
        <f t="shared" si="66"/>
        <v>12013.469409545913</v>
      </c>
      <c r="L115" s="169">
        <f t="shared" si="66"/>
        <v>12013.469409545913</v>
      </c>
      <c r="M115" s="169">
        <f t="shared" si="66"/>
        <v>12013.469409545913</v>
      </c>
      <c r="N115" s="169">
        <f t="shared" si="66"/>
        <v>12013.469409545913</v>
      </c>
      <c r="O115" s="169">
        <f t="shared" si="66"/>
        <v>12013.469409545913</v>
      </c>
      <c r="P115" s="169">
        <f t="shared" si="66"/>
        <v>12013.469409545913</v>
      </c>
      <c r="Q115" s="169">
        <f t="shared" si="66"/>
        <v>12013.469409545913</v>
      </c>
      <c r="R115" s="169">
        <f t="shared" si="66"/>
        <v>12013.469409545913</v>
      </c>
      <c r="S115" s="169">
        <f t="shared" si="66"/>
        <v>12013.469409545913</v>
      </c>
      <c r="T115" s="169">
        <f t="shared" si="66"/>
        <v>12013.469409545913</v>
      </c>
      <c r="U115" s="169">
        <f t="shared" si="66"/>
        <v>12013.469409545913</v>
      </c>
      <c r="V115" s="169">
        <f t="shared" si="66"/>
        <v>12013.469409545913</v>
      </c>
      <c r="W115" s="169">
        <f t="shared" si="66"/>
        <v>12013.469409545913</v>
      </c>
      <c r="X115" s="169">
        <f t="shared" si="66"/>
        <v>12013.469409545913</v>
      </c>
      <c r="Y115" s="169">
        <f t="shared" si="66"/>
        <v>12013.469409545913</v>
      </c>
      <c r="Z115" s="169">
        <f t="shared" si="66"/>
        <v>12013.469409545913</v>
      </c>
      <c r="AA115" s="169">
        <f t="shared" si="66"/>
        <v>12013.469409545913</v>
      </c>
      <c r="AB115" s="169">
        <f t="shared" si="66"/>
        <v>12013.469409545913</v>
      </c>
      <c r="AC115" s="169">
        <f t="shared" si="66"/>
        <v>12013.469409545913</v>
      </c>
      <c r="AD115" s="169">
        <f t="shared" si="66"/>
        <v>12013.469409545913</v>
      </c>
      <c r="AE115" s="169">
        <f t="shared" si="66"/>
        <v>12013.469409545913</v>
      </c>
      <c r="AF115" s="169">
        <f t="shared" si="66"/>
        <v>12013.469409545913</v>
      </c>
      <c r="AG115" s="169">
        <f t="shared" si="66"/>
        <v>12013.469409545913</v>
      </c>
      <c r="AH115" s="169">
        <f t="shared" si="66"/>
        <v>12013.469409545913</v>
      </c>
      <c r="AI115" s="169">
        <f t="shared" si="66"/>
        <v>12013.469409545913</v>
      </c>
      <c r="AJ115" s="169">
        <f>+AJ123</f>
        <v>348390.61287683132</v>
      </c>
    </row>
    <row r="116" spans="2:37" ht="14.4" x14ac:dyDescent="0.25">
      <c r="B116" s="377" t="s">
        <v>61</v>
      </c>
      <c r="C116" s="377" t="str">
        <f>+C35</f>
        <v>Intervenções em OAE's</v>
      </c>
      <c r="D116" s="188" t="s">
        <v>326</v>
      </c>
      <c r="E116" s="189"/>
      <c r="F116" s="190"/>
      <c r="G116" s="191">
        <f t="shared" ref="G116:AI116" si="67">+G34</f>
        <v>8989.9818933333318</v>
      </c>
      <c r="H116" s="191">
        <f t="shared" si="67"/>
        <v>8989.9818933333318</v>
      </c>
      <c r="I116" s="191">
        <f t="shared" si="67"/>
        <v>8989.9818933333318</v>
      </c>
      <c r="J116" s="191">
        <f t="shared" si="67"/>
        <v>8989.9818933333318</v>
      </c>
      <c r="K116" s="191">
        <f t="shared" si="67"/>
        <v>8989.9818933333318</v>
      </c>
      <c r="L116" s="191">
        <f t="shared" si="67"/>
        <v>8989.9818933333318</v>
      </c>
      <c r="M116" s="191">
        <f t="shared" si="67"/>
        <v>8989.9818933333318</v>
      </c>
      <c r="N116" s="191">
        <f t="shared" si="67"/>
        <v>8989.9818933333318</v>
      </c>
      <c r="O116" s="191">
        <f t="shared" si="67"/>
        <v>8989.9818933333318</v>
      </c>
      <c r="P116" s="191">
        <f t="shared" si="67"/>
        <v>8989.9818933333318</v>
      </c>
      <c r="Q116" s="191">
        <f t="shared" si="67"/>
        <v>8989.9818933333318</v>
      </c>
      <c r="R116" s="191">
        <f t="shared" si="67"/>
        <v>8989.9818933333318</v>
      </c>
      <c r="S116" s="191">
        <f t="shared" si="67"/>
        <v>8989.9818933333318</v>
      </c>
      <c r="T116" s="191">
        <f t="shared" si="67"/>
        <v>8989.9818933333318</v>
      </c>
      <c r="U116" s="191">
        <f t="shared" si="67"/>
        <v>8989.9818933333318</v>
      </c>
      <c r="V116" s="191">
        <f t="shared" si="67"/>
        <v>8989.9818933333318</v>
      </c>
      <c r="W116" s="191">
        <f t="shared" si="67"/>
        <v>8989.9818933333318</v>
      </c>
      <c r="X116" s="191">
        <f t="shared" si="67"/>
        <v>8989.9818933333318</v>
      </c>
      <c r="Y116" s="191">
        <f t="shared" si="67"/>
        <v>8989.9818933333318</v>
      </c>
      <c r="Z116" s="191">
        <f t="shared" si="67"/>
        <v>8989.9818933333318</v>
      </c>
      <c r="AA116" s="191">
        <f t="shared" si="67"/>
        <v>8989.9818933333318</v>
      </c>
      <c r="AB116" s="191">
        <f t="shared" si="67"/>
        <v>8989.9818933333318</v>
      </c>
      <c r="AC116" s="191">
        <f t="shared" si="67"/>
        <v>8989.9818933333318</v>
      </c>
      <c r="AD116" s="191">
        <f t="shared" si="67"/>
        <v>8989.9818933333318</v>
      </c>
      <c r="AE116" s="191">
        <f t="shared" si="67"/>
        <v>8989.9818933333318</v>
      </c>
      <c r="AF116" s="191">
        <f t="shared" si="67"/>
        <v>8989.9818933333318</v>
      </c>
      <c r="AG116" s="191">
        <f t="shared" si="67"/>
        <v>8989.9818933333318</v>
      </c>
      <c r="AH116" s="191">
        <f t="shared" si="67"/>
        <v>8989.9818933333318</v>
      </c>
      <c r="AI116" s="191">
        <f t="shared" si="67"/>
        <v>8989.9818933333318</v>
      </c>
      <c r="AJ116" s="202">
        <f t="shared" ref="AJ116:AJ123" si="68">+SUM(F116:AI116)</f>
        <v>260709.47490666679</v>
      </c>
    </row>
    <row r="117" spans="2:37" ht="14.4" x14ac:dyDescent="0.25">
      <c r="B117" s="378"/>
      <c r="C117" s="378"/>
      <c r="D117" s="192" t="s">
        <v>327</v>
      </c>
      <c r="E117" s="193">
        <v>6.3299999999999995E-2</v>
      </c>
      <c r="F117" s="194"/>
      <c r="G117" s="195">
        <f t="shared" ref="G117:AI117" si="69">+G116*$E117</f>
        <v>569.06585384799985</v>
      </c>
      <c r="H117" s="195">
        <f t="shared" si="69"/>
        <v>569.06585384799985</v>
      </c>
      <c r="I117" s="195">
        <f t="shared" si="69"/>
        <v>569.06585384799985</v>
      </c>
      <c r="J117" s="195">
        <f t="shared" si="69"/>
        <v>569.06585384799985</v>
      </c>
      <c r="K117" s="195">
        <f t="shared" si="69"/>
        <v>569.06585384799985</v>
      </c>
      <c r="L117" s="195">
        <f t="shared" si="69"/>
        <v>569.06585384799985</v>
      </c>
      <c r="M117" s="195">
        <f t="shared" si="69"/>
        <v>569.06585384799985</v>
      </c>
      <c r="N117" s="195">
        <f t="shared" si="69"/>
        <v>569.06585384799985</v>
      </c>
      <c r="O117" s="195">
        <f t="shared" si="69"/>
        <v>569.06585384799985</v>
      </c>
      <c r="P117" s="195">
        <f t="shared" si="69"/>
        <v>569.06585384799985</v>
      </c>
      <c r="Q117" s="195">
        <f t="shared" si="69"/>
        <v>569.06585384799985</v>
      </c>
      <c r="R117" s="195">
        <f t="shared" si="69"/>
        <v>569.06585384799985</v>
      </c>
      <c r="S117" s="195">
        <f t="shared" si="69"/>
        <v>569.06585384799985</v>
      </c>
      <c r="T117" s="195">
        <f t="shared" si="69"/>
        <v>569.06585384799985</v>
      </c>
      <c r="U117" s="195">
        <f t="shared" si="69"/>
        <v>569.06585384799985</v>
      </c>
      <c r="V117" s="195">
        <f t="shared" si="69"/>
        <v>569.06585384799985</v>
      </c>
      <c r="W117" s="195">
        <f t="shared" si="69"/>
        <v>569.06585384799985</v>
      </c>
      <c r="X117" s="195">
        <f t="shared" si="69"/>
        <v>569.06585384799985</v>
      </c>
      <c r="Y117" s="195">
        <f t="shared" si="69"/>
        <v>569.06585384799985</v>
      </c>
      <c r="Z117" s="195">
        <f t="shared" si="69"/>
        <v>569.06585384799985</v>
      </c>
      <c r="AA117" s="195">
        <f t="shared" si="69"/>
        <v>569.06585384799985</v>
      </c>
      <c r="AB117" s="195">
        <f t="shared" si="69"/>
        <v>569.06585384799985</v>
      </c>
      <c r="AC117" s="195">
        <f t="shared" si="69"/>
        <v>569.06585384799985</v>
      </c>
      <c r="AD117" s="195">
        <f t="shared" si="69"/>
        <v>569.06585384799985</v>
      </c>
      <c r="AE117" s="195">
        <f t="shared" si="69"/>
        <v>569.06585384799985</v>
      </c>
      <c r="AF117" s="195">
        <f t="shared" si="69"/>
        <v>569.06585384799985</v>
      </c>
      <c r="AG117" s="195">
        <f t="shared" si="69"/>
        <v>569.06585384799985</v>
      </c>
      <c r="AH117" s="195">
        <f t="shared" si="69"/>
        <v>569.06585384799985</v>
      </c>
      <c r="AI117" s="195">
        <f t="shared" si="69"/>
        <v>569.06585384799985</v>
      </c>
      <c r="AJ117" s="203">
        <f t="shared" si="68"/>
        <v>16502.909761592</v>
      </c>
    </row>
    <row r="118" spans="2:37" ht="14.4" x14ac:dyDescent="0.25">
      <c r="B118" s="378"/>
      <c r="C118" s="378"/>
      <c r="D118" s="192" t="s">
        <v>328</v>
      </c>
      <c r="E118" s="193">
        <v>5.0000000000000001E-3</v>
      </c>
      <c r="F118" s="194"/>
      <c r="G118" s="195">
        <f>+G116*$E118</f>
        <v>44.949909466666661</v>
      </c>
      <c r="H118" s="195">
        <f t="shared" ref="H118:AI118" si="70">+H116*$E118</f>
        <v>44.949909466666661</v>
      </c>
      <c r="I118" s="195">
        <f t="shared" si="70"/>
        <v>44.949909466666661</v>
      </c>
      <c r="J118" s="195">
        <f t="shared" si="70"/>
        <v>44.949909466666661</v>
      </c>
      <c r="K118" s="195">
        <f t="shared" si="70"/>
        <v>44.949909466666661</v>
      </c>
      <c r="L118" s="195">
        <f t="shared" si="70"/>
        <v>44.949909466666661</v>
      </c>
      <c r="M118" s="195">
        <f t="shared" si="70"/>
        <v>44.949909466666661</v>
      </c>
      <c r="N118" s="195">
        <f t="shared" si="70"/>
        <v>44.949909466666661</v>
      </c>
      <c r="O118" s="195">
        <f t="shared" si="70"/>
        <v>44.949909466666661</v>
      </c>
      <c r="P118" s="195">
        <f t="shared" si="70"/>
        <v>44.949909466666661</v>
      </c>
      <c r="Q118" s="195">
        <f t="shared" si="70"/>
        <v>44.949909466666661</v>
      </c>
      <c r="R118" s="195">
        <f t="shared" si="70"/>
        <v>44.949909466666661</v>
      </c>
      <c r="S118" s="195">
        <f t="shared" si="70"/>
        <v>44.949909466666661</v>
      </c>
      <c r="T118" s="195">
        <f t="shared" si="70"/>
        <v>44.949909466666661</v>
      </c>
      <c r="U118" s="195">
        <f t="shared" si="70"/>
        <v>44.949909466666661</v>
      </c>
      <c r="V118" s="195">
        <f t="shared" si="70"/>
        <v>44.949909466666661</v>
      </c>
      <c r="W118" s="195">
        <f t="shared" si="70"/>
        <v>44.949909466666661</v>
      </c>
      <c r="X118" s="195">
        <f t="shared" si="70"/>
        <v>44.949909466666661</v>
      </c>
      <c r="Y118" s="195">
        <f t="shared" si="70"/>
        <v>44.949909466666661</v>
      </c>
      <c r="Z118" s="195">
        <f t="shared" si="70"/>
        <v>44.949909466666661</v>
      </c>
      <c r="AA118" s="195">
        <f t="shared" si="70"/>
        <v>44.949909466666661</v>
      </c>
      <c r="AB118" s="195">
        <f t="shared" si="70"/>
        <v>44.949909466666661</v>
      </c>
      <c r="AC118" s="195">
        <f t="shared" si="70"/>
        <v>44.949909466666661</v>
      </c>
      <c r="AD118" s="195">
        <f t="shared" si="70"/>
        <v>44.949909466666661</v>
      </c>
      <c r="AE118" s="195">
        <f t="shared" si="70"/>
        <v>44.949909466666661</v>
      </c>
      <c r="AF118" s="195">
        <f t="shared" si="70"/>
        <v>44.949909466666661</v>
      </c>
      <c r="AG118" s="195">
        <f t="shared" si="70"/>
        <v>44.949909466666661</v>
      </c>
      <c r="AH118" s="195">
        <f t="shared" si="70"/>
        <v>44.949909466666661</v>
      </c>
      <c r="AI118" s="195">
        <f t="shared" si="70"/>
        <v>44.949909466666661</v>
      </c>
      <c r="AJ118" s="203">
        <f t="shared" si="68"/>
        <v>1303.5473745333331</v>
      </c>
    </row>
    <row r="119" spans="2:37" ht="14.4" x14ac:dyDescent="0.25">
      <c r="B119" s="378"/>
      <c r="C119" s="378"/>
      <c r="D119" s="192" t="s">
        <v>329</v>
      </c>
      <c r="E119" s="193">
        <v>2.8000000000000001E-2</v>
      </c>
      <c r="F119" s="194"/>
      <c r="G119" s="195">
        <f>+G116*$E119</f>
        <v>251.71949301333331</v>
      </c>
      <c r="H119" s="195">
        <f t="shared" ref="H119:AI119" si="71">+H116*$E119</f>
        <v>251.71949301333331</v>
      </c>
      <c r="I119" s="195">
        <f t="shared" si="71"/>
        <v>251.71949301333331</v>
      </c>
      <c r="J119" s="195">
        <f t="shared" si="71"/>
        <v>251.71949301333331</v>
      </c>
      <c r="K119" s="195">
        <f t="shared" si="71"/>
        <v>251.71949301333331</v>
      </c>
      <c r="L119" s="195">
        <f t="shared" si="71"/>
        <v>251.71949301333331</v>
      </c>
      <c r="M119" s="195">
        <f t="shared" si="71"/>
        <v>251.71949301333331</v>
      </c>
      <c r="N119" s="195">
        <f t="shared" si="71"/>
        <v>251.71949301333331</v>
      </c>
      <c r="O119" s="195">
        <f t="shared" si="71"/>
        <v>251.71949301333331</v>
      </c>
      <c r="P119" s="195">
        <f t="shared" si="71"/>
        <v>251.71949301333331</v>
      </c>
      <c r="Q119" s="195">
        <f t="shared" si="71"/>
        <v>251.71949301333331</v>
      </c>
      <c r="R119" s="195">
        <f t="shared" si="71"/>
        <v>251.71949301333331</v>
      </c>
      <c r="S119" s="195">
        <f t="shared" si="71"/>
        <v>251.71949301333331</v>
      </c>
      <c r="T119" s="195">
        <f t="shared" si="71"/>
        <v>251.71949301333331</v>
      </c>
      <c r="U119" s="195">
        <f t="shared" si="71"/>
        <v>251.71949301333331</v>
      </c>
      <c r="V119" s="195">
        <f t="shared" si="71"/>
        <v>251.71949301333331</v>
      </c>
      <c r="W119" s="195">
        <f t="shared" si="71"/>
        <v>251.71949301333331</v>
      </c>
      <c r="X119" s="195">
        <f t="shared" si="71"/>
        <v>251.71949301333331</v>
      </c>
      <c r="Y119" s="195">
        <f t="shared" si="71"/>
        <v>251.71949301333331</v>
      </c>
      <c r="Z119" s="195">
        <f t="shared" si="71"/>
        <v>251.71949301333331</v>
      </c>
      <c r="AA119" s="195">
        <f t="shared" si="71"/>
        <v>251.71949301333331</v>
      </c>
      <c r="AB119" s="195">
        <f t="shared" si="71"/>
        <v>251.71949301333331</v>
      </c>
      <c r="AC119" s="195">
        <f t="shared" si="71"/>
        <v>251.71949301333331</v>
      </c>
      <c r="AD119" s="195">
        <f t="shared" si="71"/>
        <v>251.71949301333331</v>
      </c>
      <c r="AE119" s="195">
        <f t="shared" si="71"/>
        <v>251.71949301333331</v>
      </c>
      <c r="AF119" s="195">
        <f t="shared" si="71"/>
        <v>251.71949301333331</v>
      </c>
      <c r="AG119" s="195">
        <f t="shared" si="71"/>
        <v>251.71949301333331</v>
      </c>
      <c r="AH119" s="195">
        <f t="shared" si="71"/>
        <v>251.71949301333331</v>
      </c>
      <c r="AI119" s="195">
        <f t="shared" si="71"/>
        <v>251.71949301333331</v>
      </c>
      <c r="AJ119" s="203">
        <f t="shared" si="68"/>
        <v>7299.8652973866701</v>
      </c>
    </row>
    <row r="120" spans="2:37" ht="14.4" x14ac:dyDescent="0.25">
      <c r="B120" s="378"/>
      <c r="C120" s="378"/>
      <c r="D120" s="192" t="s">
        <v>330</v>
      </c>
      <c r="E120" s="193">
        <v>5.0000000000000001E-3</v>
      </c>
      <c r="F120" s="194"/>
      <c r="G120" s="195">
        <f>+G116*$E120</f>
        <v>44.949909466666661</v>
      </c>
      <c r="H120" s="195">
        <f t="shared" ref="H120:AI120" si="72">+H116*$E120</f>
        <v>44.949909466666661</v>
      </c>
      <c r="I120" s="195">
        <f t="shared" si="72"/>
        <v>44.949909466666661</v>
      </c>
      <c r="J120" s="195">
        <f t="shared" si="72"/>
        <v>44.949909466666661</v>
      </c>
      <c r="K120" s="195">
        <f t="shared" si="72"/>
        <v>44.949909466666661</v>
      </c>
      <c r="L120" s="195">
        <f t="shared" si="72"/>
        <v>44.949909466666661</v>
      </c>
      <c r="M120" s="195">
        <f t="shared" si="72"/>
        <v>44.949909466666661</v>
      </c>
      <c r="N120" s="195">
        <f t="shared" si="72"/>
        <v>44.949909466666661</v>
      </c>
      <c r="O120" s="195">
        <f t="shared" si="72"/>
        <v>44.949909466666661</v>
      </c>
      <c r="P120" s="195">
        <f t="shared" si="72"/>
        <v>44.949909466666661</v>
      </c>
      <c r="Q120" s="195">
        <f t="shared" si="72"/>
        <v>44.949909466666661</v>
      </c>
      <c r="R120" s="195">
        <f t="shared" si="72"/>
        <v>44.949909466666661</v>
      </c>
      <c r="S120" s="195">
        <f t="shared" si="72"/>
        <v>44.949909466666661</v>
      </c>
      <c r="T120" s="195">
        <f t="shared" si="72"/>
        <v>44.949909466666661</v>
      </c>
      <c r="U120" s="195">
        <f t="shared" si="72"/>
        <v>44.949909466666661</v>
      </c>
      <c r="V120" s="195">
        <f t="shared" si="72"/>
        <v>44.949909466666661</v>
      </c>
      <c r="W120" s="195">
        <f t="shared" si="72"/>
        <v>44.949909466666661</v>
      </c>
      <c r="X120" s="195">
        <f t="shared" si="72"/>
        <v>44.949909466666661</v>
      </c>
      <c r="Y120" s="195">
        <f t="shared" si="72"/>
        <v>44.949909466666661</v>
      </c>
      <c r="Z120" s="195">
        <f t="shared" si="72"/>
        <v>44.949909466666661</v>
      </c>
      <c r="AA120" s="195">
        <f t="shared" si="72"/>
        <v>44.949909466666661</v>
      </c>
      <c r="AB120" s="195">
        <f t="shared" si="72"/>
        <v>44.949909466666661</v>
      </c>
      <c r="AC120" s="195">
        <f t="shared" si="72"/>
        <v>44.949909466666661</v>
      </c>
      <c r="AD120" s="195">
        <f t="shared" si="72"/>
        <v>44.949909466666661</v>
      </c>
      <c r="AE120" s="195">
        <f t="shared" si="72"/>
        <v>44.949909466666661</v>
      </c>
      <c r="AF120" s="195">
        <f t="shared" si="72"/>
        <v>44.949909466666661</v>
      </c>
      <c r="AG120" s="195">
        <f t="shared" si="72"/>
        <v>44.949909466666661</v>
      </c>
      <c r="AH120" s="195">
        <f t="shared" si="72"/>
        <v>44.949909466666661</v>
      </c>
      <c r="AI120" s="195">
        <f t="shared" si="72"/>
        <v>44.949909466666661</v>
      </c>
      <c r="AJ120" s="203">
        <f t="shared" si="68"/>
        <v>1303.5473745333331</v>
      </c>
    </row>
    <row r="121" spans="2:37" ht="14.4" x14ac:dyDescent="0.25">
      <c r="B121" s="378"/>
      <c r="C121" s="378"/>
      <c r="D121" s="192" t="s">
        <v>331</v>
      </c>
      <c r="E121" s="196"/>
      <c r="F121" s="194"/>
      <c r="G121" s="195">
        <f t="shared" ref="G121:AI121" si="73">+SUBTOTAL(9,G116:G120)</f>
        <v>9900.6670591279981</v>
      </c>
      <c r="H121" s="195">
        <f t="shared" si="73"/>
        <v>9900.6670591279981</v>
      </c>
      <c r="I121" s="195">
        <f t="shared" si="73"/>
        <v>9900.6670591279981</v>
      </c>
      <c r="J121" s="195">
        <f t="shared" si="73"/>
        <v>9900.6670591279981</v>
      </c>
      <c r="K121" s="195">
        <f t="shared" si="73"/>
        <v>9900.6670591279981</v>
      </c>
      <c r="L121" s="195">
        <f t="shared" si="73"/>
        <v>9900.6670591279981</v>
      </c>
      <c r="M121" s="195">
        <f t="shared" si="73"/>
        <v>9900.6670591279981</v>
      </c>
      <c r="N121" s="195">
        <f t="shared" si="73"/>
        <v>9900.6670591279981</v>
      </c>
      <c r="O121" s="195">
        <f t="shared" si="73"/>
        <v>9900.6670591279981</v>
      </c>
      <c r="P121" s="195">
        <f t="shared" si="73"/>
        <v>9900.6670591279981</v>
      </c>
      <c r="Q121" s="195">
        <f t="shared" si="73"/>
        <v>9900.6670591279981</v>
      </c>
      <c r="R121" s="195">
        <f t="shared" si="73"/>
        <v>9900.6670591279981</v>
      </c>
      <c r="S121" s="195">
        <f t="shared" si="73"/>
        <v>9900.6670591279981</v>
      </c>
      <c r="T121" s="195">
        <f t="shared" si="73"/>
        <v>9900.6670591279981</v>
      </c>
      <c r="U121" s="195">
        <f t="shared" si="73"/>
        <v>9900.6670591279981</v>
      </c>
      <c r="V121" s="195">
        <f t="shared" si="73"/>
        <v>9900.6670591279981</v>
      </c>
      <c r="W121" s="195">
        <f t="shared" si="73"/>
        <v>9900.6670591279981</v>
      </c>
      <c r="X121" s="195">
        <f t="shared" si="73"/>
        <v>9900.6670591279981</v>
      </c>
      <c r="Y121" s="195">
        <f t="shared" si="73"/>
        <v>9900.6670591279981</v>
      </c>
      <c r="Z121" s="195">
        <f t="shared" si="73"/>
        <v>9900.6670591279981</v>
      </c>
      <c r="AA121" s="195">
        <f t="shared" si="73"/>
        <v>9900.6670591279981</v>
      </c>
      <c r="AB121" s="195">
        <f t="shared" si="73"/>
        <v>9900.6670591279981</v>
      </c>
      <c r="AC121" s="195">
        <f t="shared" si="73"/>
        <v>9900.6670591279981</v>
      </c>
      <c r="AD121" s="195">
        <f t="shared" si="73"/>
        <v>9900.6670591279981</v>
      </c>
      <c r="AE121" s="195">
        <f t="shared" si="73"/>
        <v>9900.6670591279981</v>
      </c>
      <c r="AF121" s="195">
        <f t="shared" si="73"/>
        <v>9900.6670591279981</v>
      </c>
      <c r="AG121" s="195">
        <f t="shared" si="73"/>
        <v>9900.6670591279981</v>
      </c>
      <c r="AH121" s="195">
        <f t="shared" si="73"/>
        <v>9900.6670591279981</v>
      </c>
      <c r="AI121" s="195">
        <f t="shared" si="73"/>
        <v>9900.6670591279981</v>
      </c>
      <c r="AJ121" s="203">
        <f t="shared" si="68"/>
        <v>287119.34471471194</v>
      </c>
    </row>
    <row r="122" spans="2:37" ht="14.4" x14ac:dyDescent="0.25">
      <c r="B122" s="378"/>
      <c r="C122" s="378"/>
      <c r="D122" s="192" t="s">
        <v>332</v>
      </c>
      <c r="E122" s="197">
        <f>BDI!G5</f>
        <v>0.21340000000000001</v>
      </c>
      <c r="F122" s="194"/>
      <c r="G122" s="195">
        <f t="shared" ref="G122:AI122" si="74">+G121*$E122</f>
        <v>2112.802350417915</v>
      </c>
      <c r="H122" s="195">
        <f t="shared" si="74"/>
        <v>2112.802350417915</v>
      </c>
      <c r="I122" s="195">
        <f t="shared" si="74"/>
        <v>2112.802350417915</v>
      </c>
      <c r="J122" s="195">
        <f t="shared" si="74"/>
        <v>2112.802350417915</v>
      </c>
      <c r="K122" s="195">
        <f t="shared" si="74"/>
        <v>2112.802350417915</v>
      </c>
      <c r="L122" s="195">
        <f t="shared" si="74"/>
        <v>2112.802350417915</v>
      </c>
      <c r="M122" s="195">
        <f t="shared" si="74"/>
        <v>2112.802350417915</v>
      </c>
      <c r="N122" s="195">
        <f t="shared" si="74"/>
        <v>2112.802350417915</v>
      </c>
      <c r="O122" s="195">
        <f t="shared" si="74"/>
        <v>2112.802350417915</v>
      </c>
      <c r="P122" s="195">
        <f t="shared" si="74"/>
        <v>2112.802350417915</v>
      </c>
      <c r="Q122" s="195">
        <f t="shared" si="74"/>
        <v>2112.802350417915</v>
      </c>
      <c r="R122" s="195">
        <f t="shared" si="74"/>
        <v>2112.802350417915</v>
      </c>
      <c r="S122" s="195">
        <f t="shared" si="74"/>
        <v>2112.802350417915</v>
      </c>
      <c r="T122" s="195">
        <f t="shared" si="74"/>
        <v>2112.802350417915</v>
      </c>
      <c r="U122" s="195">
        <f t="shared" si="74"/>
        <v>2112.802350417915</v>
      </c>
      <c r="V122" s="195">
        <f t="shared" si="74"/>
        <v>2112.802350417915</v>
      </c>
      <c r="W122" s="195">
        <f t="shared" si="74"/>
        <v>2112.802350417915</v>
      </c>
      <c r="X122" s="195">
        <f t="shared" si="74"/>
        <v>2112.802350417915</v>
      </c>
      <c r="Y122" s="195">
        <f t="shared" si="74"/>
        <v>2112.802350417915</v>
      </c>
      <c r="Z122" s="195">
        <f t="shared" si="74"/>
        <v>2112.802350417915</v>
      </c>
      <c r="AA122" s="195">
        <f t="shared" si="74"/>
        <v>2112.802350417915</v>
      </c>
      <c r="AB122" s="195">
        <f t="shared" si="74"/>
        <v>2112.802350417915</v>
      </c>
      <c r="AC122" s="195">
        <f t="shared" si="74"/>
        <v>2112.802350417915</v>
      </c>
      <c r="AD122" s="195">
        <f t="shared" si="74"/>
        <v>2112.802350417915</v>
      </c>
      <c r="AE122" s="195">
        <f t="shared" si="74"/>
        <v>2112.802350417915</v>
      </c>
      <c r="AF122" s="195">
        <f t="shared" si="74"/>
        <v>2112.802350417915</v>
      </c>
      <c r="AG122" s="195">
        <f t="shared" si="74"/>
        <v>2112.802350417915</v>
      </c>
      <c r="AH122" s="195">
        <f t="shared" si="74"/>
        <v>2112.802350417915</v>
      </c>
      <c r="AI122" s="195">
        <f t="shared" si="74"/>
        <v>2112.802350417915</v>
      </c>
      <c r="AJ122" s="203">
        <f t="shared" si="68"/>
        <v>61271.26816211953</v>
      </c>
    </row>
    <row r="123" spans="2:37" ht="14.4" x14ac:dyDescent="0.25">
      <c r="B123" s="378"/>
      <c r="C123" s="378"/>
      <c r="D123" s="192" t="s">
        <v>333</v>
      </c>
      <c r="E123" s="196"/>
      <c r="F123" s="194"/>
      <c r="G123" s="204">
        <f t="shared" ref="G123:AI123" si="75">+SUM(G121:G122)</f>
        <v>12013.469409545913</v>
      </c>
      <c r="H123" s="204">
        <f t="shared" si="75"/>
        <v>12013.469409545913</v>
      </c>
      <c r="I123" s="204">
        <f t="shared" si="75"/>
        <v>12013.469409545913</v>
      </c>
      <c r="J123" s="204">
        <f t="shared" si="75"/>
        <v>12013.469409545913</v>
      </c>
      <c r="K123" s="204">
        <f t="shared" si="75"/>
        <v>12013.469409545913</v>
      </c>
      <c r="L123" s="204">
        <f t="shared" si="75"/>
        <v>12013.469409545913</v>
      </c>
      <c r="M123" s="204">
        <f t="shared" si="75"/>
        <v>12013.469409545913</v>
      </c>
      <c r="N123" s="204">
        <f t="shared" si="75"/>
        <v>12013.469409545913</v>
      </c>
      <c r="O123" s="204">
        <f t="shared" si="75"/>
        <v>12013.469409545913</v>
      </c>
      <c r="P123" s="204">
        <f t="shared" si="75"/>
        <v>12013.469409545913</v>
      </c>
      <c r="Q123" s="204">
        <f t="shared" si="75"/>
        <v>12013.469409545913</v>
      </c>
      <c r="R123" s="204">
        <f t="shared" si="75"/>
        <v>12013.469409545913</v>
      </c>
      <c r="S123" s="204">
        <f t="shared" si="75"/>
        <v>12013.469409545913</v>
      </c>
      <c r="T123" s="204">
        <f t="shared" si="75"/>
        <v>12013.469409545913</v>
      </c>
      <c r="U123" s="204">
        <f t="shared" si="75"/>
        <v>12013.469409545913</v>
      </c>
      <c r="V123" s="204">
        <f t="shared" si="75"/>
        <v>12013.469409545913</v>
      </c>
      <c r="W123" s="204">
        <f t="shared" si="75"/>
        <v>12013.469409545913</v>
      </c>
      <c r="X123" s="204">
        <f t="shared" si="75"/>
        <v>12013.469409545913</v>
      </c>
      <c r="Y123" s="204">
        <f t="shared" si="75"/>
        <v>12013.469409545913</v>
      </c>
      <c r="Z123" s="204">
        <f t="shared" si="75"/>
        <v>12013.469409545913</v>
      </c>
      <c r="AA123" s="204">
        <f t="shared" si="75"/>
        <v>12013.469409545913</v>
      </c>
      <c r="AB123" s="204">
        <f t="shared" si="75"/>
        <v>12013.469409545913</v>
      </c>
      <c r="AC123" s="204">
        <f t="shared" si="75"/>
        <v>12013.469409545913</v>
      </c>
      <c r="AD123" s="204">
        <f t="shared" si="75"/>
        <v>12013.469409545913</v>
      </c>
      <c r="AE123" s="204">
        <f t="shared" si="75"/>
        <v>12013.469409545913</v>
      </c>
      <c r="AF123" s="204">
        <f t="shared" si="75"/>
        <v>12013.469409545913</v>
      </c>
      <c r="AG123" s="204">
        <f t="shared" si="75"/>
        <v>12013.469409545913</v>
      </c>
      <c r="AH123" s="204">
        <f t="shared" si="75"/>
        <v>12013.469409545913</v>
      </c>
      <c r="AI123" s="204">
        <f t="shared" si="75"/>
        <v>12013.469409545913</v>
      </c>
      <c r="AJ123" s="205">
        <f t="shared" si="68"/>
        <v>348390.61287683132</v>
      </c>
      <c r="AK123" s="4"/>
    </row>
    <row r="124" spans="2:37" ht="14.4" x14ac:dyDescent="0.25">
      <c r="B124" s="185" t="s">
        <v>337</v>
      </c>
      <c r="C124" s="66" t="str">
        <f>+C42</f>
        <v>DRENAGEM E OAC</v>
      </c>
      <c r="D124" s="66"/>
      <c r="E124" s="93"/>
      <c r="F124" s="169">
        <f t="shared" ref="F124:AI124" si="76">+F132</f>
        <v>0</v>
      </c>
      <c r="G124" s="169">
        <f t="shared" si="76"/>
        <v>161033.16985549009</v>
      </c>
      <c r="H124" s="169">
        <f t="shared" si="76"/>
        <v>161033.16985549009</v>
      </c>
      <c r="I124" s="169">
        <f t="shared" si="76"/>
        <v>161033.16985549009</v>
      </c>
      <c r="J124" s="169">
        <f t="shared" si="76"/>
        <v>161940.7689827109</v>
      </c>
      <c r="K124" s="169">
        <f t="shared" si="76"/>
        <v>161940.7689827109</v>
      </c>
      <c r="L124" s="169">
        <f t="shared" si="76"/>
        <v>186099.9244368849</v>
      </c>
      <c r="M124" s="169">
        <f t="shared" si="76"/>
        <v>211358.76788396825</v>
      </c>
      <c r="N124" s="169">
        <f t="shared" si="76"/>
        <v>233324.05255514526</v>
      </c>
      <c r="O124" s="169">
        <f t="shared" si="76"/>
        <v>252107.16389026059</v>
      </c>
      <c r="P124" s="169">
        <f t="shared" si="76"/>
        <v>252107.16389026059</v>
      </c>
      <c r="Q124" s="169">
        <f t="shared" si="76"/>
        <v>252107.16389026059</v>
      </c>
      <c r="R124" s="169">
        <f t="shared" si="76"/>
        <v>252107.16389026059</v>
      </c>
      <c r="S124" s="169">
        <f t="shared" si="76"/>
        <v>252107.16389026059</v>
      </c>
      <c r="T124" s="169">
        <f t="shared" si="76"/>
        <v>252107.16389026059</v>
      </c>
      <c r="U124" s="169">
        <f t="shared" si="76"/>
        <v>252107.16389026059</v>
      </c>
      <c r="V124" s="169">
        <f t="shared" si="76"/>
        <v>252107.16389026059</v>
      </c>
      <c r="W124" s="169">
        <f t="shared" si="76"/>
        <v>252107.16389026059</v>
      </c>
      <c r="X124" s="169">
        <f t="shared" si="76"/>
        <v>252107.16389026059</v>
      </c>
      <c r="Y124" s="169">
        <f t="shared" si="76"/>
        <v>253426.42527055016</v>
      </c>
      <c r="Z124" s="169">
        <f t="shared" si="76"/>
        <v>253426.42527055016</v>
      </c>
      <c r="AA124" s="169">
        <f t="shared" si="76"/>
        <v>253426.42527055016</v>
      </c>
      <c r="AB124" s="169">
        <f t="shared" si="76"/>
        <v>253426.42527055016</v>
      </c>
      <c r="AC124" s="169">
        <f t="shared" si="76"/>
        <v>253426.42527055016</v>
      </c>
      <c r="AD124" s="169">
        <f t="shared" si="76"/>
        <v>253426.42527055016</v>
      </c>
      <c r="AE124" s="169">
        <f t="shared" si="76"/>
        <v>253426.42527055016</v>
      </c>
      <c r="AF124" s="169">
        <f t="shared" si="76"/>
        <v>253426.42527055016</v>
      </c>
      <c r="AG124" s="169">
        <f t="shared" si="76"/>
        <v>253426.42527055016</v>
      </c>
      <c r="AH124" s="169">
        <f t="shared" si="76"/>
        <v>253426.42527055016</v>
      </c>
      <c r="AI124" s="169">
        <f t="shared" si="76"/>
        <v>253426.42527055016</v>
      </c>
      <c r="AJ124" s="169">
        <f>+AJ132</f>
        <v>6746526.1092865467</v>
      </c>
    </row>
    <row r="125" spans="2:37" ht="14.4" x14ac:dyDescent="0.25">
      <c r="B125" s="377" t="s">
        <v>73</v>
      </c>
      <c r="C125" s="377" t="str">
        <f>+C42</f>
        <v>DRENAGEM E OAC</v>
      </c>
      <c r="D125" s="188" t="s">
        <v>326</v>
      </c>
      <c r="E125" s="189"/>
      <c r="F125" s="190"/>
      <c r="G125" s="191">
        <f t="shared" ref="G125:AI125" si="77">+G42</f>
        <v>120505.17896824999</v>
      </c>
      <c r="H125" s="191">
        <f t="shared" si="77"/>
        <v>120505.17896824999</v>
      </c>
      <c r="I125" s="191">
        <f t="shared" si="77"/>
        <v>120505.17896824999</v>
      </c>
      <c r="J125" s="191">
        <f t="shared" si="77"/>
        <v>121184.35826625001</v>
      </c>
      <c r="K125" s="191">
        <f t="shared" si="77"/>
        <v>121184.35826625001</v>
      </c>
      <c r="L125" s="191">
        <f t="shared" si="77"/>
        <v>139263.26309275001</v>
      </c>
      <c r="M125" s="191">
        <f t="shared" si="77"/>
        <v>158165.09215600003</v>
      </c>
      <c r="N125" s="191">
        <f t="shared" si="77"/>
        <v>174602.26819100001</v>
      </c>
      <c r="O125" s="191">
        <f t="shared" si="77"/>
        <v>188658.14372925003</v>
      </c>
      <c r="P125" s="191">
        <f t="shared" si="77"/>
        <v>188658.14372925003</v>
      </c>
      <c r="Q125" s="191">
        <f t="shared" si="77"/>
        <v>188658.14372925003</v>
      </c>
      <c r="R125" s="191">
        <f t="shared" si="77"/>
        <v>188658.14372925003</v>
      </c>
      <c r="S125" s="191">
        <f t="shared" si="77"/>
        <v>188658.14372925003</v>
      </c>
      <c r="T125" s="191">
        <f t="shared" si="77"/>
        <v>188658.14372925003</v>
      </c>
      <c r="U125" s="191">
        <f t="shared" si="77"/>
        <v>188658.14372925003</v>
      </c>
      <c r="V125" s="191">
        <f t="shared" si="77"/>
        <v>188658.14372925003</v>
      </c>
      <c r="W125" s="191">
        <f t="shared" si="77"/>
        <v>188658.14372925003</v>
      </c>
      <c r="X125" s="191">
        <f t="shared" si="77"/>
        <v>188658.14372925003</v>
      </c>
      <c r="Y125" s="191">
        <f t="shared" si="77"/>
        <v>189645.38026493002</v>
      </c>
      <c r="Z125" s="191">
        <f t="shared" si="77"/>
        <v>189645.38026493002</v>
      </c>
      <c r="AA125" s="191">
        <f t="shared" si="77"/>
        <v>189645.38026493002</v>
      </c>
      <c r="AB125" s="191">
        <f t="shared" si="77"/>
        <v>189645.38026493002</v>
      </c>
      <c r="AC125" s="191">
        <f t="shared" si="77"/>
        <v>189645.38026493002</v>
      </c>
      <c r="AD125" s="191">
        <f t="shared" si="77"/>
        <v>189645.38026493002</v>
      </c>
      <c r="AE125" s="191">
        <f t="shared" si="77"/>
        <v>189645.38026493002</v>
      </c>
      <c r="AF125" s="191">
        <f t="shared" si="77"/>
        <v>189645.38026493002</v>
      </c>
      <c r="AG125" s="191">
        <f t="shared" si="77"/>
        <v>189645.38026493002</v>
      </c>
      <c r="AH125" s="191">
        <f t="shared" si="77"/>
        <v>189645.38026493002</v>
      </c>
      <c r="AI125" s="191">
        <f t="shared" si="77"/>
        <v>189645.38026493002</v>
      </c>
      <c r="AJ125" s="202">
        <f t="shared" ref="AJ125:AJ132" si="78">+SUM(F125:AI125)</f>
        <v>5048595.497083731</v>
      </c>
    </row>
    <row r="126" spans="2:37" ht="14.4" x14ac:dyDescent="0.25">
      <c r="B126" s="378"/>
      <c r="C126" s="378"/>
      <c r="D126" s="192" t="s">
        <v>327</v>
      </c>
      <c r="E126" s="193">
        <v>6.3299999999999995E-2</v>
      </c>
      <c r="F126" s="194"/>
      <c r="G126" s="195">
        <f t="shared" ref="G126:AI126" si="79">+G125*$E126</f>
        <v>7627.9778286902238</v>
      </c>
      <c r="H126" s="195">
        <f t="shared" si="79"/>
        <v>7627.9778286902238</v>
      </c>
      <c r="I126" s="195">
        <f t="shared" si="79"/>
        <v>7627.9778286902238</v>
      </c>
      <c r="J126" s="195">
        <f t="shared" si="79"/>
        <v>7670.9698782536252</v>
      </c>
      <c r="K126" s="195">
        <f t="shared" si="79"/>
        <v>7670.9698782536252</v>
      </c>
      <c r="L126" s="195">
        <f t="shared" si="79"/>
        <v>8815.3645537710745</v>
      </c>
      <c r="M126" s="195">
        <f t="shared" si="79"/>
        <v>10011.8503334748</v>
      </c>
      <c r="N126" s="195">
        <f t="shared" si="79"/>
        <v>11052.3235764903</v>
      </c>
      <c r="O126" s="195">
        <f t="shared" si="79"/>
        <v>11942.060498061526</v>
      </c>
      <c r="P126" s="195">
        <f t="shared" si="79"/>
        <v>11942.060498061526</v>
      </c>
      <c r="Q126" s="195">
        <f t="shared" si="79"/>
        <v>11942.060498061526</v>
      </c>
      <c r="R126" s="195">
        <f t="shared" si="79"/>
        <v>11942.060498061526</v>
      </c>
      <c r="S126" s="195">
        <f t="shared" si="79"/>
        <v>11942.060498061526</v>
      </c>
      <c r="T126" s="195">
        <f t="shared" si="79"/>
        <v>11942.060498061526</v>
      </c>
      <c r="U126" s="195">
        <f t="shared" si="79"/>
        <v>11942.060498061526</v>
      </c>
      <c r="V126" s="195">
        <f t="shared" si="79"/>
        <v>11942.060498061526</v>
      </c>
      <c r="W126" s="195">
        <f t="shared" si="79"/>
        <v>11942.060498061526</v>
      </c>
      <c r="X126" s="195">
        <f t="shared" si="79"/>
        <v>11942.060498061526</v>
      </c>
      <c r="Y126" s="195">
        <f t="shared" si="79"/>
        <v>12004.552570770069</v>
      </c>
      <c r="Z126" s="195">
        <f t="shared" si="79"/>
        <v>12004.552570770069</v>
      </c>
      <c r="AA126" s="195">
        <f t="shared" si="79"/>
        <v>12004.552570770069</v>
      </c>
      <c r="AB126" s="195">
        <f t="shared" si="79"/>
        <v>12004.552570770069</v>
      </c>
      <c r="AC126" s="195">
        <f t="shared" si="79"/>
        <v>12004.552570770069</v>
      </c>
      <c r="AD126" s="195">
        <f t="shared" si="79"/>
        <v>12004.552570770069</v>
      </c>
      <c r="AE126" s="195">
        <f t="shared" si="79"/>
        <v>12004.552570770069</v>
      </c>
      <c r="AF126" s="195">
        <f t="shared" si="79"/>
        <v>12004.552570770069</v>
      </c>
      <c r="AG126" s="195">
        <f t="shared" si="79"/>
        <v>12004.552570770069</v>
      </c>
      <c r="AH126" s="195">
        <f t="shared" si="79"/>
        <v>12004.552570770069</v>
      </c>
      <c r="AI126" s="195">
        <f t="shared" si="79"/>
        <v>12004.552570770069</v>
      </c>
      <c r="AJ126" s="203">
        <f t="shared" si="78"/>
        <v>319576.09496540017</v>
      </c>
    </row>
    <row r="127" spans="2:37" ht="14.4" x14ac:dyDescent="0.25">
      <c r="B127" s="378"/>
      <c r="C127" s="378"/>
      <c r="D127" s="192" t="s">
        <v>328</v>
      </c>
      <c r="E127" s="193">
        <v>5.0000000000000001E-3</v>
      </c>
      <c r="F127" s="194"/>
      <c r="G127" s="195">
        <f>+G125*$E127</f>
        <v>602.52589484124996</v>
      </c>
      <c r="H127" s="195">
        <f t="shared" ref="H127:AI127" si="80">+H125*$E127</f>
        <v>602.52589484124996</v>
      </c>
      <c r="I127" s="195">
        <f t="shared" si="80"/>
        <v>602.52589484124996</v>
      </c>
      <c r="J127" s="195">
        <f t="shared" si="80"/>
        <v>605.92179133125012</v>
      </c>
      <c r="K127" s="195">
        <f t="shared" si="80"/>
        <v>605.92179133125012</v>
      </c>
      <c r="L127" s="195">
        <f t="shared" si="80"/>
        <v>696.31631546375013</v>
      </c>
      <c r="M127" s="195">
        <f t="shared" si="80"/>
        <v>790.82546078000018</v>
      </c>
      <c r="N127" s="195">
        <f t="shared" si="80"/>
        <v>873.01134095500004</v>
      </c>
      <c r="O127" s="195">
        <f t="shared" si="80"/>
        <v>943.29071864625018</v>
      </c>
      <c r="P127" s="195">
        <f t="shared" si="80"/>
        <v>943.29071864625018</v>
      </c>
      <c r="Q127" s="195">
        <f t="shared" si="80"/>
        <v>943.29071864625018</v>
      </c>
      <c r="R127" s="195">
        <f t="shared" si="80"/>
        <v>943.29071864625018</v>
      </c>
      <c r="S127" s="195">
        <f t="shared" si="80"/>
        <v>943.29071864625018</v>
      </c>
      <c r="T127" s="195">
        <f t="shared" si="80"/>
        <v>943.29071864625018</v>
      </c>
      <c r="U127" s="195">
        <f t="shared" si="80"/>
        <v>943.29071864625018</v>
      </c>
      <c r="V127" s="195">
        <f t="shared" si="80"/>
        <v>943.29071864625018</v>
      </c>
      <c r="W127" s="195">
        <f t="shared" si="80"/>
        <v>943.29071864625018</v>
      </c>
      <c r="X127" s="195">
        <f t="shared" si="80"/>
        <v>943.29071864625018</v>
      </c>
      <c r="Y127" s="195">
        <f t="shared" si="80"/>
        <v>948.22690132465016</v>
      </c>
      <c r="Z127" s="195">
        <f t="shared" si="80"/>
        <v>948.22690132465016</v>
      </c>
      <c r="AA127" s="195">
        <f t="shared" si="80"/>
        <v>948.22690132465016</v>
      </c>
      <c r="AB127" s="195">
        <f t="shared" si="80"/>
        <v>948.22690132465016</v>
      </c>
      <c r="AC127" s="195">
        <f t="shared" si="80"/>
        <v>948.22690132465016</v>
      </c>
      <c r="AD127" s="195">
        <f t="shared" si="80"/>
        <v>948.22690132465016</v>
      </c>
      <c r="AE127" s="195">
        <f t="shared" si="80"/>
        <v>948.22690132465016</v>
      </c>
      <c r="AF127" s="195">
        <f t="shared" si="80"/>
        <v>948.22690132465016</v>
      </c>
      <c r="AG127" s="195">
        <f t="shared" si="80"/>
        <v>948.22690132465016</v>
      </c>
      <c r="AH127" s="195">
        <f t="shared" si="80"/>
        <v>948.22690132465016</v>
      </c>
      <c r="AI127" s="195">
        <f t="shared" si="80"/>
        <v>948.22690132465016</v>
      </c>
      <c r="AJ127" s="203">
        <f t="shared" si="78"/>
        <v>25242.977485418669</v>
      </c>
    </row>
    <row r="128" spans="2:37" ht="14.4" x14ac:dyDescent="0.25">
      <c r="B128" s="378"/>
      <c r="C128" s="378"/>
      <c r="D128" s="192" t="s">
        <v>329</v>
      </c>
      <c r="E128" s="193">
        <v>2.8000000000000001E-2</v>
      </c>
      <c r="F128" s="194"/>
      <c r="G128" s="195">
        <f>+G125*$E128</f>
        <v>3374.1450111109998</v>
      </c>
      <c r="H128" s="195">
        <f t="shared" ref="H128:AI128" si="81">+H125*$E128</f>
        <v>3374.1450111109998</v>
      </c>
      <c r="I128" s="195">
        <f t="shared" si="81"/>
        <v>3374.1450111109998</v>
      </c>
      <c r="J128" s="195">
        <f t="shared" si="81"/>
        <v>3393.1620314550005</v>
      </c>
      <c r="K128" s="195">
        <f t="shared" si="81"/>
        <v>3393.1620314550005</v>
      </c>
      <c r="L128" s="195">
        <f t="shared" si="81"/>
        <v>3899.3713665970004</v>
      </c>
      <c r="M128" s="195">
        <f t="shared" si="81"/>
        <v>4428.6225803680009</v>
      </c>
      <c r="N128" s="195">
        <f t="shared" si="81"/>
        <v>4888.8635093480007</v>
      </c>
      <c r="O128" s="195">
        <f t="shared" si="81"/>
        <v>5282.4280244190013</v>
      </c>
      <c r="P128" s="195">
        <f t="shared" si="81"/>
        <v>5282.4280244190013</v>
      </c>
      <c r="Q128" s="195">
        <f t="shared" si="81"/>
        <v>5282.4280244190013</v>
      </c>
      <c r="R128" s="195">
        <f t="shared" si="81"/>
        <v>5282.4280244190013</v>
      </c>
      <c r="S128" s="195">
        <f t="shared" si="81"/>
        <v>5282.4280244190013</v>
      </c>
      <c r="T128" s="195">
        <f t="shared" si="81"/>
        <v>5282.4280244190013</v>
      </c>
      <c r="U128" s="195">
        <f t="shared" si="81"/>
        <v>5282.4280244190013</v>
      </c>
      <c r="V128" s="195">
        <f t="shared" si="81"/>
        <v>5282.4280244190013</v>
      </c>
      <c r="W128" s="195">
        <f t="shared" si="81"/>
        <v>5282.4280244190013</v>
      </c>
      <c r="X128" s="195">
        <f t="shared" si="81"/>
        <v>5282.4280244190013</v>
      </c>
      <c r="Y128" s="195">
        <f t="shared" si="81"/>
        <v>5310.0706474180406</v>
      </c>
      <c r="Z128" s="195">
        <f t="shared" si="81"/>
        <v>5310.0706474180406</v>
      </c>
      <c r="AA128" s="195">
        <f t="shared" si="81"/>
        <v>5310.0706474180406</v>
      </c>
      <c r="AB128" s="195">
        <f t="shared" si="81"/>
        <v>5310.0706474180406</v>
      </c>
      <c r="AC128" s="195">
        <f t="shared" si="81"/>
        <v>5310.0706474180406</v>
      </c>
      <c r="AD128" s="195">
        <f t="shared" si="81"/>
        <v>5310.0706474180406</v>
      </c>
      <c r="AE128" s="195">
        <f t="shared" si="81"/>
        <v>5310.0706474180406</v>
      </c>
      <c r="AF128" s="195">
        <f t="shared" si="81"/>
        <v>5310.0706474180406</v>
      </c>
      <c r="AG128" s="195">
        <f t="shared" si="81"/>
        <v>5310.0706474180406</v>
      </c>
      <c r="AH128" s="195">
        <f t="shared" si="81"/>
        <v>5310.0706474180406</v>
      </c>
      <c r="AI128" s="195">
        <f t="shared" si="81"/>
        <v>5310.0706474180406</v>
      </c>
      <c r="AJ128" s="203">
        <f t="shared" si="78"/>
        <v>141360.6739183444</v>
      </c>
    </row>
    <row r="129" spans="2:37" ht="14.4" x14ac:dyDescent="0.25">
      <c r="B129" s="378"/>
      <c r="C129" s="378"/>
      <c r="D129" s="192" t="s">
        <v>330</v>
      </c>
      <c r="E129" s="193">
        <v>5.0000000000000001E-3</v>
      </c>
      <c r="F129" s="194"/>
      <c r="G129" s="195">
        <f>+G125*$E129</f>
        <v>602.52589484124996</v>
      </c>
      <c r="H129" s="195">
        <f t="shared" ref="H129:AI129" si="82">+H125*$E129</f>
        <v>602.52589484124996</v>
      </c>
      <c r="I129" s="195">
        <f t="shared" si="82"/>
        <v>602.52589484124996</v>
      </c>
      <c r="J129" s="195">
        <f t="shared" si="82"/>
        <v>605.92179133125012</v>
      </c>
      <c r="K129" s="195">
        <f t="shared" si="82"/>
        <v>605.92179133125012</v>
      </c>
      <c r="L129" s="195">
        <f t="shared" si="82"/>
        <v>696.31631546375013</v>
      </c>
      <c r="M129" s="195">
        <f t="shared" si="82"/>
        <v>790.82546078000018</v>
      </c>
      <c r="N129" s="195">
        <f t="shared" si="82"/>
        <v>873.01134095500004</v>
      </c>
      <c r="O129" s="195">
        <f t="shared" si="82"/>
        <v>943.29071864625018</v>
      </c>
      <c r="P129" s="195">
        <f t="shared" si="82"/>
        <v>943.29071864625018</v>
      </c>
      <c r="Q129" s="195">
        <f t="shared" si="82"/>
        <v>943.29071864625018</v>
      </c>
      <c r="R129" s="195">
        <f t="shared" si="82"/>
        <v>943.29071864625018</v>
      </c>
      <c r="S129" s="195">
        <f t="shared" si="82"/>
        <v>943.29071864625018</v>
      </c>
      <c r="T129" s="195">
        <f t="shared" si="82"/>
        <v>943.29071864625018</v>
      </c>
      <c r="U129" s="195">
        <f t="shared" si="82"/>
        <v>943.29071864625018</v>
      </c>
      <c r="V129" s="195">
        <f t="shared" si="82"/>
        <v>943.29071864625018</v>
      </c>
      <c r="W129" s="195">
        <f t="shared" si="82"/>
        <v>943.29071864625018</v>
      </c>
      <c r="X129" s="195">
        <f t="shared" si="82"/>
        <v>943.29071864625018</v>
      </c>
      <c r="Y129" s="195">
        <f t="shared" si="82"/>
        <v>948.22690132465016</v>
      </c>
      <c r="Z129" s="195">
        <f t="shared" si="82"/>
        <v>948.22690132465016</v>
      </c>
      <c r="AA129" s="195">
        <f t="shared" si="82"/>
        <v>948.22690132465016</v>
      </c>
      <c r="AB129" s="195">
        <f t="shared" si="82"/>
        <v>948.22690132465016</v>
      </c>
      <c r="AC129" s="195">
        <f t="shared" si="82"/>
        <v>948.22690132465016</v>
      </c>
      <c r="AD129" s="195">
        <f t="shared" si="82"/>
        <v>948.22690132465016</v>
      </c>
      <c r="AE129" s="195">
        <f t="shared" si="82"/>
        <v>948.22690132465016</v>
      </c>
      <c r="AF129" s="195">
        <f t="shared" si="82"/>
        <v>948.22690132465016</v>
      </c>
      <c r="AG129" s="195">
        <f t="shared" si="82"/>
        <v>948.22690132465016</v>
      </c>
      <c r="AH129" s="195">
        <f t="shared" si="82"/>
        <v>948.22690132465016</v>
      </c>
      <c r="AI129" s="195">
        <f t="shared" si="82"/>
        <v>948.22690132465016</v>
      </c>
      <c r="AJ129" s="203">
        <f t="shared" si="78"/>
        <v>25242.977485418669</v>
      </c>
    </row>
    <row r="130" spans="2:37" ht="14.4" x14ac:dyDescent="0.25">
      <c r="B130" s="378"/>
      <c r="C130" s="378"/>
      <c r="D130" s="192" t="s">
        <v>331</v>
      </c>
      <c r="E130" s="196"/>
      <c r="F130" s="194"/>
      <c r="G130" s="195">
        <f t="shared" ref="G130:AI130" si="83">+SUBTOTAL(9,G125:G129)</f>
        <v>132712.35359773372</v>
      </c>
      <c r="H130" s="195">
        <f t="shared" si="83"/>
        <v>132712.35359773372</v>
      </c>
      <c r="I130" s="195">
        <f t="shared" si="83"/>
        <v>132712.35359773372</v>
      </c>
      <c r="J130" s="195">
        <f t="shared" si="83"/>
        <v>133460.33375862116</v>
      </c>
      <c r="K130" s="195">
        <f t="shared" si="83"/>
        <v>133460.33375862116</v>
      </c>
      <c r="L130" s="195">
        <f t="shared" si="83"/>
        <v>153370.63164404558</v>
      </c>
      <c r="M130" s="195">
        <f t="shared" si="83"/>
        <v>174187.21599140286</v>
      </c>
      <c r="N130" s="195">
        <f t="shared" si="83"/>
        <v>192289.47795874835</v>
      </c>
      <c r="O130" s="195">
        <f t="shared" si="83"/>
        <v>207769.21368902308</v>
      </c>
      <c r="P130" s="195">
        <f t="shared" si="83"/>
        <v>207769.21368902308</v>
      </c>
      <c r="Q130" s="195">
        <f t="shared" si="83"/>
        <v>207769.21368902308</v>
      </c>
      <c r="R130" s="195">
        <f t="shared" si="83"/>
        <v>207769.21368902308</v>
      </c>
      <c r="S130" s="195">
        <f t="shared" si="83"/>
        <v>207769.21368902308</v>
      </c>
      <c r="T130" s="195">
        <f t="shared" si="83"/>
        <v>207769.21368902308</v>
      </c>
      <c r="U130" s="195">
        <f t="shared" si="83"/>
        <v>207769.21368902308</v>
      </c>
      <c r="V130" s="195">
        <f t="shared" si="83"/>
        <v>207769.21368902308</v>
      </c>
      <c r="W130" s="195">
        <f t="shared" si="83"/>
        <v>207769.21368902308</v>
      </c>
      <c r="X130" s="195">
        <f t="shared" si="83"/>
        <v>207769.21368902308</v>
      </c>
      <c r="Y130" s="195">
        <f t="shared" si="83"/>
        <v>208856.45728576739</v>
      </c>
      <c r="Z130" s="195">
        <f t="shared" si="83"/>
        <v>208856.45728576739</v>
      </c>
      <c r="AA130" s="195">
        <f t="shared" si="83"/>
        <v>208856.45728576739</v>
      </c>
      <c r="AB130" s="195">
        <f t="shared" si="83"/>
        <v>208856.45728576739</v>
      </c>
      <c r="AC130" s="195">
        <f t="shared" si="83"/>
        <v>208856.45728576739</v>
      </c>
      <c r="AD130" s="195">
        <f t="shared" si="83"/>
        <v>208856.45728576739</v>
      </c>
      <c r="AE130" s="195">
        <f t="shared" si="83"/>
        <v>208856.45728576739</v>
      </c>
      <c r="AF130" s="195">
        <f t="shared" si="83"/>
        <v>208856.45728576739</v>
      </c>
      <c r="AG130" s="195">
        <f t="shared" si="83"/>
        <v>208856.45728576739</v>
      </c>
      <c r="AH130" s="195">
        <f t="shared" si="83"/>
        <v>208856.45728576739</v>
      </c>
      <c r="AI130" s="195">
        <f t="shared" si="83"/>
        <v>208856.45728576739</v>
      </c>
      <c r="AJ130" s="203">
        <f t="shared" si="78"/>
        <v>5560018.2209383128</v>
      </c>
    </row>
    <row r="131" spans="2:37" ht="14.4" x14ac:dyDescent="0.25">
      <c r="B131" s="378"/>
      <c r="C131" s="378"/>
      <c r="D131" s="192" t="s">
        <v>332</v>
      </c>
      <c r="E131" s="197">
        <f>BDI!G5</f>
        <v>0.21340000000000001</v>
      </c>
      <c r="F131" s="194"/>
      <c r="G131" s="195">
        <f t="shared" ref="G131:AI131" si="84">+G130*$E131</f>
        <v>28320.816257756374</v>
      </c>
      <c r="H131" s="195">
        <f t="shared" si="84"/>
        <v>28320.816257756374</v>
      </c>
      <c r="I131" s="195">
        <f t="shared" si="84"/>
        <v>28320.816257756374</v>
      </c>
      <c r="J131" s="195">
        <f t="shared" si="84"/>
        <v>28480.435224089757</v>
      </c>
      <c r="K131" s="195">
        <f t="shared" si="84"/>
        <v>28480.435224089757</v>
      </c>
      <c r="L131" s="195">
        <f t="shared" si="84"/>
        <v>32729.292792839329</v>
      </c>
      <c r="M131" s="195">
        <f t="shared" si="84"/>
        <v>37171.551892565374</v>
      </c>
      <c r="N131" s="195">
        <f t="shared" si="84"/>
        <v>41034.574596396902</v>
      </c>
      <c r="O131" s="195">
        <f t="shared" si="84"/>
        <v>44337.950201237523</v>
      </c>
      <c r="P131" s="195">
        <f t="shared" si="84"/>
        <v>44337.950201237523</v>
      </c>
      <c r="Q131" s="195">
        <f t="shared" si="84"/>
        <v>44337.950201237523</v>
      </c>
      <c r="R131" s="195">
        <f t="shared" si="84"/>
        <v>44337.950201237523</v>
      </c>
      <c r="S131" s="195">
        <f t="shared" si="84"/>
        <v>44337.950201237523</v>
      </c>
      <c r="T131" s="195">
        <f t="shared" si="84"/>
        <v>44337.950201237523</v>
      </c>
      <c r="U131" s="195">
        <f t="shared" si="84"/>
        <v>44337.950201237523</v>
      </c>
      <c r="V131" s="195">
        <f t="shared" si="84"/>
        <v>44337.950201237523</v>
      </c>
      <c r="W131" s="195">
        <f t="shared" si="84"/>
        <v>44337.950201237523</v>
      </c>
      <c r="X131" s="195">
        <f t="shared" si="84"/>
        <v>44337.950201237523</v>
      </c>
      <c r="Y131" s="195">
        <f t="shared" si="84"/>
        <v>44569.967984782765</v>
      </c>
      <c r="Z131" s="195">
        <f t="shared" si="84"/>
        <v>44569.967984782765</v>
      </c>
      <c r="AA131" s="195">
        <f t="shared" si="84"/>
        <v>44569.967984782765</v>
      </c>
      <c r="AB131" s="195">
        <f t="shared" si="84"/>
        <v>44569.967984782765</v>
      </c>
      <c r="AC131" s="195">
        <f t="shared" si="84"/>
        <v>44569.967984782765</v>
      </c>
      <c r="AD131" s="195">
        <f t="shared" si="84"/>
        <v>44569.967984782765</v>
      </c>
      <c r="AE131" s="195">
        <f t="shared" si="84"/>
        <v>44569.967984782765</v>
      </c>
      <c r="AF131" s="195">
        <f t="shared" si="84"/>
        <v>44569.967984782765</v>
      </c>
      <c r="AG131" s="195">
        <f t="shared" si="84"/>
        <v>44569.967984782765</v>
      </c>
      <c r="AH131" s="195">
        <f t="shared" si="84"/>
        <v>44569.967984782765</v>
      </c>
      <c r="AI131" s="195">
        <f t="shared" si="84"/>
        <v>44569.967984782765</v>
      </c>
      <c r="AJ131" s="203">
        <f t="shared" si="78"/>
        <v>1186507.888348236</v>
      </c>
    </row>
    <row r="132" spans="2:37" ht="14.4" x14ac:dyDescent="0.25">
      <c r="B132" s="378"/>
      <c r="C132" s="378"/>
      <c r="D132" s="192" t="s">
        <v>333</v>
      </c>
      <c r="E132" s="196"/>
      <c r="F132" s="194"/>
      <c r="G132" s="204">
        <f t="shared" ref="G132:AI132" si="85">+SUM(G130:G131)</f>
        <v>161033.16985549009</v>
      </c>
      <c r="H132" s="204">
        <f t="shared" si="85"/>
        <v>161033.16985549009</v>
      </c>
      <c r="I132" s="204">
        <f t="shared" si="85"/>
        <v>161033.16985549009</v>
      </c>
      <c r="J132" s="204">
        <f t="shared" si="85"/>
        <v>161940.7689827109</v>
      </c>
      <c r="K132" s="204">
        <f t="shared" si="85"/>
        <v>161940.7689827109</v>
      </c>
      <c r="L132" s="204">
        <f t="shared" si="85"/>
        <v>186099.9244368849</v>
      </c>
      <c r="M132" s="204">
        <f t="shared" si="85"/>
        <v>211358.76788396825</v>
      </c>
      <c r="N132" s="204">
        <f t="shared" si="85"/>
        <v>233324.05255514526</v>
      </c>
      <c r="O132" s="204">
        <f t="shared" si="85"/>
        <v>252107.16389026059</v>
      </c>
      <c r="P132" s="204">
        <f t="shared" si="85"/>
        <v>252107.16389026059</v>
      </c>
      <c r="Q132" s="204">
        <f t="shared" si="85"/>
        <v>252107.16389026059</v>
      </c>
      <c r="R132" s="204">
        <f t="shared" si="85"/>
        <v>252107.16389026059</v>
      </c>
      <c r="S132" s="204">
        <f t="shared" si="85"/>
        <v>252107.16389026059</v>
      </c>
      <c r="T132" s="204">
        <f t="shared" si="85"/>
        <v>252107.16389026059</v>
      </c>
      <c r="U132" s="204">
        <f t="shared" si="85"/>
        <v>252107.16389026059</v>
      </c>
      <c r="V132" s="204">
        <f t="shared" si="85"/>
        <v>252107.16389026059</v>
      </c>
      <c r="W132" s="204">
        <f t="shared" si="85"/>
        <v>252107.16389026059</v>
      </c>
      <c r="X132" s="204">
        <f t="shared" si="85"/>
        <v>252107.16389026059</v>
      </c>
      <c r="Y132" s="204">
        <f t="shared" si="85"/>
        <v>253426.42527055016</v>
      </c>
      <c r="Z132" s="204">
        <f t="shared" si="85"/>
        <v>253426.42527055016</v>
      </c>
      <c r="AA132" s="204">
        <f t="shared" si="85"/>
        <v>253426.42527055016</v>
      </c>
      <c r="AB132" s="204">
        <f t="shared" si="85"/>
        <v>253426.42527055016</v>
      </c>
      <c r="AC132" s="204">
        <f t="shared" si="85"/>
        <v>253426.42527055016</v>
      </c>
      <c r="AD132" s="204">
        <f t="shared" si="85"/>
        <v>253426.42527055016</v>
      </c>
      <c r="AE132" s="204">
        <f t="shared" si="85"/>
        <v>253426.42527055016</v>
      </c>
      <c r="AF132" s="204">
        <f t="shared" si="85"/>
        <v>253426.42527055016</v>
      </c>
      <c r="AG132" s="204">
        <f t="shared" si="85"/>
        <v>253426.42527055016</v>
      </c>
      <c r="AH132" s="204">
        <f t="shared" si="85"/>
        <v>253426.42527055016</v>
      </c>
      <c r="AI132" s="204">
        <f t="shared" si="85"/>
        <v>253426.42527055016</v>
      </c>
      <c r="AJ132" s="205">
        <f t="shared" si="78"/>
        <v>6746526.1092865467</v>
      </c>
      <c r="AK132" s="4"/>
    </row>
    <row r="133" spans="2:37" ht="14.4" x14ac:dyDescent="0.25">
      <c r="B133" s="185" t="s">
        <v>338</v>
      </c>
      <c r="C133" s="66" t="str">
        <f>+C49</f>
        <v>TERRAPLENOS E ESTRUTURAS DE CONTENÇÃO</v>
      </c>
      <c r="D133" s="66"/>
      <c r="E133" s="93"/>
      <c r="F133" s="169">
        <f t="shared" ref="F133:AI133" si="86">+F141</f>
        <v>0</v>
      </c>
      <c r="G133" s="169">
        <f t="shared" si="86"/>
        <v>59810.380602153287</v>
      </c>
      <c r="H133" s="169">
        <f t="shared" si="86"/>
        <v>59810.380602153287</v>
      </c>
      <c r="I133" s="169">
        <f t="shared" si="86"/>
        <v>59810.380602153287</v>
      </c>
      <c r="J133" s="169">
        <f t="shared" si="86"/>
        <v>60217.866786205865</v>
      </c>
      <c r="K133" s="169">
        <f t="shared" si="86"/>
        <v>60217.866786205865</v>
      </c>
      <c r="L133" s="169">
        <f t="shared" si="86"/>
        <v>71064.640180644914</v>
      </c>
      <c r="M133" s="169">
        <f t="shared" si="86"/>
        <v>82405.142194294051</v>
      </c>
      <c r="N133" s="169">
        <f t="shared" si="86"/>
        <v>92266.930029739204</v>
      </c>
      <c r="O133" s="169">
        <f t="shared" si="86"/>
        <v>100700.01258020209</v>
      </c>
      <c r="P133" s="169">
        <f t="shared" si="86"/>
        <v>100700.01258020209</v>
      </c>
      <c r="Q133" s="169">
        <f t="shared" si="86"/>
        <v>100700.01258020209</v>
      </c>
      <c r="R133" s="169">
        <f t="shared" si="86"/>
        <v>100700.01258020209</v>
      </c>
      <c r="S133" s="169">
        <f t="shared" si="86"/>
        <v>100700.01258020209</v>
      </c>
      <c r="T133" s="169">
        <f t="shared" si="86"/>
        <v>100700.01258020209</v>
      </c>
      <c r="U133" s="169">
        <f t="shared" si="86"/>
        <v>100700.01258020209</v>
      </c>
      <c r="V133" s="169">
        <f t="shared" si="86"/>
        <v>100700.01258020209</v>
      </c>
      <c r="W133" s="169">
        <f t="shared" si="86"/>
        <v>100700.01258020209</v>
      </c>
      <c r="X133" s="169">
        <f t="shared" si="86"/>
        <v>100700.01258020209</v>
      </c>
      <c r="Y133" s="169">
        <f t="shared" si="86"/>
        <v>101292.32340278776</v>
      </c>
      <c r="Z133" s="169">
        <f t="shared" si="86"/>
        <v>101292.32340278776</v>
      </c>
      <c r="AA133" s="169">
        <f t="shared" si="86"/>
        <v>101292.32340278776</v>
      </c>
      <c r="AB133" s="169">
        <f t="shared" si="86"/>
        <v>101292.32340278776</v>
      </c>
      <c r="AC133" s="169">
        <f t="shared" si="86"/>
        <v>101292.32340278776</v>
      </c>
      <c r="AD133" s="169">
        <f t="shared" si="86"/>
        <v>101292.32340278776</v>
      </c>
      <c r="AE133" s="169">
        <f t="shared" si="86"/>
        <v>101292.32340278776</v>
      </c>
      <c r="AF133" s="169">
        <f t="shared" si="86"/>
        <v>101292.32340278776</v>
      </c>
      <c r="AG133" s="169">
        <f t="shared" si="86"/>
        <v>101292.32340278776</v>
      </c>
      <c r="AH133" s="169">
        <f t="shared" si="86"/>
        <v>101292.32340278776</v>
      </c>
      <c r="AI133" s="169">
        <f t="shared" si="86"/>
        <v>101292.32340278776</v>
      </c>
      <c r="AJ133" s="169">
        <f>+AJ141</f>
        <v>2666819.2710162355</v>
      </c>
      <c r="AK133" s="4"/>
    </row>
    <row r="134" spans="2:37" ht="14.4" x14ac:dyDescent="0.25">
      <c r="B134" s="377" t="s">
        <v>73</v>
      </c>
      <c r="C134" s="377" t="str">
        <f>+C50</f>
        <v>Terrapleno e Estruturas de Contenção</v>
      </c>
      <c r="D134" s="188" t="s">
        <v>326</v>
      </c>
      <c r="E134" s="189"/>
      <c r="F134" s="190"/>
      <c r="G134" s="191">
        <f t="shared" ref="G134:AI134" si="87">+G49</f>
        <v>44757.614999999998</v>
      </c>
      <c r="H134" s="191">
        <f t="shared" si="87"/>
        <v>44757.614999999998</v>
      </c>
      <c r="I134" s="191">
        <f t="shared" si="87"/>
        <v>44757.614999999998</v>
      </c>
      <c r="J134" s="191">
        <f t="shared" si="87"/>
        <v>45062.547179999994</v>
      </c>
      <c r="K134" s="191">
        <f t="shared" si="87"/>
        <v>45062.547179999994</v>
      </c>
      <c r="L134" s="191">
        <f t="shared" si="87"/>
        <v>53179.461045000004</v>
      </c>
      <c r="M134" s="191">
        <f t="shared" si="87"/>
        <v>61665.844477499995</v>
      </c>
      <c r="N134" s="191">
        <f t="shared" si="87"/>
        <v>69045.668827499991</v>
      </c>
      <c r="O134" s="191">
        <f t="shared" si="87"/>
        <v>75356.357009999992</v>
      </c>
      <c r="P134" s="191">
        <f t="shared" si="87"/>
        <v>75356.357009999992</v>
      </c>
      <c r="Q134" s="191">
        <f t="shared" si="87"/>
        <v>75356.357009999992</v>
      </c>
      <c r="R134" s="191">
        <f t="shared" si="87"/>
        <v>75356.357009999992</v>
      </c>
      <c r="S134" s="191">
        <f t="shared" si="87"/>
        <v>75356.357009999992</v>
      </c>
      <c r="T134" s="191">
        <f t="shared" si="87"/>
        <v>75356.357009999992</v>
      </c>
      <c r="U134" s="191">
        <f t="shared" si="87"/>
        <v>75356.357009999992</v>
      </c>
      <c r="V134" s="191">
        <f t="shared" si="87"/>
        <v>75356.357009999992</v>
      </c>
      <c r="W134" s="191">
        <f t="shared" si="87"/>
        <v>75356.357009999992</v>
      </c>
      <c r="X134" s="191">
        <f t="shared" si="87"/>
        <v>75356.357009999992</v>
      </c>
      <c r="Y134" s="191">
        <f t="shared" si="87"/>
        <v>75799.598124514276</v>
      </c>
      <c r="Z134" s="191">
        <f t="shared" si="87"/>
        <v>75799.598124514276</v>
      </c>
      <c r="AA134" s="191">
        <f t="shared" si="87"/>
        <v>75799.598124514276</v>
      </c>
      <c r="AB134" s="191">
        <f t="shared" si="87"/>
        <v>75799.598124514276</v>
      </c>
      <c r="AC134" s="191">
        <f t="shared" si="87"/>
        <v>75799.598124514276</v>
      </c>
      <c r="AD134" s="191">
        <f t="shared" si="87"/>
        <v>75799.598124514276</v>
      </c>
      <c r="AE134" s="191">
        <f t="shared" si="87"/>
        <v>75799.598124514276</v>
      </c>
      <c r="AF134" s="191">
        <f t="shared" si="87"/>
        <v>75799.598124514276</v>
      </c>
      <c r="AG134" s="191">
        <f t="shared" si="87"/>
        <v>75799.598124514276</v>
      </c>
      <c r="AH134" s="191">
        <f t="shared" si="87"/>
        <v>75799.598124514276</v>
      </c>
      <c r="AI134" s="191">
        <f t="shared" si="87"/>
        <v>75799.598124514276</v>
      </c>
      <c r="AJ134" s="202">
        <f t="shared" ref="AJ134:AJ141" si="88">+SUM(F134:AI134)</f>
        <v>1995648.0631796578</v>
      </c>
    </row>
    <row r="135" spans="2:37" ht="14.4" x14ac:dyDescent="0.25">
      <c r="B135" s="378"/>
      <c r="C135" s="378"/>
      <c r="D135" s="192" t="s">
        <v>327</v>
      </c>
      <c r="E135" s="193">
        <v>6.3299999999999995E-2</v>
      </c>
      <c r="F135" s="194"/>
      <c r="G135" s="195">
        <f t="shared" ref="G135:AI135" si="89">+G134*$E135</f>
        <v>2833.1570294999997</v>
      </c>
      <c r="H135" s="195">
        <f t="shared" si="89"/>
        <v>2833.1570294999997</v>
      </c>
      <c r="I135" s="195">
        <f t="shared" si="89"/>
        <v>2833.1570294999997</v>
      </c>
      <c r="J135" s="195">
        <f t="shared" si="89"/>
        <v>2852.4592364939995</v>
      </c>
      <c r="K135" s="195">
        <f t="shared" si="89"/>
        <v>2852.4592364939995</v>
      </c>
      <c r="L135" s="195">
        <f t="shared" si="89"/>
        <v>3366.2598841485001</v>
      </c>
      <c r="M135" s="195">
        <f t="shared" si="89"/>
        <v>3903.4479554257496</v>
      </c>
      <c r="N135" s="195">
        <f t="shared" si="89"/>
        <v>4370.5908367807488</v>
      </c>
      <c r="O135" s="195">
        <f t="shared" si="89"/>
        <v>4770.057398732999</v>
      </c>
      <c r="P135" s="195">
        <f t="shared" si="89"/>
        <v>4770.057398732999</v>
      </c>
      <c r="Q135" s="195">
        <f t="shared" si="89"/>
        <v>4770.057398732999</v>
      </c>
      <c r="R135" s="195">
        <f t="shared" si="89"/>
        <v>4770.057398732999</v>
      </c>
      <c r="S135" s="195">
        <f t="shared" si="89"/>
        <v>4770.057398732999</v>
      </c>
      <c r="T135" s="195">
        <f t="shared" si="89"/>
        <v>4770.057398732999</v>
      </c>
      <c r="U135" s="195">
        <f t="shared" si="89"/>
        <v>4770.057398732999</v>
      </c>
      <c r="V135" s="195">
        <f t="shared" si="89"/>
        <v>4770.057398732999</v>
      </c>
      <c r="W135" s="195">
        <f t="shared" si="89"/>
        <v>4770.057398732999</v>
      </c>
      <c r="X135" s="195">
        <f t="shared" si="89"/>
        <v>4770.057398732999</v>
      </c>
      <c r="Y135" s="195">
        <f t="shared" si="89"/>
        <v>4798.1145612817536</v>
      </c>
      <c r="Z135" s="195">
        <f t="shared" si="89"/>
        <v>4798.1145612817536</v>
      </c>
      <c r="AA135" s="195">
        <f t="shared" si="89"/>
        <v>4798.1145612817536</v>
      </c>
      <c r="AB135" s="195">
        <f t="shared" si="89"/>
        <v>4798.1145612817536</v>
      </c>
      <c r="AC135" s="195">
        <f t="shared" si="89"/>
        <v>4798.1145612817536</v>
      </c>
      <c r="AD135" s="195">
        <f t="shared" si="89"/>
        <v>4798.1145612817536</v>
      </c>
      <c r="AE135" s="195">
        <f t="shared" si="89"/>
        <v>4798.1145612817536</v>
      </c>
      <c r="AF135" s="195">
        <f t="shared" si="89"/>
        <v>4798.1145612817536</v>
      </c>
      <c r="AG135" s="195">
        <f t="shared" si="89"/>
        <v>4798.1145612817536</v>
      </c>
      <c r="AH135" s="195">
        <f t="shared" si="89"/>
        <v>4798.1145612817536</v>
      </c>
      <c r="AI135" s="195">
        <f t="shared" si="89"/>
        <v>4798.1145612817536</v>
      </c>
      <c r="AJ135" s="203">
        <f t="shared" si="88"/>
        <v>126324.52239927223</v>
      </c>
    </row>
    <row r="136" spans="2:37" ht="14.4" x14ac:dyDescent="0.25">
      <c r="B136" s="378"/>
      <c r="C136" s="378"/>
      <c r="D136" s="192" t="s">
        <v>328</v>
      </c>
      <c r="E136" s="193">
        <v>5.0000000000000001E-3</v>
      </c>
      <c r="F136" s="194"/>
      <c r="G136" s="195">
        <f>+G134*$E136</f>
        <v>223.78807499999999</v>
      </c>
      <c r="H136" s="195">
        <f t="shared" ref="H136:AI136" si="90">+H134*$E136</f>
        <v>223.78807499999999</v>
      </c>
      <c r="I136" s="195">
        <f t="shared" si="90"/>
        <v>223.78807499999999</v>
      </c>
      <c r="J136" s="195">
        <f t="shared" si="90"/>
        <v>225.31273589999998</v>
      </c>
      <c r="K136" s="195">
        <f t="shared" si="90"/>
        <v>225.31273589999998</v>
      </c>
      <c r="L136" s="195">
        <f t="shared" si="90"/>
        <v>265.89730522500003</v>
      </c>
      <c r="M136" s="195">
        <f t="shared" si="90"/>
        <v>308.32922238750001</v>
      </c>
      <c r="N136" s="195">
        <f t="shared" si="90"/>
        <v>345.22834413749996</v>
      </c>
      <c r="O136" s="195">
        <f t="shared" si="90"/>
        <v>376.78178505</v>
      </c>
      <c r="P136" s="195">
        <f t="shared" si="90"/>
        <v>376.78178505</v>
      </c>
      <c r="Q136" s="195">
        <f t="shared" si="90"/>
        <v>376.78178505</v>
      </c>
      <c r="R136" s="195">
        <f t="shared" si="90"/>
        <v>376.78178505</v>
      </c>
      <c r="S136" s="195">
        <f t="shared" si="90"/>
        <v>376.78178505</v>
      </c>
      <c r="T136" s="195">
        <f t="shared" si="90"/>
        <v>376.78178505</v>
      </c>
      <c r="U136" s="195">
        <f t="shared" si="90"/>
        <v>376.78178505</v>
      </c>
      <c r="V136" s="195">
        <f t="shared" si="90"/>
        <v>376.78178505</v>
      </c>
      <c r="W136" s="195">
        <f t="shared" si="90"/>
        <v>376.78178505</v>
      </c>
      <c r="X136" s="195">
        <f t="shared" si="90"/>
        <v>376.78178505</v>
      </c>
      <c r="Y136" s="195">
        <f t="shared" si="90"/>
        <v>378.99799062257136</v>
      </c>
      <c r="Z136" s="195">
        <f t="shared" si="90"/>
        <v>378.99799062257136</v>
      </c>
      <c r="AA136" s="195">
        <f t="shared" si="90"/>
        <v>378.99799062257136</v>
      </c>
      <c r="AB136" s="195">
        <f t="shared" si="90"/>
        <v>378.99799062257136</v>
      </c>
      <c r="AC136" s="195">
        <f t="shared" si="90"/>
        <v>378.99799062257136</v>
      </c>
      <c r="AD136" s="195">
        <f t="shared" si="90"/>
        <v>378.99799062257136</v>
      </c>
      <c r="AE136" s="195">
        <f t="shared" si="90"/>
        <v>378.99799062257136</v>
      </c>
      <c r="AF136" s="195">
        <f t="shared" si="90"/>
        <v>378.99799062257136</v>
      </c>
      <c r="AG136" s="195">
        <f t="shared" si="90"/>
        <v>378.99799062257136</v>
      </c>
      <c r="AH136" s="195">
        <f t="shared" si="90"/>
        <v>378.99799062257136</v>
      </c>
      <c r="AI136" s="195">
        <f t="shared" si="90"/>
        <v>378.99799062257136</v>
      </c>
      <c r="AJ136" s="203">
        <f t="shared" si="88"/>
        <v>9978.2403158982834</v>
      </c>
    </row>
    <row r="137" spans="2:37" ht="14.4" x14ac:dyDescent="0.25">
      <c r="B137" s="378"/>
      <c r="C137" s="378"/>
      <c r="D137" s="192" t="s">
        <v>329</v>
      </c>
      <c r="E137" s="193">
        <v>2.8000000000000001E-2</v>
      </c>
      <c r="F137" s="194"/>
      <c r="G137" s="195">
        <f>+G134*$E137</f>
        <v>1253.2132199999999</v>
      </c>
      <c r="H137" s="195">
        <f t="shared" ref="H137:AI137" si="91">+H134*$E137</f>
        <v>1253.2132199999999</v>
      </c>
      <c r="I137" s="195">
        <f t="shared" si="91"/>
        <v>1253.2132199999999</v>
      </c>
      <c r="J137" s="195">
        <f t="shared" si="91"/>
        <v>1261.7513210399998</v>
      </c>
      <c r="K137" s="195">
        <f t="shared" si="91"/>
        <v>1261.7513210399998</v>
      </c>
      <c r="L137" s="195">
        <f t="shared" si="91"/>
        <v>1489.0249092600002</v>
      </c>
      <c r="M137" s="195">
        <f t="shared" si="91"/>
        <v>1726.6436453699998</v>
      </c>
      <c r="N137" s="195">
        <f t="shared" si="91"/>
        <v>1933.2787271699997</v>
      </c>
      <c r="O137" s="195">
        <f t="shared" si="91"/>
        <v>2109.9779962799998</v>
      </c>
      <c r="P137" s="195">
        <f t="shared" si="91"/>
        <v>2109.9779962799998</v>
      </c>
      <c r="Q137" s="195">
        <f t="shared" si="91"/>
        <v>2109.9779962799998</v>
      </c>
      <c r="R137" s="195">
        <f t="shared" si="91"/>
        <v>2109.9779962799998</v>
      </c>
      <c r="S137" s="195">
        <f t="shared" si="91"/>
        <v>2109.9779962799998</v>
      </c>
      <c r="T137" s="195">
        <f t="shared" si="91"/>
        <v>2109.9779962799998</v>
      </c>
      <c r="U137" s="195">
        <f t="shared" si="91"/>
        <v>2109.9779962799998</v>
      </c>
      <c r="V137" s="195">
        <f t="shared" si="91"/>
        <v>2109.9779962799998</v>
      </c>
      <c r="W137" s="195">
        <f t="shared" si="91"/>
        <v>2109.9779962799998</v>
      </c>
      <c r="X137" s="195">
        <f t="shared" si="91"/>
        <v>2109.9779962799998</v>
      </c>
      <c r="Y137" s="195">
        <f t="shared" si="91"/>
        <v>2122.3887474863996</v>
      </c>
      <c r="Z137" s="195">
        <f t="shared" si="91"/>
        <v>2122.3887474863996</v>
      </c>
      <c r="AA137" s="195">
        <f t="shared" si="91"/>
        <v>2122.3887474863996</v>
      </c>
      <c r="AB137" s="195">
        <f t="shared" si="91"/>
        <v>2122.3887474863996</v>
      </c>
      <c r="AC137" s="195">
        <f t="shared" si="91"/>
        <v>2122.3887474863996</v>
      </c>
      <c r="AD137" s="195">
        <f t="shared" si="91"/>
        <v>2122.3887474863996</v>
      </c>
      <c r="AE137" s="195">
        <f t="shared" si="91"/>
        <v>2122.3887474863996</v>
      </c>
      <c r="AF137" s="195">
        <f t="shared" si="91"/>
        <v>2122.3887474863996</v>
      </c>
      <c r="AG137" s="195">
        <f t="shared" si="91"/>
        <v>2122.3887474863996</v>
      </c>
      <c r="AH137" s="195">
        <f t="shared" si="91"/>
        <v>2122.3887474863996</v>
      </c>
      <c r="AI137" s="195">
        <f t="shared" si="91"/>
        <v>2122.3887474863996</v>
      </c>
      <c r="AJ137" s="203">
        <f t="shared" si="88"/>
        <v>55878.145769030409</v>
      </c>
    </row>
    <row r="138" spans="2:37" ht="14.4" x14ac:dyDescent="0.25">
      <c r="B138" s="378"/>
      <c r="C138" s="378"/>
      <c r="D138" s="192" t="s">
        <v>330</v>
      </c>
      <c r="E138" s="193">
        <v>5.0000000000000001E-3</v>
      </c>
      <c r="F138" s="194"/>
      <c r="G138" s="195">
        <f>+G134*$E138</f>
        <v>223.78807499999999</v>
      </c>
      <c r="H138" s="195">
        <f t="shared" ref="H138:AI138" si="92">+H134*$E138</f>
        <v>223.78807499999999</v>
      </c>
      <c r="I138" s="195">
        <f t="shared" si="92"/>
        <v>223.78807499999999</v>
      </c>
      <c r="J138" s="195">
        <f t="shared" si="92"/>
        <v>225.31273589999998</v>
      </c>
      <c r="K138" s="195">
        <f t="shared" si="92"/>
        <v>225.31273589999998</v>
      </c>
      <c r="L138" s="195">
        <f t="shared" si="92"/>
        <v>265.89730522500003</v>
      </c>
      <c r="M138" s="195">
        <f t="shared" si="92"/>
        <v>308.32922238750001</v>
      </c>
      <c r="N138" s="195">
        <f t="shared" si="92"/>
        <v>345.22834413749996</v>
      </c>
      <c r="O138" s="195">
        <f t="shared" si="92"/>
        <v>376.78178505</v>
      </c>
      <c r="P138" s="195">
        <f t="shared" si="92"/>
        <v>376.78178505</v>
      </c>
      <c r="Q138" s="195">
        <f t="shared" si="92"/>
        <v>376.78178505</v>
      </c>
      <c r="R138" s="195">
        <f t="shared" si="92"/>
        <v>376.78178505</v>
      </c>
      <c r="S138" s="195">
        <f t="shared" si="92"/>
        <v>376.78178505</v>
      </c>
      <c r="T138" s="195">
        <f t="shared" si="92"/>
        <v>376.78178505</v>
      </c>
      <c r="U138" s="195">
        <f t="shared" si="92"/>
        <v>376.78178505</v>
      </c>
      <c r="V138" s="195">
        <f t="shared" si="92"/>
        <v>376.78178505</v>
      </c>
      <c r="W138" s="195">
        <f t="shared" si="92"/>
        <v>376.78178505</v>
      </c>
      <c r="X138" s="195">
        <f t="shared" si="92"/>
        <v>376.78178505</v>
      </c>
      <c r="Y138" s="195">
        <f t="shared" si="92"/>
        <v>378.99799062257136</v>
      </c>
      <c r="Z138" s="195">
        <f t="shared" si="92"/>
        <v>378.99799062257136</v>
      </c>
      <c r="AA138" s="195">
        <f t="shared" si="92"/>
        <v>378.99799062257136</v>
      </c>
      <c r="AB138" s="195">
        <f t="shared" si="92"/>
        <v>378.99799062257136</v>
      </c>
      <c r="AC138" s="195">
        <f t="shared" si="92"/>
        <v>378.99799062257136</v>
      </c>
      <c r="AD138" s="195">
        <f t="shared" si="92"/>
        <v>378.99799062257136</v>
      </c>
      <c r="AE138" s="195">
        <f t="shared" si="92"/>
        <v>378.99799062257136</v>
      </c>
      <c r="AF138" s="195">
        <f t="shared" si="92"/>
        <v>378.99799062257136</v>
      </c>
      <c r="AG138" s="195">
        <f t="shared" si="92"/>
        <v>378.99799062257136</v>
      </c>
      <c r="AH138" s="195">
        <f t="shared" si="92"/>
        <v>378.99799062257136</v>
      </c>
      <c r="AI138" s="195">
        <f t="shared" si="92"/>
        <v>378.99799062257136</v>
      </c>
      <c r="AJ138" s="203">
        <f t="shared" si="88"/>
        <v>9978.2403158982834</v>
      </c>
    </row>
    <row r="139" spans="2:37" ht="14.4" x14ac:dyDescent="0.25">
      <c r="B139" s="378"/>
      <c r="C139" s="378"/>
      <c r="D139" s="192" t="s">
        <v>331</v>
      </c>
      <c r="E139" s="196"/>
      <c r="F139" s="194"/>
      <c r="G139" s="195">
        <f t="shared" ref="G139:AI139" si="93">+SUBTOTAL(9,G134:G138)</f>
        <v>49291.561399499988</v>
      </c>
      <c r="H139" s="195">
        <f t="shared" si="93"/>
        <v>49291.561399499988</v>
      </c>
      <c r="I139" s="195">
        <f t="shared" si="93"/>
        <v>49291.561399499988</v>
      </c>
      <c r="J139" s="195">
        <f t="shared" si="93"/>
        <v>49627.383209333988</v>
      </c>
      <c r="K139" s="195">
        <f t="shared" si="93"/>
        <v>49627.383209333988</v>
      </c>
      <c r="L139" s="195">
        <f t="shared" si="93"/>
        <v>58566.540448858505</v>
      </c>
      <c r="M139" s="195">
        <f t="shared" si="93"/>
        <v>67912.594523070758</v>
      </c>
      <c r="N139" s="195">
        <f t="shared" si="93"/>
        <v>76039.995079725733</v>
      </c>
      <c r="O139" s="195">
        <f t="shared" si="93"/>
        <v>82989.955975112985</v>
      </c>
      <c r="P139" s="195">
        <f t="shared" si="93"/>
        <v>82989.955975112985</v>
      </c>
      <c r="Q139" s="195">
        <f t="shared" si="93"/>
        <v>82989.955975112985</v>
      </c>
      <c r="R139" s="195">
        <f t="shared" si="93"/>
        <v>82989.955975112985</v>
      </c>
      <c r="S139" s="195">
        <f t="shared" si="93"/>
        <v>82989.955975112985</v>
      </c>
      <c r="T139" s="195">
        <f t="shared" si="93"/>
        <v>82989.955975112985</v>
      </c>
      <c r="U139" s="195">
        <f t="shared" si="93"/>
        <v>82989.955975112985</v>
      </c>
      <c r="V139" s="195">
        <f t="shared" si="93"/>
        <v>82989.955975112985</v>
      </c>
      <c r="W139" s="195">
        <f t="shared" si="93"/>
        <v>82989.955975112985</v>
      </c>
      <c r="X139" s="195">
        <f t="shared" si="93"/>
        <v>82989.955975112985</v>
      </c>
      <c r="Y139" s="195">
        <f t="shared" si="93"/>
        <v>83478.097414527583</v>
      </c>
      <c r="Z139" s="195">
        <f t="shared" si="93"/>
        <v>83478.097414527583</v>
      </c>
      <c r="AA139" s="195">
        <f t="shared" si="93"/>
        <v>83478.097414527583</v>
      </c>
      <c r="AB139" s="195">
        <f t="shared" si="93"/>
        <v>83478.097414527583</v>
      </c>
      <c r="AC139" s="195">
        <f t="shared" si="93"/>
        <v>83478.097414527583</v>
      </c>
      <c r="AD139" s="195">
        <f t="shared" si="93"/>
        <v>83478.097414527583</v>
      </c>
      <c r="AE139" s="195">
        <f t="shared" si="93"/>
        <v>83478.097414527583</v>
      </c>
      <c r="AF139" s="195">
        <f t="shared" si="93"/>
        <v>83478.097414527583</v>
      </c>
      <c r="AG139" s="195">
        <f t="shared" si="93"/>
        <v>83478.097414527583</v>
      </c>
      <c r="AH139" s="195">
        <f t="shared" si="93"/>
        <v>83478.097414527583</v>
      </c>
      <c r="AI139" s="195">
        <f t="shared" si="93"/>
        <v>83478.097414527583</v>
      </c>
      <c r="AJ139" s="203">
        <f t="shared" si="88"/>
        <v>2197807.2119797561</v>
      </c>
    </row>
    <row r="140" spans="2:37" ht="14.4" x14ac:dyDescent="0.25">
      <c r="B140" s="378"/>
      <c r="C140" s="378"/>
      <c r="D140" s="192" t="s">
        <v>332</v>
      </c>
      <c r="E140" s="197">
        <f>BDI!G5</f>
        <v>0.21340000000000001</v>
      </c>
      <c r="F140" s="194"/>
      <c r="G140" s="195">
        <f t="shared" ref="G140:AI140" si="94">+G139*$E140</f>
        <v>10518.819202653298</v>
      </c>
      <c r="H140" s="195">
        <f t="shared" si="94"/>
        <v>10518.819202653298</v>
      </c>
      <c r="I140" s="195">
        <f t="shared" si="94"/>
        <v>10518.819202653298</v>
      </c>
      <c r="J140" s="195">
        <f t="shared" si="94"/>
        <v>10590.483576871873</v>
      </c>
      <c r="K140" s="195">
        <f t="shared" si="94"/>
        <v>10590.483576871873</v>
      </c>
      <c r="L140" s="195">
        <f t="shared" si="94"/>
        <v>12498.099731786406</v>
      </c>
      <c r="M140" s="195">
        <f t="shared" si="94"/>
        <v>14492.547671223299</v>
      </c>
      <c r="N140" s="195">
        <f t="shared" si="94"/>
        <v>16226.934950013472</v>
      </c>
      <c r="O140" s="195">
        <f t="shared" si="94"/>
        <v>17710.05660508911</v>
      </c>
      <c r="P140" s="195">
        <f t="shared" si="94"/>
        <v>17710.05660508911</v>
      </c>
      <c r="Q140" s="195">
        <f t="shared" si="94"/>
        <v>17710.05660508911</v>
      </c>
      <c r="R140" s="195">
        <f t="shared" si="94"/>
        <v>17710.05660508911</v>
      </c>
      <c r="S140" s="195">
        <f t="shared" si="94"/>
        <v>17710.05660508911</v>
      </c>
      <c r="T140" s="195">
        <f t="shared" si="94"/>
        <v>17710.05660508911</v>
      </c>
      <c r="U140" s="195">
        <f t="shared" si="94"/>
        <v>17710.05660508911</v>
      </c>
      <c r="V140" s="195">
        <f t="shared" si="94"/>
        <v>17710.05660508911</v>
      </c>
      <c r="W140" s="195">
        <f t="shared" si="94"/>
        <v>17710.05660508911</v>
      </c>
      <c r="X140" s="195">
        <f t="shared" si="94"/>
        <v>17710.05660508911</v>
      </c>
      <c r="Y140" s="195">
        <f t="shared" si="94"/>
        <v>17814.225988260187</v>
      </c>
      <c r="Z140" s="195">
        <f t="shared" si="94"/>
        <v>17814.225988260187</v>
      </c>
      <c r="AA140" s="195">
        <f t="shared" si="94"/>
        <v>17814.225988260187</v>
      </c>
      <c r="AB140" s="195">
        <f t="shared" si="94"/>
        <v>17814.225988260187</v>
      </c>
      <c r="AC140" s="195">
        <f t="shared" si="94"/>
        <v>17814.225988260187</v>
      </c>
      <c r="AD140" s="195">
        <f t="shared" si="94"/>
        <v>17814.225988260187</v>
      </c>
      <c r="AE140" s="195">
        <f t="shared" si="94"/>
        <v>17814.225988260187</v>
      </c>
      <c r="AF140" s="195">
        <f t="shared" si="94"/>
        <v>17814.225988260187</v>
      </c>
      <c r="AG140" s="195">
        <f t="shared" si="94"/>
        <v>17814.225988260187</v>
      </c>
      <c r="AH140" s="195">
        <f t="shared" si="94"/>
        <v>17814.225988260187</v>
      </c>
      <c r="AI140" s="195">
        <f t="shared" si="94"/>
        <v>17814.225988260187</v>
      </c>
      <c r="AJ140" s="203">
        <f t="shared" si="88"/>
        <v>469012.05903647986</v>
      </c>
    </row>
    <row r="141" spans="2:37" ht="14.4" x14ac:dyDescent="0.25">
      <c r="B141" s="378"/>
      <c r="C141" s="378"/>
      <c r="D141" s="192" t="s">
        <v>333</v>
      </c>
      <c r="E141" s="196"/>
      <c r="F141" s="194"/>
      <c r="G141" s="204">
        <f t="shared" ref="G141:AI141" si="95">+SUM(G139:G140)</f>
        <v>59810.380602153287</v>
      </c>
      <c r="H141" s="204">
        <f t="shared" si="95"/>
        <v>59810.380602153287</v>
      </c>
      <c r="I141" s="204">
        <f t="shared" si="95"/>
        <v>59810.380602153287</v>
      </c>
      <c r="J141" s="204">
        <f t="shared" si="95"/>
        <v>60217.866786205865</v>
      </c>
      <c r="K141" s="204">
        <f t="shared" si="95"/>
        <v>60217.866786205865</v>
      </c>
      <c r="L141" s="204">
        <f t="shared" si="95"/>
        <v>71064.640180644914</v>
      </c>
      <c r="M141" s="204">
        <f t="shared" si="95"/>
        <v>82405.142194294051</v>
      </c>
      <c r="N141" s="204">
        <f t="shared" si="95"/>
        <v>92266.930029739204</v>
      </c>
      <c r="O141" s="204">
        <f t="shared" si="95"/>
        <v>100700.01258020209</v>
      </c>
      <c r="P141" s="204">
        <f t="shared" si="95"/>
        <v>100700.01258020209</v>
      </c>
      <c r="Q141" s="204">
        <f t="shared" si="95"/>
        <v>100700.01258020209</v>
      </c>
      <c r="R141" s="204">
        <f t="shared" si="95"/>
        <v>100700.01258020209</v>
      </c>
      <c r="S141" s="204">
        <f t="shared" si="95"/>
        <v>100700.01258020209</v>
      </c>
      <c r="T141" s="204">
        <f t="shared" si="95"/>
        <v>100700.01258020209</v>
      </c>
      <c r="U141" s="204">
        <f t="shared" si="95"/>
        <v>100700.01258020209</v>
      </c>
      <c r="V141" s="204">
        <f t="shared" si="95"/>
        <v>100700.01258020209</v>
      </c>
      <c r="W141" s="204">
        <f t="shared" si="95"/>
        <v>100700.01258020209</v>
      </c>
      <c r="X141" s="204">
        <f t="shared" si="95"/>
        <v>100700.01258020209</v>
      </c>
      <c r="Y141" s="204">
        <f t="shared" si="95"/>
        <v>101292.32340278776</v>
      </c>
      <c r="Z141" s="204">
        <f t="shared" si="95"/>
        <v>101292.32340278776</v>
      </c>
      <c r="AA141" s="204">
        <f t="shared" si="95"/>
        <v>101292.32340278776</v>
      </c>
      <c r="AB141" s="204">
        <f t="shared" si="95"/>
        <v>101292.32340278776</v>
      </c>
      <c r="AC141" s="204">
        <f t="shared" si="95"/>
        <v>101292.32340278776</v>
      </c>
      <c r="AD141" s="204">
        <f t="shared" si="95"/>
        <v>101292.32340278776</v>
      </c>
      <c r="AE141" s="204">
        <f t="shared" si="95"/>
        <v>101292.32340278776</v>
      </c>
      <c r="AF141" s="204">
        <f t="shared" si="95"/>
        <v>101292.32340278776</v>
      </c>
      <c r="AG141" s="204">
        <f t="shared" si="95"/>
        <v>101292.32340278776</v>
      </c>
      <c r="AH141" s="204">
        <f t="shared" si="95"/>
        <v>101292.32340278776</v>
      </c>
      <c r="AI141" s="204">
        <f t="shared" si="95"/>
        <v>101292.32340278776</v>
      </c>
      <c r="AJ141" s="205">
        <f t="shared" si="88"/>
        <v>2666819.2710162355</v>
      </c>
      <c r="AK141" s="4"/>
    </row>
    <row r="142" spans="2:37" ht="14.4" x14ac:dyDescent="0.25">
      <c r="B142" s="185" t="s">
        <v>339</v>
      </c>
      <c r="C142" s="66" t="str">
        <f>+C54</f>
        <v>FAIXA DE DOMÍNIO</v>
      </c>
      <c r="D142" s="66"/>
      <c r="E142" s="93"/>
      <c r="F142" s="169">
        <f t="shared" ref="F142:AI142" si="96">+F150</f>
        <v>0</v>
      </c>
      <c r="G142" s="169">
        <f t="shared" si="96"/>
        <v>1270940.6260614281</v>
      </c>
      <c r="H142" s="169">
        <f t="shared" si="96"/>
        <v>1270940.6260614281</v>
      </c>
      <c r="I142" s="169">
        <f t="shared" si="96"/>
        <v>1270940.6260614281</v>
      </c>
      <c r="J142" s="169">
        <f t="shared" si="96"/>
        <v>1266605.1857947162</v>
      </c>
      <c r="K142" s="169">
        <f t="shared" si="96"/>
        <v>1266605.1857947162</v>
      </c>
      <c r="L142" s="169">
        <f t="shared" si="96"/>
        <v>1271202.5431564271</v>
      </c>
      <c r="M142" s="169">
        <f t="shared" si="96"/>
        <v>1278013.7424210031</v>
      </c>
      <c r="N142" s="169">
        <f t="shared" si="96"/>
        <v>1285722.7094208242</v>
      </c>
      <c r="O142" s="169">
        <f t="shared" si="96"/>
        <v>1289154.3588324087</v>
      </c>
      <c r="P142" s="169">
        <f t="shared" si="96"/>
        <v>1289154.3588324087</v>
      </c>
      <c r="Q142" s="169">
        <f t="shared" si="96"/>
        <v>1289154.3588324087</v>
      </c>
      <c r="R142" s="169">
        <f t="shared" si="96"/>
        <v>1289154.3588324087</v>
      </c>
      <c r="S142" s="169">
        <f t="shared" si="96"/>
        <v>1289154.3588324087</v>
      </c>
      <c r="T142" s="169">
        <f t="shared" si="96"/>
        <v>1289154.3588324087</v>
      </c>
      <c r="U142" s="169">
        <f t="shared" si="96"/>
        <v>1289154.3588324087</v>
      </c>
      <c r="V142" s="169">
        <f t="shared" si="96"/>
        <v>1289154.3588324087</v>
      </c>
      <c r="W142" s="169">
        <f t="shared" si="96"/>
        <v>1289154.3588324087</v>
      </c>
      <c r="X142" s="169">
        <f t="shared" si="96"/>
        <v>1289154.3588324087</v>
      </c>
      <c r="Y142" s="169">
        <f t="shared" si="96"/>
        <v>1293108.0323153236</v>
      </c>
      <c r="Z142" s="169">
        <f t="shared" si="96"/>
        <v>1293108.0323153236</v>
      </c>
      <c r="AA142" s="169">
        <f t="shared" si="96"/>
        <v>1293108.0323153236</v>
      </c>
      <c r="AB142" s="169">
        <f t="shared" si="96"/>
        <v>1293108.0323153236</v>
      </c>
      <c r="AC142" s="169">
        <f t="shared" si="96"/>
        <v>1293108.0323153236</v>
      </c>
      <c r="AD142" s="169">
        <f t="shared" si="96"/>
        <v>1293108.0323153236</v>
      </c>
      <c r="AE142" s="169">
        <f t="shared" si="96"/>
        <v>1293108.0323153236</v>
      </c>
      <c r="AF142" s="169">
        <f t="shared" si="96"/>
        <v>1293108.0323153236</v>
      </c>
      <c r="AG142" s="169">
        <f t="shared" si="96"/>
        <v>1293108.0323153236</v>
      </c>
      <c r="AH142" s="169">
        <f t="shared" si="96"/>
        <v>1293108.0323153236</v>
      </c>
      <c r="AI142" s="169">
        <f t="shared" si="96"/>
        <v>1293108.0323153236</v>
      </c>
      <c r="AJ142" s="169">
        <f>+AJ150</f>
        <v>37296703.188564613</v>
      </c>
    </row>
    <row r="143" spans="2:37" ht="14.4" x14ac:dyDescent="0.25">
      <c r="B143" s="377" t="s">
        <v>97</v>
      </c>
      <c r="C143" s="377" t="str">
        <f>+C55</f>
        <v>Conservação na Faixa de Domínio</v>
      </c>
      <c r="D143" s="188" t="s">
        <v>326</v>
      </c>
      <c r="E143" s="189"/>
      <c r="F143" s="190"/>
      <c r="G143" s="191">
        <f t="shared" ref="G143:AI143" si="97">+G54</f>
        <v>951076.89762917859</v>
      </c>
      <c r="H143" s="191">
        <f t="shared" si="97"/>
        <v>951076.89762917859</v>
      </c>
      <c r="I143" s="191">
        <f t="shared" si="97"/>
        <v>951076.89762917859</v>
      </c>
      <c r="J143" s="191">
        <f t="shared" si="97"/>
        <v>947832.57842640136</v>
      </c>
      <c r="K143" s="191">
        <f t="shared" si="97"/>
        <v>947832.57842640136</v>
      </c>
      <c r="L143" s="191">
        <f t="shared" si="97"/>
        <v>951272.89679156255</v>
      </c>
      <c r="M143" s="191">
        <f t="shared" si="97"/>
        <v>956369.88884048467</v>
      </c>
      <c r="N143" s="191">
        <f t="shared" si="97"/>
        <v>962138.70310904435</v>
      </c>
      <c r="O143" s="191">
        <f t="shared" si="97"/>
        <v>964706.69283979596</v>
      </c>
      <c r="P143" s="191">
        <f t="shared" si="97"/>
        <v>964706.69283979596</v>
      </c>
      <c r="Q143" s="191">
        <f t="shared" si="97"/>
        <v>964706.69283979596</v>
      </c>
      <c r="R143" s="191">
        <f t="shared" si="97"/>
        <v>964706.69283979596</v>
      </c>
      <c r="S143" s="191">
        <f t="shared" si="97"/>
        <v>964706.69283979596</v>
      </c>
      <c r="T143" s="191">
        <f t="shared" si="97"/>
        <v>964706.69283979596</v>
      </c>
      <c r="U143" s="191">
        <f t="shared" si="97"/>
        <v>964706.69283979596</v>
      </c>
      <c r="V143" s="191">
        <f t="shared" si="97"/>
        <v>964706.69283979596</v>
      </c>
      <c r="W143" s="191">
        <f t="shared" si="97"/>
        <v>964706.69283979596</v>
      </c>
      <c r="X143" s="191">
        <f t="shared" si="97"/>
        <v>964706.69283979596</v>
      </c>
      <c r="Y143" s="191">
        <f t="shared" si="97"/>
        <v>967665.32633790222</v>
      </c>
      <c r="Z143" s="191">
        <f t="shared" si="97"/>
        <v>967665.32633790222</v>
      </c>
      <c r="AA143" s="191">
        <f t="shared" si="97"/>
        <v>967665.32633790222</v>
      </c>
      <c r="AB143" s="191">
        <f t="shared" si="97"/>
        <v>967665.32633790222</v>
      </c>
      <c r="AC143" s="191">
        <f t="shared" si="97"/>
        <v>967665.32633790222</v>
      </c>
      <c r="AD143" s="191">
        <f t="shared" si="97"/>
        <v>967665.32633790222</v>
      </c>
      <c r="AE143" s="191">
        <f t="shared" si="97"/>
        <v>967665.32633790222</v>
      </c>
      <c r="AF143" s="191">
        <f t="shared" si="97"/>
        <v>967665.32633790222</v>
      </c>
      <c r="AG143" s="191">
        <f t="shared" si="97"/>
        <v>967665.32633790222</v>
      </c>
      <c r="AH143" s="191">
        <f t="shared" si="97"/>
        <v>967665.32633790222</v>
      </c>
      <c r="AI143" s="191">
        <f t="shared" si="97"/>
        <v>967665.32633790222</v>
      </c>
      <c r="AJ143" s="202">
        <f t="shared" ref="AJ143:AJ150" si="98">+SUM(F143:AI143)</f>
        <v>27910062.856596328</v>
      </c>
    </row>
    <row r="144" spans="2:37" ht="14.4" x14ac:dyDescent="0.25">
      <c r="B144" s="378"/>
      <c r="C144" s="378"/>
      <c r="D144" s="192" t="s">
        <v>327</v>
      </c>
      <c r="E144" s="193">
        <v>6.3299999999999995E-2</v>
      </c>
      <c r="F144" s="194"/>
      <c r="G144" s="195">
        <f t="shared" ref="G144:AI144" si="99">+G143*$E144</f>
        <v>60203.167619927</v>
      </c>
      <c r="H144" s="195">
        <f t="shared" si="99"/>
        <v>60203.167619927</v>
      </c>
      <c r="I144" s="195">
        <f t="shared" si="99"/>
        <v>60203.167619927</v>
      </c>
      <c r="J144" s="195">
        <f t="shared" si="99"/>
        <v>59997.802214391202</v>
      </c>
      <c r="K144" s="195">
        <f t="shared" si="99"/>
        <v>59997.802214391202</v>
      </c>
      <c r="L144" s="195">
        <f t="shared" si="99"/>
        <v>60215.574366905908</v>
      </c>
      <c r="M144" s="195">
        <f t="shared" si="99"/>
        <v>60538.213963602677</v>
      </c>
      <c r="N144" s="195">
        <f t="shared" si="99"/>
        <v>60903.379906802504</v>
      </c>
      <c r="O144" s="195">
        <f t="shared" si="99"/>
        <v>61065.93365675908</v>
      </c>
      <c r="P144" s="195">
        <f t="shared" si="99"/>
        <v>61065.93365675908</v>
      </c>
      <c r="Q144" s="195">
        <f t="shared" si="99"/>
        <v>61065.93365675908</v>
      </c>
      <c r="R144" s="195">
        <f t="shared" si="99"/>
        <v>61065.93365675908</v>
      </c>
      <c r="S144" s="195">
        <f t="shared" si="99"/>
        <v>61065.93365675908</v>
      </c>
      <c r="T144" s="195">
        <f t="shared" si="99"/>
        <v>61065.93365675908</v>
      </c>
      <c r="U144" s="195">
        <f t="shared" si="99"/>
        <v>61065.93365675908</v>
      </c>
      <c r="V144" s="195">
        <f t="shared" si="99"/>
        <v>61065.93365675908</v>
      </c>
      <c r="W144" s="195">
        <f t="shared" si="99"/>
        <v>61065.93365675908</v>
      </c>
      <c r="X144" s="195">
        <f t="shared" si="99"/>
        <v>61065.93365675908</v>
      </c>
      <c r="Y144" s="195">
        <f t="shared" si="99"/>
        <v>61253.215157189203</v>
      </c>
      <c r="Z144" s="195">
        <f t="shared" si="99"/>
        <v>61253.215157189203</v>
      </c>
      <c r="AA144" s="195">
        <f t="shared" si="99"/>
        <v>61253.215157189203</v>
      </c>
      <c r="AB144" s="195">
        <f t="shared" si="99"/>
        <v>61253.215157189203</v>
      </c>
      <c r="AC144" s="195">
        <f t="shared" si="99"/>
        <v>61253.215157189203</v>
      </c>
      <c r="AD144" s="195">
        <f t="shared" si="99"/>
        <v>61253.215157189203</v>
      </c>
      <c r="AE144" s="195">
        <f t="shared" si="99"/>
        <v>61253.215157189203</v>
      </c>
      <c r="AF144" s="195">
        <f t="shared" si="99"/>
        <v>61253.215157189203</v>
      </c>
      <c r="AG144" s="195">
        <f t="shared" si="99"/>
        <v>61253.215157189203</v>
      </c>
      <c r="AH144" s="195">
        <f t="shared" si="99"/>
        <v>61253.215157189203</v>
      </c>
      <c r="AI144" s="195">
        <f t="shared" si="99"/>
        <v>61253.215157189203</v>
      </c>
      <c r="AJ144" s="203">
        <f t="shared" si="98"/>
        <v>1766706.9788225463</v>
      </c>
    </row>
    <row r="145" spans="2:37" ht="14.4" x14ac:dyDescent="0.25">
      <c r="B145" s="378"/>
      <c r="C145" s="378"/>
      <c r="D145" s="192" t="s">
        <v>328</v>
      </c>
      <c r="E145" s="193">
        <v>5.0000000000000001E-3</v>
      </c>
      <c r="F145" s="194"/>
      <c r="G145" s="195">
        <f>+G143*$E145</f>
        <v>4755.3844881458926</v>
      </c>
      <c r="H145" s="195">
        <f t="shared" ref="H145:AI145" si="100">+H143*$E145</f>
        <v>4755.3844881458926</v>
      </c>
      <c r="I145" s="195">
        <f t="shared" si="100"/>
        <v>4755.3844881458926</v>
      </c>
      <c r="J145" s="195">
        <f t="shared" si="100"/>
        <v>4739.1628921320071</v>
      </c>
      <c r="K145" s="195">
        <f t="shared" si="100"/>
        <v>4739.1628921320071</v>
      </c>
      <c r="L145" s="195">
        <f t="shared" si="100"/>
        <v>4756.3644839578128</v>
      </c>
      <c r="M145" s="195">
        <f t="shared" si="100"/>
        <v>4781.849444202423</v>
      </c>
      <c r="N145" s="195">
        <f t="shared" si="100"/>
        <v>4810.693515545222</v>
      </c>
      <c r="O145" s="195">
        <f t="shared" si="100"/>
        <v>4823.5334641989803</v>
      </c>
      <c r="P145" s="195">
        <f t="shared" si="100"/>
        <v>4823.5334641989803</v>
      </c>
      <c r="Q145" s="195">
        <f t="shared" si="100"/>
        <v>4823.5334641989803</v>
      </c>
      <c r="R145" s="195">
        <f t="shared" si="100"/>
        <v>4823.5334641989803</v>
      </c>
      <c r="S145" s="195">
        <f t="shared" si="100"/>
        <v>4823.5334641989803</v>
      </c>
      <c r="T145" s="195">
        <f t="shared" si="100"/>
        <v>4823.5334641989803</v>
      </c>
      <c r="U145" s="195">
        <f t="shared" si="100"/>
        <v>4823.5334641989803</v>
      </c>
      <c r="V145" s="195">
        <f t="shared" si="100"/>
        <v>4823.5334641989803</v>
      </c>
      <c r="W145" s="195">
        <f t="shared" si="100"/>
        <v>4823.5334641989803</v>
      </c>
      <c r="X145" s="195">
        <f t="shared" si="100"/>
        <v>4823.5334641989803</v>
      </c>
      <c r="Y145" s="195">
        <f t="shared" si="100"/>
        <v>4838.3266316895115</v>
      </c>
      <c r="Z145" s="195">
        <f t="shared" si="100"/>
        <v>4838.3266316895115</v>
      </c>
      <c r="AA145" s="195">
        <f t="shared" si="100"/>
        <v>4838.3266316895115</v>
      </c>
      <c r="AB145" s="195">
        <f t="shared" si="100"/>
        <v>4838.3266316895115</v>
      </c>
      <c r="AC145" s="195">
        <f t="shared" si="100"/>
        <v>4838.3266316895115</v>
      </c>
      <c r="AD145" s="195">
        <f t="shared" si="100"/>
        <v>4838.3266316895115</v>
      </c>
      <c r="AE145" s="195">
        <f t="shared" si="100"/>
        <v>4838.3266316895115</v>
      </c>
      <c r="AF145" s="195">
        <f t="shared" si="100"/>
        <v>4838.3266316895115</v>
      </c>
      <c r="AG145" s="195">
        <f t="shared" si="100"/>
        <v>4838.3266316895115</v>
      </c>
      <c r="AH145" s="195">
        <f t="shared" si="100"/>
        <v>4838.3266316895115</v>
      </c>
      <c r="AI145" s="195">
        <f t="shared" si="100"/>
        <v>4838.3266316895115</v>
      </c>
      <c r="AJ145" s="203">
        <f t="shared" si="98"/>
        <v>139550.31428298162</v>
      </c>
    </row>
    <row r="146" spans="2:37" ht="14.4" x14ac:dyDescent="0.25">
      <c r="B146" s="378"/>
      <c r="C146" s="378"/>
      <c r="D146" s="192" t="s">
        <v>329</v>
      </c>
      <c r="E146" s="193">
        <v>2.8000000000000001E-2</v>
      </c>
      <c r="F146" s="194"/>
      <c r="G146" s="195">
        <f>+G143*$E146</f>
        <v>26630.153133617001</v>
      </c>
      <c r="H146" s="195">
        <f t="shared" ref="H146:AI146" si="101">+H143*$E146</f>
        <v>26630.153133617001</v>
      </c>
      <c r="I146" s="195">
        <f t="shared" si="101"/>
        <v>26630.153133617001</v>
      </c>
      <c r="J146" s="195">
        <f t="shared" si="101"/>
        <v>26539.312195939237</v>
      </c>
      <c r="K146" s="195">
        <f t="shared" si="101"/>
        <v>26539.312195939237</v>
      </c>
      <c r="L146" s="195">
        <f t="shared" si="101"/>
        <v>26635.641110163753</v>
      </c>
      <c r="M146" s="195">
        <f t="shared" si="101"/>
        <v>26778.35688753357</v>
      </c>
      <c r="N146" s="195">
        <f t="shared" si="101"/>
        <v>26939.883687053243</v>
      </c>
      <c r="O146" s="195">
        <f t="shared" si="101"/>
        <v>27011.787399514287</v>
      </c>
      <c r="P146" s="195">
        <f t="shared" si="101"/>
        <v>27011.787399514287</v>
      </c>
      <c r="Q146" s="195">
        <f t="shared" si="101"/>
        <v>27011.787399514287</v>
      </c>
      <c r="R146" s="195">
        <f t="shared" si="101"/>
        <v>27011.787399514287</v>
      </c>
      <c r="S146" s="195">
        <f t="shared" si="101"/>
        <v>27011.787399514287</v>
      </c>
      <c r="T146" s="195">
        <f t="shared" si="101"/>
        <v>27011.787399514287</v>
      </c>
      <c r="U146" s="195">
        <f t="shared" si="101"/>
        <v>27011.787399514287</v>
      </c>
      <c r="V146" s="195">
        <f t="shared" si="101"/>
        <v>27011.787399514287</v>
      </c>
      <c r="W146" s="195">
        <f t="shared" si="101"/>
        <v>27011.787399514287</v>
      </c>
      <c r="X146" s="195">
        <f t="shared" si="101"/>
        <v>27011.787399514287</v>
      </c>
      <c r="Y146" s="195">
        <f t="shared" si="101"/>
        <v>27094.629137461263</v>
      </c>
      <c r="Z146" s="195">
        <f t="shared" si="101"/>
        <v>27094.629137461263</v>
      </c>
      <c r="AA146" s="195">
        <f t="shared" si="101"/>
        <v>27094.629137461263</v>
      </c>
      <c r="AB146" s="195">
        <f t="shared" si="101"/>
        <v>27094.629137461263</v>
      </c>
      <c r="AC146" s="195">
        <f t="shared" si="101"/>
        <v>27094.629137461263</v>
      </c>
      <c r="AD146" s="195">
        <f t="shared" si="101"/>
        <v>27094.629137461263</v>
      </c>
      <c r="AE146" s="195">
        <f t="shared" si="101"/>
        <v>27094.629137461263</v>
      </c>
      <c r="AF146" s="195">
        <f t="shared" si="101"/>
        <v>27094.629137461263</v>
      </c>
      <c r="AG146" s="195">
        <f t="shared" si="101"/>
        <v>27094.629137461263</v>
      </c>
      <c r="AH146" s="195">
        <f t="shared" si="101"/>
        <v>27094.629137461263</v>
      </c>
      <c r="AI146" s="195">
        <f t="shared" si="101"/>
        <v>27094.629137461263</v>
      </c>
      <c r="AJ146" s="203">
        <f t="shared" si="98"/>
        <v>781481.75998469722</v>
      </c>
    </row>
    <row r="147" spans="2:37" ht="14.4" x14ac:dyDescent="0.25">
      <c r="B147" s="378"/>
      <c r="C147" s="378"/>
      <c r="D147" s="192" t="s">
        <v>330</v>
      </c>
      <c r="E147" s="193">
        <v>5.0000000000000001E-3</v>
      </c>
      <c r="F147" s="194"/>
      <c r="G147" s="195">
        <f>+G143*$E147</f>
        <v>4755.3844881458926</v>
      </c>
      <c r="H147" s="195">
        <f t="shared" ref="H147:AI147" si="102">+H143*$E147</f>
        <v>4755.3844881458926</v>
      </c>
      <c r="I147" s="195">
        <f t="shared" si="102"/>
        <v>4755.3844881458926</v>
      </c>
      <c r="J147" s="195">
        <f t="shared" si="102"/>
        <v>4739.1628921320071</v>
      </c>
      <c r="K147" s="195">
        <f t="shared" si="102"/>
        <v>4739.1628921320071</v>
      </c>
      <c r="L147" s="195">
        <f t="shared" si="102"/>
        <v>4756.3644839578128</v>
      </c>
      <c r="M147" s="195">
        <f t="shared" si="102"/>
        <v>4781.849444202423</v>
      </c>
      <c r="N147" s="195">
        <f t="shared" si="102"/>
        <v>4810.693515545222</v>
      </c>
      <c r="O147" s="195">
        <f t="shared" si="102"/>
        <v>4823.5334641989803</v>
      </c>
      <c r="P147" s="195">
        <f t="shared" si="102"/>
        <v>4823.5334641989803</v>
      </c>
      <c r="Q147" s="195">
        <f t="shared" si="102"/>
        <v>4823.5334641989803</v>
      </c>
      <c r="R147" s="195">
        <f t="shared" si="102"/>
        <v>4823.5334641989803</v>
      </c>
      <c r="S147" s="195">
        <f t="shared" si="102"/>
        <v>4823.5334641989803</v>
      </c>
      <c r="T147" s="195">
        <f t="shared" si="102"/>
        <v>4823.5334641989803</v>
      </c>
      <c r="U147" s="195">
        <f t="shared" si="102"/>
        <v>4823.5334641989803</v>
      </c>
      <c r="V147" s="195">
        <f t="shared" si="102"/>
        <v>4823.5334641989803</v>
      </c>
      <c r="W147" s="195">
        <f t="shared" si="102"/>
        <v>4823.5334641989803</v>
      </c>
      <c r="X147" s="195">
        <f t="shared" si="102"/>
        <v>4823.5334641989803</v>
      </c>
      <c r="Y147" s="195">
        <f t="shared" si="102"/>
        <v>4838.3266316895115</v>
      </c>
      <c r="Z147" s="195">
        <f t="shared" si="102"/>
        <v>4838.3266316895115</v>
      </c>
      <c r="AA147" s="195">
        <f t="shared" si="102"/>
        <v>4838.3266316895115</v>
      </c>
      <c r="AB147" s="195">
        <f t="shared" si="102"/>
        <v>4838.3266316895115</v>
      </c>
      <c r="AC147" s="195">
        <f t="shared" si="102"/>
        <v>4838.3266316895115</v>
      </c>
      <c r="AD147" s="195">
        <f t="shared" si="102"/>
        <v>4838.3266316895115</v>
      </c>
      <c r="AE147" s="195">
        <f t="shared" si="102"/>
        <v>4838.3266316895115</v>
      </c>
      <c r="AF147" s="195">
        <f t="shared" si="102"/>
        <v>4838.3266316895115</v>
      </c>
      <c r="AG147" s="195">
        <f t="shared" si="102"/>
        <v>4838.3266316895115</v>
      </c>
      <c r="AH147" s="195">
        <f t="shared" si="102"/>
        <v>4838.3266316895115</v>
      </c>
      <c r="AI147" s="195">
        <f t="shared" si="102"/>
        <v>4838.3266316895115</v>
      </c>
      <c r="AJ147" s="203">
        <f t="shared" si="98"/>
        <v>139550.31428298162</v>
      </c>
    </row>
    <row r="148" spans="2:37" ht="14.4" x14ac:dyDescent="0.25">
      <c r="B148" s="378"/>
      <c r="C148" s="378"/>
      <c r="D148" s="192" t="s">
        <v>331</v>
      </c>
      <c r="E148" s="196"/>
      <c r="F148" s="194"/>
      <c r="G148" s="195">
        <f t="shared" ref="G148:AI148" si="103">+SUBTOTAL(9,G143:G147)</f>
        <v>1047420.9873590145</v>
      </c>
      <c r="H148" s="195">
        <f t="shared" si="103"/>
        <v>1047420.9873590145</v>
      </c>
      <c r="I148" s="195">
        <f t="shared" si="103"/>
        <v>1047420.9873590145</v>
      </c>
      <c r="J148" s="195">
        <f t="shared" si="103"/>
        <v>1043848.0186209957</v>
      </c>
      <c r="K148" s="195">
        <f t="shared" si="103"/>
        <v>1043848.0186209957</v>
      </c>
      <c r="L148" s="195">
        <f t="shared" si="103"/>
        <v>1047636.8412365478</v>
      </c>
      <c r="M148" s="195">
        <f t="shared" si="103"/>
        <v>1053250.1585800257</v>
      </c>
      <c r="N148" s="195">
        <f t="shared" si="103"/>
        <v>1059603.3537339906</v>
      </c>
      <c r="O148" s="195">
        <f t="shared" si="103"/>
        <v>1062431.4808244673</v>
      </c>
      <c r="P148" s="195">
        <f t="shared" si="103"/>
        <v>1062431.4808244673</v>
      </c>
      <c r="Q148" s="195">
        <f t="shared" si="103"/>
        <v>1062431.4808244673</v>
      </c>
      <c r="R148" s="195">
        <f t="shared" si="103"/>
        <v>1062431.4808244673</v>
      </c>
      <c r="S148" s="195">
        <f t="shared" si="103"/>
        <v>1062431.4808244673</v>
      </c>
      <c r="T148" s="195">
        <f t="shared" si="103"/>
        <v>1062431.4808244673</v>
      </c>
      <c r="U148" s="195">
        <f t="shared" si="103"/>
        <v>1062431.4808244673</v>
      </c>
      <c r="V148" s="195">
        <f t="shared" si="103"/>
        <v>1062431.4808244673</v>
      </c>
      <c r="W148" s="195">
        <f t="shared" si="103"/>
        <v>1062431.4808244673</v>
      </c>
      <c r="X148" s="195">
        <f t="shared" si="103"/>
        <v>1062431.4808244673</v>
      </c>
      <c r="Y148" s="195">
        <f t="shared" si="103"/>
        <v>1065689.8238959317</v>
      </c>
      <c r="Z148" s="195">
        <f t="shared" si="103"/>
        <v>1065689.8238959317</v>
      </c>
      <c r="AA148" s="195">
        <f t="shared" si="103"/>
        <v>1065689.8238959317</v>
      </c>
      <c r="AB148" s="195">
        <f t="shared" si="103"/>
        <v>1065689.8238959317</v>
      </c>
      <c r="AC148" s="195">
        <f t="shared" si="103"/>
        <v>1065689.8238959317</v>
      </c>
      <c r="AD148" s="195">
        <f t="shared" si="103"/>
        <v>1065689.8238959317</v>
      </c>
      <c r="AE148" s="195">
        <f t="shared" si="103"/>
        <v>1065689.8238959317</v>
      </c>
      <c r="AF148" s="195">
        <f t="shared" si="103"/>
        <v>1065689.8238959317</v>
      </c>
      <c r="AG148" s="195">
        <f t="shared" si="103"/>
        <v>1065689.8238959317</v>
      </c>
      <c r="AH148" s="195">
        <f t="shared" si="103"/>
        <v>1065689.8238959317</v>
      </c>
      <c r="AI148" s="195">
        <f t="shared" si="103"/>
        <v>1065689.8238959317</v>
      </c>
      <c r="AJ148" s="203">
        <f t="shared" si="98"/>
        <v>30737352.223969512</v>
      </c>
    </row>
    <row r="149" spans="2:37" ht="14.4" x14ac:dyDescent="0.25">
      <c r="B149" s="378"/>
      <c r="C149" s="378"/>
      <c r="D149" s="192" t="s">
        <v>332</v>
      </c>
      <c r="E149" s="197">
        <f>BDI!G5</f>
        <v>0.21340000000000001</v>
      </c>
      <c r="F149" s="194"/>
      <c r="G149" s="195">
        <f t="shared" ref="G149:AI149" si="104">+G148*$E149</f>
        <v>223519.63870241368</v>
      </c>
      <c r="H149" s="195">
        <f t="shared" si="104"/>
        <v>223519.63870241368</v>
      </c>
      <c r="I149" s="195">
        <f t="shared" si="104"/>
        <v>223519.63870241368</v>
      </c>
      <c r="J149" s="195">
        <f t="shared" si="104"/>
        <v>222757.16717372049</v>
      </c>
      <c r="K149" s="195">
        <f t="shared" si="104"/>
        <v>222757.16717372049</v>
      </c>
      <c r="L149" s="195">
        <f t="shared" si="104"/>
        <v>223565.7019198793</v>
      </c>
      <c r="M149" s="195">
        <f t="shared" si="104"/>
        <v>224763.58384097749</v>
      </c>
      <c r="N149" s="195">
        <f t="shared" si="104"/>
        <v>226119.35568683359</v>
      </c>
      <c r="O149" s="195">
        <f t="shared" si="104"/>
        <v>226722.87800794133</v>
      </c>
      <c r="P149" s="195">
        <f t="shared" si="104"/>
        <v>226722.87800794133</v>
      </c>
      <c r="Q149" s="195">
        <f t="shared" si="104"/>
        <v>226722.87800794133</v>
      </c>
      <c r="R149" s="195">
        <f t="shared" si="104"/>
        <v>226722.87800794133</v>
      </c>
      <c r="S149" s="195">
        <f t="shared" si="104"/>
        <v>226722.87800794133</v>
      </c>
      <c r="T149" s="195">
        <f t="shared" si="104"/>
        <v>226722.87800794133</v>
      </c>
      <c r="U149" s="195">
        <f t="shared" si="104"/>
        <v>226722.87800794133</v>
      </c>
      <c r="V149" s="195">
        <f t="shared" si="104"/>
        <v>226722.87800794133</v>
      </c>
      <c r="W149" s="195">
        <f t="shared" si="104"/>
        <v>226722.87800794133</v>
      </c>
      <c r="X149" s="195">
        <f t="shared" si="104"/>
        <v>226722.87800794133</v>
      </c>
      <c r="Y149" s="195">
        <f t="shared" si="104"/>
        <v>227418.20841939183</v>
      </c>
      <c r="Z149" s="195">
        <f t="shared" si="104"/>
        <v>227418.20841939183</v>
      </c>
      <c r="AA149" s="195">
        <f t="shared" si="104"/>
        <v>227418.20841939183</v>
      </c>
      <c r="AB149" s="195">
        <f t="shared" si="104"/>
        <v>227418.20841939183</v>
      </c>
      <c r="AC149" s="195">
        <f t="shared" si="104"/>
        <v>227418.20841939183</v>
      </c>
      <c r="AD149" s="195">
        <f t="shared" si="104"/>
        <v>227418.20841939183</v>
      </c>
      <c r="AE149" s="195">
        <f t="shared" si="104"/>
        <v>227418.20841939183</v>
      </c>
      <c r="AF149" s="195">
        <f t="shared" si="104"/>
        <v>227418.20841939183</v>
      </c>
      <c r="AG149" s="195">
        <f t="shared" si="104"/>
        <v>227418.20841939183</v>
      </c>
      <c r="AH149" s="195">
        <f t="shared" si="104"/>
        <v>227418.20841939183</v>
      </c>
      <c r="AI149" s="195">
        <f t="shared" si="104"/>
        <v>227418.20841939183</v>
      </c>
      <c r="AJ149" s="203">
        <f t="shared" si="98"/>
        <v>6559350.9645950971</v>
      </c>
    </row>
    <row r="150" spans="2:37" ht="14.4" x14ac:dyDescent="0.25">
      <c r="B150" s="378"/>
      <c r="C150" s="378"/>
      <c r="D150" s="192" t="s">
        <v>333</v>
      </c>
      <c r="E150" s="196"/>
      <c r="F150" s="194"/>
      <c r="G150" s="204">
        <f t="shared" ref="G150:AI150" si="105">+SUM(G148:G149)</f>
        <v>1270940.6260614281</v>
      </c>
      <c r="H150" s="204">
        <f t="shared" si="105"/>
        <v>1270940.6260614281</v>
      </c>
      <c r="I150" s="204">
        <f t="shared" si="105"/>
        <v>1270940.6260614281</v>
      </c>
      <c r="J150" s="204">
        <f t="shared" si="105"/>
        <v>1266605.1857947162</v>
      </c>
      <c r="K150" s="204">
        <f t="shared" si="105"/>
        <v>1266605.1857947162</v>
      </c>
      <c r="L150" s="204">
        <f t="shared" si="105"/>
        <v>1271202.5431564271</v>
      </c>
      <c r="M150" s="204">
        <f t="shared" si="105"/>
        <v>1278013.7424210031</v>
      </c>
      <c r="N150" s="204">
        <f t="shared" si="105"/>
        <v>1285722.7094208242</v>
      </c>
      <c r="O150" s="204">
        <f t="shared" si="105"/>
        <v>1289154.3588324087</v>
      </c>
      <c r="P150" s="204">
        <f t="shared" si="105"/>
        <v>1289154.3588324087</v>
      </c>
      <c r="Q150" s="204">
        <f t="shared" si="105"/>
        <v>1289154.3588324087</v>
      </c>
      <c r="R150" s="204">
        <f t="shared" si="105"/>
        <v>1289154.3588324087</v>
      </c>
      <c r="S150" s="204">
        <f t="shared" si="105"/>
        <v>1289154.3588324087</v>
      </c>
      <c r="T150" s="204">
        <f t="shared" si="105"/>
        <v>1289154.3588324087</v>
      </c>
      <c r="U150" s="204">
        <f t="shared" si="105"/>
        <v>1289154.3588324087</v>
      </c>
      <c r="V150" s="204">
        <f t="shared" si="105"/>
        <v>1289154.3588324087</v>
      </c>
      <c r="W150" s="204">
        <f t="shared" si="105"/>
        <v>1289154.3588324087</v>
      </c>
      <c r="X150" s="204">
        <f t="shared" si="105"/>
        <v>1289154.3588324087</v>
      </c>
      <c r="Y150" s="204">
        <f t="shared" si="105"/>
        <v>1293108.0323153236</v>
      </c>
      <c r="Z150" s="204">
        <f t="shared" si="105"/>
        <v>1293108.0323153236</v>
      </c>
      <c r="AA150" s="204">
        <f t="shared" si="105"/>
        <v>1293108.0323153236</v>
      </c>
      <c r="AB150" s="204">
        <f t="shared" si="105"/>
        <v>1293108.0323153236</v>
      </c>
      <c r="AC150" s="204">
        <f t="shared" si="105"/>
        <v>1293108.0323153236</v>
      </c>
      <c r="AD150" s="204">
        <f t="shared" si="105"/>
        <v>1293108.0323153236</v>
      </c>
      <c r="AE150" s="204">
        <f t="shared" si="105"/>
        <v>1293108.0323153236</v>
      </c>
      <c r="AF150" s="204">
        <f t="shared" si="105"/>
        <v>1293108.0323153236</v>
      </c>
      <c r="AG150" s="204">
        <f t="shared" si="105"/>
        <v>1293108.0323153236</v>
      </c>
      <c r="AH150" s="204">
        <f t="shared" si="105"/>
        <v>1293108.0323153236</v>
      </c>
      <c r="AI150" s="204">
        <f t="shared" si="105"/>
        <v>1293108.0323153236</v>
      </c>
      <c r="AJ150" s="205">
        <f t="shared" si="98"/>
        <v>37296703.188564613</v>
      </c>
      <c r="AK150" s="4"/>
    </row>
    <row r="151" spans="2:37" ht="14.4" x14ac:dyDescent="0.25">
      <c r="B151" s="185" t="s">
        <v>340</v>
      </c>
      <c r="C151" s="66" t="str">
        <f>+C62</f>
        <v>EDIFICAÇÕES E INSTALAÇÕES OPERACIONAIS</v>
      </c>
      <c r="D151" s="66"/>
      <c r="E151" s="93"/>
      <c r="F151" s="169">
        <f t="shared" ref="F151:AI151" si="106">+F159</f>
        <v>0</v>
      </c>
      <c r="G151" s="169">
        <f t="shared" si="106"/>
        <v>61676.979428782572</v>
      </c>
      <c r="H151" s="169">
        <f t="shared" si="106"/>
        <v>61676.979428782572</v>
      </c>
      <c r="I151" s="169">
        <f t="shared" si="106"/>
        <v>61676.979428782572</v>
      </c>
      <c r="J151" s="169">
        <f t="shared" si="106"/>
        <v>61676.979428782572</v>
      </c>
      <c r="K151" s="169">
        <f t="shared" si="106"/>
        <v>61676.979428782572</v>
      </c>
      <c r="L151" s="169">
        <f t="shared" si="106"/>
        <v>61676.979428782572</v>
      </c>
      <c r="M151" s="169">
        <f t="shared" si="106"/>
        <v>61676.979428782572</v>
      </c>
      <c r="N151" s="169">
        <f t="shared" si="106"/>
        <v>61676.979428782572</v>
      </c>
      <c r="O151" s="169">
        <f t="shared" si="106"/>
        <v>61676.979428782572</v>
      </c>
      <c r="P151" s="169">
        <f t="shared" si="106"/>
        <v>61676.979428782572</v>
      </c>
      <c r="Q151" s="169">
        <f t="shared" si="106"/>
        <v>61676.979428782572</v>
      </c>
      <c r="R151" s="169">
        <f t="shared" si="106"/>
        <v>61676.979428782572</v>
      </c>
      <c r="S151" s="169">
        <f t="shared" si="106"/>
        <v>61676.979428782572</v>
      </c>
      <c r="T151" s="169">
        <f t="shared" si="106"/>
        <v>61676.979428782572</v>
      </c>
      <c r="U151" s="169">
        <f t="shared" si="106"/>
        <v>61676.979428782572</v>
      </c>
      <c r="V151" s="169">
        <f t="shared" si="106"/>
        <v>61676.979428782572</v>
      </c>
      <c r="W151" s="169">
        <f t="shared" si="106"/>
        <v>61676.979428782572</v>
      </c>
      <c r="X151" s="169">
        <f t="shared" si="106"/>
        <v>61676.979428782572</v>
      </c>
      <c r="Y151" s="169">
        <f t="shared" si="106"/>
        <v>61676.979428782572</v>
      </c>
      <c r="Z151" s="169">
        <f t="shared" si="106"/>
        <v>61676.979428782572</v>
      </c>
      <c r="AA151" s="169">
        <f t="shared" si="106"/>
        <v>61676.979428782572</v>
      </c>
      <c r="AB151" s="169">
        <f t="shared" si="106"/>
        <v>61676.979428782572</v>
      </c>
      <c r="AC151" s="169">
        <f t="shared" si="106"/>
        <v>61676.979428782572</v>
      </c>
      <c r="AD151" s="169">
        <f t="shared" si="106"/>
        <v>61676.979428782572</v>
      </c>
      <c r="AE151" s="169">
        <f t="shared" si="106"/>
        <v>61676.979428782572</v>
      </c>
      <c r="AF151" s="169">
        <f t="shared" si="106"/>
        <v>61676.979428782572</v>
      </c>
      <c r="AG151" s="169">
        <f t="shared" si="106"/>
        <v>61676.979428782572</v>
      </c>
      <c r="AH151" s="169">
        <f t="shared" si="106"/>
        <v>61676.979428782572</v>
      </c>
      <c r="AI151" s="169">
        <f t="shared" si="106"/>
        <v>61676.979428782572</v>
      </c>
      <c r="AJ151" s="169">
        <f>+AJ159</f>
        <v>1788632.403434695</v>
      </c>
    </row>
    <row r="152" spans="2:37" ht="14.4" x14ac:dyDescent="0.25">
      <c r="B152" s="377" t="s">
        <v>341</v>
      </c>
      <c r="C152" s="377" t="str">
        <f>+C63</f>
        <v>Conservação de Edificações</v>
      </c>
      <c r="D152" s="188" t="s">
        <v>326</v>
      </c>
      <c r="E152" s="189"/>
      <c r="F152" s="190"/>
      <c r="G152" s="191">
        <f t="shared" ref="G152:AI152" si="107">+G62</f>
        <v>46154.437939439995</v>
      </c>
      <c r="H152" s="191">
        <f t="shared" si="107"/>
        <v>46154.437939439995</v>
      </c>
      <c r="I152" s="191">
        <f t="shared" si="107"/>
        <v>46154.437939439995</v>
      </c>
      <c r="J152" s="191">
        <f t="shared" si="107"/>
        <v>46154.437939439995</v>
      </c>
      <c r="K152" s="191">
        <f t="shared" si="107"/>
        <v>46154.437939439995</v>
      </c>
      <c r="L152" s="191">
        <f t="shared" si="107"/>
        <v>46154.437939439995</v>
      </c>
      <c r="M152" s="191">
        <f t="shared" si="107"/>
        <v>46154.437939439995</v>
      </c>
      <c r="N152" s="191">
        <f t="shared" si="107"/>
        <v>46154.437939439995</v>
      </c>
      <c r="O152" s="191">
        <f t="shared" si="107"/>
        <v>46154.437939439995</v>
      </c>
      <c r="P152" s="191">
        <f t="shared" si="107"/>
        <v>46154.437939439995</v>
      </c>
      <c r="Q152" s="191">
        <f t="shared" si="107"/>
        <v>46154.437939439995</v>
      </c>
      <c r="R152" s="191">
        <f t="shared" si="107"/>
        <v>46154.437939439995</v>
      </c>
      <c r="S152" s="191">
        <f t="shared" si="107"/>
        <v>46154.437939439995</v>
      </c>
      <c r="T152" s="191">
        <f t="shared" si="107"/>
        <v>46154.437939439995</v>
      </c>
      <c r="U152" s="191">
        <f t="shared" si="107"/>
        <v>46154.437939439995</v>
      </c>
      <c r="V152" s="191">
        <f t="shared" si="107"/>
        <v>46154.437939439995</v>
      </c>
      <c r="W152" s="191">
        <f t="shared" si="107"/>
        <v>46154.437939439995</v>
      </c>
      <c r="X152" s="191">
        <f t="shared" si="107"/>
        <v>46154.437939439995</v>
      </c>
      <c r="Y152" s="191">
        <f t="shared" si="107"/>
        <v>46154.437939439995</v>
      </c>
      <c r="Z152" s="191">
        <f t="shared" si="107"/>
        <v>46154.437939439995</v>
      </c>
      <c r="AA152" s="191">
        <f t="shared" si="107"/>
        <v>46154.437939439995</v>
      </c>
      <c r="AB152" s="191">
        <f t="shared" si="107"/>
        <v>46154.437939439995</v>
      </c>
      <c r="AC152" s="191">
        <f t="shared" si="107"/>
        <v>46154.437939439995</v>
      </c>
      <c r="AD152" s="191">
        <f t="shared" si="107"/>
        <v>46154.437939439995</v>
      </c>
      <c r="AE152" s="191">
        <f t="shared" si="107"/>
        <v>46154.437939439995</v>
      </c>
      <c r="AF152" s="191">
        <f t="shared" si="107"/>
        <v>46154.437939439995</v>
      </c>
      <c r="AG152" s="191">
        <f t="shared" si="107"/>
        <v>46154.437939439995</v>
      </c>
      <c r="AH152" s="191">
        <f t="shared" si="107"/>
        <v>46154.437939439995</v>
      </c>
      <c r="AI152" s="191">
        <f t="shared" si="107"/>
        <v>46154.437939439995</v>
      </c>
      <c r="AJ152" s="202">
        <f t="shared" ref="AJ152:AJ159" si="108">+SUM(F152:AI152)</f>
        <v>1338478.7002437597</v>
      </c>
    </row>
    <row r="153" spans="2:37" ht="14.4" x14ac:dyDescent="0.25">
      <c r="B153" s="378"/>
      <c r="C153" s="378"/>
      <c r="D153" s="192" t="s">
        <v>327</v>
      </c>
      <c r="E153" s="193">
        <v>6.3299999999999995E-2</v>
      </c>
      <c r="F153" s="194"/>
      <c r="G153" s="195">
        <f t="shared" ref="G153:AI153" si="109">+G152*$E153</f>
        <v>2921.5759215665516</v>
      </c>
      <c r="H153" s="195">
        <f t="shared" si="109"/>
        <v>2921.5759215665516</v>
      </c>
      <c r="I153" s="195">
        <f t="shared" si="109"/>
        <v>2921.5759215665516</v>
      </c>
      <c r="J153" s="195">
        <f t="shared" si="109"/>
        <v>2921.5759215665516</v>
      </c>
      <c r="K153" s="195">
        <f t="shared" si="109"/>
        <v>2921.5759215665516</v>
      </c>
      <c r="L153" s="195">
        <f t="shared" si="109"/>
        <v>2921.5759215665516</v>
      </c>
      <c r="M153" s="195">
        <f t="shared" si="109"/>
        <v>2921.5759215665516</v>
      </c>
      <c r="N153" s="195">
        <f t="shared" si="109"/>
        <v>2921.5759215665516</v>
      </c>
      <c r="O153" s="195">
        <f t="shared" si="109"/>
        <v>2921.5759215665516</v>
      </c>
      <c r="P153" s="195">
        <f t="shared" si="109"/>
        <v>2921.5759215665516</v>
      </c>
      <c r="Q153" s="195">
        <f t="shared" si="109"/>
        <v>2921.5759215665516</v>
      </c>
      <c r="R153" s="195">
        <f t="shared" si="109"/>
        <v>2921.5759215665516</v>
      </c>
      <c r="S153" s="195">
        <f t="shared" si="109"/>
        <v>2921.5759215665516</v>
      </c>
      <c r="T153" s="195">
        <f t="shared" si="109"/>
        <v>2921.5759215665516</v>
      </c>
      <c r="U153" s="195">
        <f t="shared" si="109"/>
        <v>2921.5759215665516</v>
      </c>
      <c r="V153" s="195">
        <f t="shared" si="109"/>
        <v>2921.5759215665516</v>
      </c>
      <c r="W153" s="195">
        <f t="shared" si="109"/>
        <v>2921.5759215665516</v>
      </c>
      <c r="X153" s="195">
        <f t="shared" si="109"/>
        <v>2921.5759215665516</v>
      </c>
      <c r="Y153" s="195">
        <f t="shared" si="109"/>
        <v>2921.5759215665516</v>
      </c>
      <c r="Z153" s="195">
        <f t="shared" si="109"/>
        <v>2921.5759215665516</v>
      </c>
      <c r="AA153" s="195">
        <f t="shared" si="109"/>
        <v>2921.5759215665516</v>
      </c>
      <c r="AB153" s="195">
        <f t="shared" si="109"/>
        <v>2921.5759215665516</v>
      </c>
      <c r="AC153" s="195">
        <f t="shared" si="109"/>
        <v>2921.5759215665516</v>
      </c>
      <c r="AD153" s="195">
        <f t="shared" si="109"/>
        <v>2921.5759215665516</v>
      </c>
      <c r="AE153" s="195">
        <f t="shared" si="109"/>
        <v>2921.5759215665516</v>
      </c>
      <c r="AF153" s="195">
        <f t="shared" si="109"/>
        <v>2921.5759215665516</v>
      </c>
      <c r="AG153" s="195">
        <f t="shared" si="109"/>
        <v>2921.5759215665516</v>
      </c>
      <c r="AH153" s="195">
        <f t="shared" si="109"/>
        <v>2921.5759215665516</v>
      </c>
      <c r="AI153" s="195">
        <f t="shared" si="109"/>
        <v>2921.5759215665516</v>
      </c>
      <c r="AJ153" s="203">
        <f t="shared" si="108"/>
        <v>84725.701725429986</v>
      </c>
    </row>
    <row r="154" spans="2:37" ht="14.4" x14ac:dyDescent="0.25">
      <c r="B154" s="378"/>
      <c r="C154" s="378"/>
      <c r="D154" s="192" t="s">
        <v>328</v>
      </c>
      <c r="E154" s="193">
        <v>5.0000000000000001E-3</v>
      </c>
      <c r="F154" s="194"/>
      <c r="G154" s="195">
        <f>+G152*$E154</f>
        <v>230.77218969719999</v>
      </c>
      <c r="H154" s="195">
        <f t="shared" ref="H154:AI154" si="110">+H152*$E154</f>
        <v>230.77218969719999</v>
      </c>
      <c r="I154" s="195">
        <f t="shared" si="110"/>
        <v>230.77218969719999</v>
      </c>
      <c r="J154" s="195">
        <f t="shared" si="110"/>
        <v>230.77218969719999</v>
      </c>
      <c r="K154" s="195">
        <f t="shared" si="110"/>
        <v>230.77218969719999</v>
      </c>
      <c r="L154" s="195">
        <f t="shared" si="110"/>
        <v>230.77218969719999</v>
      </c>
      <c r="M154" s="195">
        <f t="shared" si="110"/>
        <v>230.77218969719999</v>
      </c>
      <c r="N154" s="195">
        <f t="shared" si="110"/>
        <v>230.77218969719999</v>
      </c>
      <c r="O154" s="195">
        <f t="shared" si="110"/>
        <v>230.77218969719999</v>
      </c>
      <c r="P154" s="195">
        <f t="shared" si="110"/>
        <v>230.77218969719999</v>
      </c>
      <c r="Q154" s="195">
        <f t="shared" si="110"/>
        <v>230.77218969719999</v>
      </c>
      <c r="R154" s="195">
        <f t="shared" si="110"/>
        <v>230.77218969719999</v>
      </c>
      <c r="S154" s="195">
        <f t="shared" si="110"/>
        <v>230.77218969719999</v>
      </c>
      <c r="T154" s="195">
        <f t="shared" si="110"/>
        <v>230.77218969719999</v>
      </c>
      <c r="U154" s="195">
        <f t="shared" si="110"/>
        <v>230.77218969719999</v>
      </c>
      <c r="V154" s="195">
        <f t="shared" si="110"/>
        <v>230.77218969719999</v>
      </c>
      <c r="W154" s="195">
        <f t="shared" si="110"/>
        <v>230.77218969719999</v>
      </c>
      <c r="X154" s="195">
        <f t="shared" si="110"/>
        <v>230.77218969719999</v>
      </c>
      <c r="Y154" s="195">
        <f t="shared" si="110"/>
        <v>230.77218969719999</v>
      </c>
      <c r="Z154" s="195">
        <f t="shared" si="110"/>
        <v>230.77218969719999</v>
      </c>
      <c r="AA154" s="195">
        <f t="shared" si="110"/>
        <v>230.77218969719999</v>
      </c>
      <c r="AB154" s="195">
        <f t="shared" si="110"/>
        <v>230.77218969719999</v>
      </c>
      <c r="AC154" s="195">
        <f t="shared" si="110"/>
        <v>230.77218969719999</v>
      </c>
      <c r="AD154" s="195">
        <f t="shared" si="110"/>
        <v>230.77218969719999</v>
      </c>
      <c r="AE154" s="195">
        <f t="shared" si="110"/>
        <v>230.77218969719999</v>
      </c>
      <c r="AF154" s="195">
        <f t="shared" si="110"/>
        <v>230.77218969719999</v>
      </c>
      <c r="AG154" s="195">
        <f t="shared" si="110"/>
        <v>230.77218969719999</v>
      </c>
      <c r="AH154" s="195">
        <f t="shared" si="110"/>
        <v>230.77218969719999</v>
      </c>
      <c r="AI154" s="195">
        <f t="shared" si="110"/>
        <v>230.77218969719999</v>
      </c>
      <c r="AJ154" s="203">
        <f t="shared" si="108"/>
        <v>6692.3935012187958</v>
      </c>
    </row>
    <row r="155" spans="2:37" ht="14.4" x14ac:dyDescent="0.25">
      <c r="B155" s="378"/>
      <c r="C155" s="378"/>
      <c r="D155" s="192" t="s">
        <v>329</v>
      </c>
      <c r="E155" s="193">
        <v>2.8000000000000001E-2</v>
      </c>
      <c r="F155" s="194"/>
      <c r="G155" s="195">
        <f>+G152*$E155</f>
        <v>1292.32426230432</v>
      </c>
      <c r="H155" s="195">
        <f t="shared" ref="H155:AI155" si="111">+H152*$E155</f>
        <v>1292.32426230432</v>
      </c>
      <c r="I155" s="195">
        <f t="shared" si="111"/>
        <v>1292.32426230432</v>
      </c>
      <c r="J155" s="195">
        <f t="shared" si="111"/>
        <v>1292.32426230432</v>
      </c>
      <c r="K155" s="195">
        <f t="shared" si="111"/>
        <v>1292.32426230432</v>
      </c>
      <c r="L155" s="195">
        <f t="shared" si="111"/>
        <v>1292.32426230432</v>
      </c>
      <c r="M155" s="195">
        <f t="shared" si="111"/>
        <v>1292.32426230432</v>
      </c>
      <c r="N155" s="195">
        <f t="shared" si="111"/>
        <v>1292.32426230432</v>
      </c>
      <c r="O155" s="195">
        <f t="shared" si="111"/>
        <v>1292.32426230432</v>
      </c>
      <c r="P155" s="195">
        <f t="shared" si="111"/>
        <v>1292.32426230432</v>
      </c>
      <c r="Q155" s="195">
        <f t="shared" si="111"/>
        <v>1292.32426230432</v>
      </c>
      <c r="R155" s="195">
        <f t="shared" si="111"/>
        <v>1292.32426230432</v>
      </c>
      <c r="S155" s="195">
        <f t="shared" si="111"/>
        <v>1292.32426230432</v>
      </c>
      <c r="T155" s="195">
        <f t="shared" si="111"/>
        <v>1292.32426230432</v>
      </c>
      <c r="U155" s="195">
        <f t="shared" si="111"/>
        <v>1292.32426230432</v>
      </c>
      <c r="V155" s="195">
        <f t="shared" si="111"/>
        <v>1292.32426230432</v>
      </c>
      <c r="W155" s="195">
        <f t="shared" si="111"/>
        <v>1292.32426230432</v>
      </c>
      <c r="X155" s="195">
        <f t="shared" si="111"/>
        <v>1292.32426230432</v>
      </c>
      <c r="Y155" s="195">
        <f t="shared" si="111"/>
        <v>1292.32426230432</v>
      </c>
      <c r="Z155" s="195">
        <f t="shared" si="111"/>
        <v>1292.32426230432</v>
      </c>
      <c r="AA155" s="195">
        <f t="shared" si="111"/>
        <v>1292.32426230432</v>
      </c>
      <c r="AB155" s="195">
        <f t="shared" si="111"/>
        <v>1292.32426230432</v>
      </c>
      <c r="AC155" s="195">
        <f t="shared" si="111"/>
        <v>1292.32426230432</v>
      </c>
      <c r="AD155" s="195">
        <f t="shared" si="111"/>
        <v>1292.32426230432</v>
      </c>
      <c r="AE155" s="195">
        <f t="shared" si="111"/>
        <v>1292.32426230432</v>
      </c>
      <c r="AF155" s="195">
        <f t="shared" si="111"/>
        <v>1292.32426230432</v>
      </c>
      <c r="AG155" s="195">
        <f t="shared" si="111"/>
        <v>1292.32426230432</v>
      </c>
      <c r="AH155" s="195">
        <f t="shared" si="111"/>
        <v>1292.32426230432</v>
      </c>
      <c r="AI155" s="195">
        <f t="shared" si="111"/>
        <v>1292.32426230432</v>
      </c>
      <c r="AJ155" s="203">
        <f t="shared" si="108"/>
        <v>37477.403606825268</v>
      </c>
    </row>
    <row r="156" spans="2:37" ht="14.4" x14ac:dyDescent="0.25">
      <c r="B156" s="378"/>
      <c r="C156" s="378"/>
      <c r="D156" s="192" t="s">
        <v>330</v>
      </c>
      <c r="E156" s="193">
        <v>5.0000000000000001E-3</v>
      </c>
      <c r="F156" s="194"/>
      <c r="G156" s="195">
        <f>+G152*$E156</f>
        <v>230.77218969719999</v>
      </c>
      <c r="H156" s="195">
        <f t="shared" ref="H156:AI156" si="112">+H152*$E156</f>
        <v>230.77218969719999</v>
      </c>
      <c r="I156" s="195">
        <f t="shared" si="112"/>
        <v>230.77218969719999</v>
      </c>
      <c r="J156" s="195">
        <f t="shared" si="112"/>
        <v>230.77218969719999</v>
      </c>
      <c r="K156" s="195">
        <f t="shared" si="112"/>
        <v>230.77218969719999</v>
      </c>
      <c r="L156" s="195">
        <f t="shared" si="112"/>
        <v>230.77218969719999</v>
      </c>
      <c r="M156" s="195">
        <f t="shared" si="112"/>
        <v>230.77218969719999</v>
      </c>
      <c r="N156" s="195">
        <f t="shared" si="112"/>
        <v>230.77218969719999</v>
      </c>
      <c r="O156" s="195">
        <f t="shared" si="112"/>
        <v>230.77218969719999</v>
      </c>
      <c r="P156" s="195">
        <f t="shared" si="112"/>
        <v>230.77218969719999</v>
      </c>
      <c r="Q156" s="195">
        <f t="shared" si="112"/>
        <v>230.77218969719999</v>
      </c>
      <c r="R156" s="195">
        <f t="shared" si="112"/>
        <v>230.77218969719999</v>
      </c>
      <c r="S156" s="195">
        <f t="shared" si="112"/>
        <v>230.77218969719999</v>
      </c>
      <c r="T156" s="195">
        <f t="shared" si="112"/>
        <v>230.77218969719999</v>
      </c>
      <c r="U156" s="195">
        <f t="shared" si="112"/>
        <v>230.77218969719999</v>
      </c>
      <c r="V156" s="195">
        <f t="shared" si="112"/>
        <v>230.77218969719999</v>
      </c>
      <c r="W156" s="195">
        <f t="shared" si="112"/>
        <v>230.77218969719999</v>
      </c>
      <c r="X156" s="195">
        <f t="shared" si="112"/>
        <v>230.77218969719999</v>
      </c>
      <c r="Y156" s="195">
        <f t="shared" si="112"/>
        <v>230.77218969719999</v>
      </c>
      <c r="Z156" s="195">
        <f t="shared" si="112"/>
        <v>230.77218969719999</v>
      </c>
      <c r="AA156" s="195">
        <f t="shared" si="112"/>
        <v>230.77218969719999</v>
      </c>
      <c r="AB156" s="195">
        <f t="shared" si="112"/>
        <v>230.77218969719999</v>
      </c>
      <c r="AC156" s="195">
        <f t="shared" si="112"/>
        <v>230.77218969719999</v>
      </c>
      <c r="AD156" s="195">
        <f t="shared" si="112"/>
        <v>230.77218969719999</v>
      </c>
      <c r="AE156" s="195">
        <f t="shared" si="112"/>
        <v>230.77218969719999</v>
      </c>
      <c r="AF156" s="195">
        <f t="shared" si="112"/>
        <v>230.77218969719999</v>
      </c>
      <c r="AG156" s="195">
        <f t="shared" si="112"/>
        <v>230.77218969719999</v>
      </c>
      <c r="AH156" s="195">
        <f t="shared" si="112"/>
        <v>230.77218969719999</v>
      </c>
      <c r="AI156" s="195">
        <f t="shared" si="112"/>
        <v>230.77218969719999</v>
      </c>
      <c r="AJ156" s="203">
        <f t="shared" si="108"/>
        <v>6692.3935012187958</v>
      </c>
    </row>
    <row r="157" spans="2:37" ht="14.4" x14ac:dyDescent="0.25">
      <c r="B157" s="378"/>
      <c r="C157" s="378"/>
      <c r="D157" s="192" t="s">
        <v>331</v>
      </c>
      <c r="E157" s="196"/>
      <c r="F157" s="194"/>
      <c r="G157" s="195">
        <f t="shared" ref="G157:AI157" si="113">+SUBTOTAL(9,G152:G156)</f>
        <v>50829.882502705266</v>
      </c>
      <c r="H157" s="195">
        <f t="shared" si="113"/>
        <v>50829.882502705266</v>
      </c>
      <c r="I157" s="195">
        <f t="shared" si="113"/>
        <v>50829.882502705266</v>
      </c>
      <c r="J157" s="195">
        <f t="shared" si="113"/>
        <v>50829.882502705266</v>
      </c>
      <c r="K157" s="195">
        <f t="shared" si="113"/>
        <v>50829.882502705266</v>
      </c>
      <c r="L157" s="195">
        <f t="shared" si="113"/>
        <v>50829.882502705266</v>
      </c>
      <c r="M157" s="195">
        <f t="shared" si="113"/>
        <v>50829.882502705266</v>
      </c>
      <c r="N157" s="195">
        <f t="shared" si="113"/>
        <v>50829.882502705266</v>
      </c>
      <c r="O157" s="195">
        <f t="shared" si="113"/>
        <v>50829.882502705266</v>
      </c>
      <c r="P157" s="195">
        <f t="shared" si="113"/>
        <v>50829.882502705266</v>
      </c>
      <c r="Q157" s="195">
        <f t="shared" si="113"/>
        <v>50829.882502705266</v>
      </c>
      <c r="R157" s="195">
        <f t="shared" si="113"/>
        <v>50829.882502705266</v>
      </c>
      <c r="S157" s="195">
        <f t="shared" si="113"/>
        <v>50829.882502705266</v>
      </c>
      <c r="T157" s="195">
        <f t="shared" si="113"/>
        <v>50829.882502705266</v>
      </c>
      <c r="U157" s="195">
        <f t="shared" si="113"/>
        <v>50829.882502705266</v>
      </c>
      <c r="V157" s="195">
        <f t="shared" si="113"/>
        <v>50829.882502705266</v>
      </c>
      <c r="W157" s="195">
        <f t="shared" si="113"/>
        <v>50829.882502705266</v>
      </c>
      <c r="X157" s="195">
        <f t="shared" si="113"/>
        <v>50829.882502705266</v>
      </c>
      <c r="Y157" s="195">
        <f t="shared" si="113"/>
        <v>50829.882502705266</v>
      </c>
      <c r="Z157" s="195">
        <f t="shared" si="113"/>
        <v>50829.882502705266</v>
      </c>
      <c r="AA157" s="195">
        <f t="shared" si="113"/>
        <v>50829.882502705266</v>
      </c>
      <c r="AB157" s="195">
        <f t="shared" si="113"/>
        <v>50829.882502705266</v>
      </c>
      <c r="AC157" s="195">
        <f t="shared" si="113"/>
        <v>50829.882502705266</v>
      </c>
      <c r="AD157" s="195">
        <f t="shared" si="113"/>
        <v>50829.882502705266</v>
      </c>
      <c r="AE157" s="195">
        <f t="shared" si="113"/>
        <v>50829.882502705266</v>
      </c>
      <c r="AF157" s="195">
        <f t="shared" si="113"/>
        <v>50829.882502705266</v>
      </c>
      <c r="AG157" s="195">
        <f t="shared" si="113"/>
        <v>50829.882502705266</v>
      </c>
      <c r="AH157" s="195">
        <f t="shared" si="113"/>
        <v>50829.882502705266</v>
      </c>
      <c r="AI157" s="195">
        <f t="shared" si="113"/>
        <v>50829.882502705266</v>
      </c>
      <c r="AJ157" s="203">
        <f t="shared" si="108"/>
        <v>1474066.5925784537</v>
      </c>
      <c r="AK157" s="4"/>
    </row>
    <row r="158" spans="2:37" ht="14.4" x14ac:dyDescent="0.25">
      <c r="B158" s="378"/>
      <c r="C158" s="378"/>
      <c r="D158" s="192" t="s">
        <v>332</v>
      </c>
      <c r="E158" s="197">
        <f>BDI!G5</f>
        <v>0.21340000000000001</v>
      </c>
      <c r="F158" s="194"/>
      <c r="G158" s="195">
        <f t="shared" ref="G158:AI158" si="114">+G157*$E158</f>
        <v>10847.096926077304</v>
      </c>
      <c r="H158" s="195">
        <f t="shared" si="114"/>
        <v>10847.096926077304</v>
      </c>
      <c r="I158" s="195">
        <f t="shared" si="114"/>
        <v>10847.096926077304</v>
      </c>
      <c r="J158" s="195">
        <f t="shared" si="114"/>
        <v>10847.096926077304</v>
      </c>
      <c r="K158" s="195">
        <f t="shared" si="114"/>
        <v>10847.096926077304</v>
      </c>
      <c r="L158" s="195">
        <f t="shared" si="114"/>
        <v>10847.096926077304</v>
      </c>
      <c r="M158" s="195">
        <f t="shared" si="114"/>
        <v>10847.096926077304</v>
      </c>
      <c r="N158" s="195">
        <f t="shared" si="114"/>
        <v>10847.096926077304</v>
      </c>
      <c r="O158" s="195">
        <f t="shared" si="114"/>
        <v>10847.096926077304</v>
      </c>
      <c r="P158" s="195">
        <f t="shared" si="114"/>
        <v>10847.096926077304</v>
      </c>
      <c r="Q158" s="195">
        <f t="shared" si="114"/>
        <v>10847.096926077304</v>
      </c>
      <c r="R158" s="195">
        <f t="shared" si="114"/>
        <v>10847.096926077304</v>
      </c>
      <c r="S158" s="195">
        <f t="shared" si="114"/>
        <v>10847.096926077304</v>
      </c>
      <c r="T158" s="195">
        <f t="shared" si="114"/>
        <v>10847.096926077304</v>
      </c>
      <c r="U158" s="195">
        <f t="shared" si="114"/>
        <v>10847.096926077304</v>
      </c>
      <c r="V158" s="195">
        <f t="shared" si="114"/>
        <v>10847.096926077304</v>
      </c>
      <c r="W158" s="195">
        <f t="shared" si="114"/>
        <v>10847.096926077304</v>
      </c>
      <c r="X158" s="195">
        <f t="shared" si="114"/>
        <v>10847.096926077304</v>
      </c>
      <c r="Y158" s="195">
        <f t="shared" si="114"/>
        <v>10847.096926077304</v>
      </c>
      <c r="Z158" s="195">
        <f t="shared" si="114"/>
        <v>10847.096926077304</v>
      </c>
      <c r="AA158" s="195">
        <f t="shared" si="114"/>
        <v>10847.096926077304</v>
      </c>
      <c r="AB158" s="195">
        <f t="shared" si="114"/>
        <v>10847.096926077304</v>
      </c>
      <c r="AC158" s="195">
        <f t="shared" si="114"/>
        <v>10847.096926077304</v>
      </c>
      <c r="AD158" s="195">
        <f t="shared" si="114"/>
        <v>10847.096926077304</v>
      </c>
      <c r="AE158" s="195">
        <f t="shared" si="114"/>
        <v>10847.096926077304</v>
      </c>
      <c r="AF158" s="195">
        <f t="shared" si="114"/>
        <v>10847.096926077304</v>
      </c>
      <c r="AG158" s="195">
        <f t="shared" si="114"/>
        <v>10847.096926077304</v>
      </c>
      <c r="AH158" s="195">
        <f t="shared" si="114"/>
        <v>10847.096926077304</v>
      </c>
      <c r="AI158" s="195">
        <f t="shared" si="114"/>
        <v>10847.096926077304</v>
      </c>
      <c r="AJ158" s="203">
        <f t="shared" si="108"/>
        <v>314565.81085624185</v>
      </c>
    </row>
    <row r="159" spans="2:37" ht="14.4" x14ac:dyDescent="0.25">
      <c r="B159" s="378"/>
      <c r="C159" s="378"/>
      <c r="D159" s="192" t="s">
        <v>333</v>
      </c>
      <c r="E159" s="196"/>
      <c r="F159" s="194"/>
      <c r="G159" s="204">
        <f t="shared" ref="G159:AI159" si="115">+SUM(G157:G158)</f>
        <v>61676.979428782572</v>
      </c>
      <c r="H159" s="204">
        <f t="shared" si="115"/>
        <v>61676.979428782572</v>
      </c>
      <c r="I159" s="204">
        <f t="shared" si="115"/>
        <v>61676.979428782572</v>
      </c>
      <c r="J159" s="204">
        <f t="shared" si="115"/>
        <v>61676.979428782572</v>
      </c>
      <c r="K159" s="204">
        <f t="shared" si="115"/>
        <v>61676.979428782572</v>
      </c>
      <c r="L159" s="204">
        <f t="shared" si="115"/>
        <v>61676.979428782572</v>
      </c>
      <c r="M159" s="204">
        <f t="shared" si="115"/>
        <v>61676.979428782572</v>
      </c>
      <c r="N159" s="204">
        <f t="shared" si="115"/>
        <v>61676.979428782572</v>
      </c>
      <c r="O159" s="204">
        <f t="shared" si="115"/>
        <v>61676.979428782572</v>
      </c>
      <c r="P159" s="204">
        <f t="shared" si="115"/>
        <v>61676.979428782572</v>
      </c>
      <c r="Q159" s="204">
        <f t="shared" si="115"/>
        <v>61676.979428782572</v>
      </c>
      <c r="R159" s="204">
        <f t="shared" si="115"/>
        <v>61676.979428782572</v>
      </c>
      <c r="S159" s="204">
        <f t="shared" si="115"/>
        <v>61676.979428782572</v>
      </c>
      <c r="T159" s="204">
        <f t="shared" si="115"/>
        <v>61676.979428782572</v>
      </c>
      <c r="U159" s="204">
        <f t="shared" si="115"/>
        <v>61676.979428782572</v>
      </c>
      <c r="V159" s="204">
        <f t="shared" si="115"/>
        <v>61676.979428782572</v>
      </c>
      <c r="W159" s="204">
        <f t="shared" si="115"/>
        <v>61676.979428782572</v>
      </c>
      <c r="X159" s="204">
        <f t="shared" si="115"/>
        <v>61676.979428782572</v>
      </c>
      <c r="Y159" s="204">
        <f t="shared" si="115"/>
        <v>61676.979428782572</v>
      </c>
      <c r="Z159" s="204">
        <f t="shared" si="115"/>
        <v>61676.979428782572</v>
      </c>
      <c r="AA159" s="204">
        <f t="shared" si="115"/>
        <v>61676.979428782572</v>
      </c>
      <c r="AB159" s="204">
        <f t="shared" si="115"/>
        <v>61676.979428782572</v>
      </c>
      <c r="AC159" s="204">
        <f t="shared" si="115"/>
        <v>61676.979428782572</v>
      </c>
      <c r="AD159" s="204">
        <f t="shared" si="115"/>
        <v>61676.979428782572</v>
      </c>
      <c r="AE159" s="204">
        <f t="shared" si="115"/>
        <v>61676.979428782572</v>
      </c>
      <c r="AF159" s="204">
        <f t="shared" si="115"/>
        <v>61676.979428782572</v>
      </c>
      <c r="AG159" s="204">
        <f t="shared" si="115"/>
        <v>61676.979428782572</v>
      </c>
      <c r="AH159" s="204">
        <f t="shared" si="115"/>
        <v>61676.979428782572</v>
      </c>
      <c r="AI159" s="204">
        <f t="shared" si="115"/>
        <v>61676.979428782572</v>
      </c>
      <c r="AJ159" s="205">
        <f t="shared" si="108"/>
        <v>1788632.403434695</v>
      </c>
      <c r="AK159" s="4"/>
    </row>
    <row r="160" spans="2:37" ht="14.4" x14ac:dyDescent="0.25">
      <c r="B160" s="185" t="s">
        <v>342</v>
      </c>
      <c r="C160" s="66" t="str">
        <f>+C65</f>
        <v>ILUMINAÇÃO</v>
      </c>
      <c r="D160" s="66"/>
      <c r="E160" s="93"/>
      <c r="F160" s="169">
        <f t="shared" ref="F160:AI160" si="116">+F168</f>
        <v>0</v>
      </c>
      <c r="G160" s="169">
        <f t="shared" si="116"/>
        <v>81315.928459654606</v>
      </c>
      <c r="H160" s="169">
        <f t="shared" si="116"/>
        <v>81315.928459654606</v>
      </c>
      <c r="I160" s="169">
        <f t="shared" si="116"/>
        <v>81315.928459654606</v>
      </c>
      <c r="J160" s="169">
        <f t="shared" si="116"/>
        <v>81315.928459654606</v>
      </c>
      <c r="K160" s="169">
        <f t="shared" si="116"/>
        <v>81315.928459654606</v>
      </c>
      <c r="L160" s="169">
        <f t="shared" si="116"/>
        <v>81315.928459654606</v>
      </c>
      <c r="M160" s="169">
        <f t="shared" si="116"/>
        <v>81315.928459654606</v>
      </c>
      <c r="N160" s="169">
        <f t="shared" si="116"/>
        <v>81315.928459654606</v>
      </c>
      <c r="O160" s="169">
        <f t="shared" si="116"/>
        <v>81315.928459654606</v>
      </c>
      <c r="P160" s="169">
        <f t="shared" si="116"/>
        <v>81315.928459654606</v>
      </c>
      <c r="Q160" s="169">
        <f t="shared" si="116"/>
        <v>81315.928459654606</v>
      </c>
      <c r="R160" s="169">
        <f t="shared" si="116"/>
        <v>81315.928459654606</v>
      </c>
      <c r="S160" s="169">
        <f t="shared" si="116"/>
        <v>81315.928459654606</v>
      </c>
      <c r="T160" s="169">
        <f t="shared" si="116"/>
        <v>81315.928459654606</v>
      </c>
      <c r="U160" s="169">
        <f t="shared" si="116"/>
        <v>81315.928459654606</v>
      </c>
      <c r="V160" s="169">
        <f t="shared" si="116"/>
        <v>81315.928459654606</v>
      </c>
      <c r="W160" s="169">
        <f t="shared" si="116"/>
        <v>81315.928459654606</v>
      </c>
      <c r="X160" s="169">
        <f t="shared" si="116"/>
        <v>81315.928459654606</v>
      </c>
      <c r="Y160" s="169">
        <f t="shared" si="116"/>
        <v>81315.928459654606</v>
      </c>
      <c r="Z160" s="169">
        <f t="shared" si="116"/>
        <v>81315.928459654606</v>
      </c>
      <c r="AA160" s="169">
        <f t="shared" si="116"/>
        <v>81315.928459654606</v>
      </c>
      <c r="AB160" s="169">
        <f t="shared" si="116"/>
        <v>81315.928459654606</v>
      </c>
      <c r="AC160" s="169">
        <f t="shared" si="116"/>
        <v>81315.928459654606</v>
      </c>
      <c r="AD160" s="169">
        <f t="shared" si="116"/>
        <v>81315.928459654606</v>
      </c>
      <c r="AE160" s="169">
        <f t="shared" si="116"/>
        <v>81315.928459654606</v>
      </c>
      <c r="AF160" s="169">
        <f t="shared" si="116"/>
        <v>81315.928459654606</v>
      </c>
      <c r="AG160" s="169">
        <f t="shared" si="116"/>
        <v>81315.928459654606</v>
      </c>
      <c r="AH160" s="169">
        <f t="shared" si="116"/>
        <v>81315.928459654606</v>
      </c>
      <c r="AI160" s="169">
        <f t="shared" si="116"/>
        <v>81315.928459654606</v>
      </c>
      <c r="AJ160" s="169">
        <f>+AJ168</f>
        <v>2358161.9253299828</v>
      </c>
    </row>
    <row r="161" spans="2:37" ht="14.4" x14ac:dyDescent="0.25">
      <c r="B161" s="377" t="s">
        <v>343</v>
      </c>
      <c r="C161" s="377" t="str">
        <f>+C66</f>
        <v>Iluminação e Instalações Elétricas</v>
      </c>
      <c r="D161" s="188" t="s">
        <v>326</v>
      </c>
      <c r="E161" s="189"/>
      <c r="F161" s="190"/>
      <c r="G161" s="191">
        <f t="shared" ref="G161:AI161" si="117">+G65</f>
        <v>60850.758392160002</v>
      </c>
      <c r="H161" s="191">
        <f t="shared" si="117"/>
        <v>60850.758392160002</v>
      </c>
      <c r="I161" s="191">
        <f t="shared" si="117"/>
        <v>60850.758392160002</v>
      </c>
      <c r="J161" s="191">
        <f t="shared" si="117"/>
        <v>60850.758392160002</v>
      </c>
      <c r="K161" s="191">
        <f t="shared" si="117"/>
        <v>60850.758392160002</v>
      </c>
      <c r="L161" s="191">
        <f t="shared" si="117"/>
        <v>60850.758392160002</v>
      </c>
      <c r="M161" s="191">
        <f t="shared" si="117"/>
        <v>60850.758392160002</v>
      </c>
      <c r="N161" s="191">
        <f t="shared" si="117"/>
        <v>60850.758392160002</v>
      </c>
      <c r="O161" s="191">
        <f t="shared" si="117"/>
        <v>60850.758392160002</v>
      </c>
      <c r="P161" s="191">
        <f t="shared" si="117"/>
        <v>60850.758392160002</v>
      </c>
      <c r="Q161" s="191">
        <f t="shared" si="117"/>
        <v>60850.758392160002</v>
      </c>
      <c r="R161" s="191">
        <f t="shared" si="117"/>
        <v>60850.758392160002</v>
      </c>
      <c r="S161" s="191">
        <f t="shared" si="117"/>
        <v>60850.758392160002</v>
      </c>
      <c r="T161" s="191">
        <f t="shared" si="117"/>
        <v>60850.758392160002</v>
      </c>
      <c r="U161" s="191">
        <f t="shared" si="117"/>
        <v>60850.758392160002</v>
      </c>
      <c r="V161" s="191">
        <f t="shared" si="117"/>
        <v>60850.758392160002</v>
      </c>
      <c r="W161" s="191">
        <f t="shared" si="117"/>
        <v>60850.758392160002</v>
      </c>
      <c r="X161" s="191">
        <f t="shared" si="117"/>
        <v>60850.758392160002</v>
      </c>
      <c r="Y161" s="191">
        <f t="shared" si="117"/>
        <v>60850.758392160002</v>
      </c>
      <c r="Z161" s="191">
        <f t="shared" si="117"/>
        <v>60850.758392160002</v>
      </c>
      <c r="AA161" s="191">
        <f t="shared" si="117"/>
        <v>60850.758392160002</v>
      </c>
      <c r="AB161" s="191">
        <f t="shared" si="117"/>
        <v>60850.758392160002</v>
      </c>
      <c r="AC161" s="191">
        <f t="shared" si="117"/>
        <v>60850.758392160002</v>
      </c>
      <c r="AD161" s="191">
        <f t="shared" si="117"/>
        <v>60850.758392160002</v>
      </c>
      <c r="AE161" s="191">
        <f t="shared" si="117"/>
        <v>60850.758392160002</v>
      </c>
      <c r="AF161" s="191">
        <f t="shared" si="117"/>
        <v>60850.758392160002</v>
      </c>
      <c r="AG161" s="191">
        <f t="shared" si="117"/>
        <v>60850.758392160002</v>
      </c>
      <c r="AH161" s="191">
        <f t="shared" si="117"/>
        <v>60850.758392160002</v>
      </c>
      <c r="AI161" s="191">
        <f t="shared" si="117"/>
        <v>60850.758392160002</v>
      </c>
      <c r="AJ161" s="202">
        <f t="shared" ref="AJ161:AJ168" si="118">+SUM(F161:AI161)</f>
        <v>1764671.9933726413</v>
      </c>
    </row>
    <row r="162" spans="2:37" ht="14.4" x14ac:dyDescent="0.25">
      <c r="B162" s="378"/>
      <c r="C162" s="378"/>
      <c r="D162" s="192" t="s">
        <v>327</v>
      </c>
      <c r="E162" s="193">
        <v>6.3299999999999995E-2</v>
      </c>
      <c r="F162" s="194"/>
      <c r="G162" s="195">
        <f t="shared" ref="G162:AI162" si="119">+G161*$E162</f>
        <v>3851.8530062237278</v>
      </c>
      <c r="H162" s="195">
        <f t="shared" si="119"/>
        <v>3851.8530062237278</v>
      </c>
      <c r="I162" s="195">
        <f t="shared" si="119"/>
        <v>3851.8530062237278</v>
      </c>
      <c r="J162" s="195">
        <f t="shared" si="119"/>
        <v>3851.8530062237278</v>
      </c>
      <c r="K162" s="195">
        <f t="shared" si="119"/>
        <v>3851.8530062237278</v>
      </c>
      <c r="L162" s="195">
        <f t="shared" si="119"/>
        <v>3851.8530062237278</v>
      </c>
      <c r="M162" s="195">
        <f t="shared" si="119"/>
        <v>3851.8530062237278</v>
      </c>
      <c r="N162" s="195">
        <f t="shared" si="119"/>
        <v>3851.8530062237278</v>
      </c>
      <c r="O162" s="195">
        <f t="shared" si="119"/>
        <v>3851.8530062237278</v>
      </c>
      <c r="P162" s="195">
        <f t="shared" si="119"/>
        <v>3851.8530062237278</v>
      </c>
      <c r="Q162" s="195">
        <f t="shared" si="119"/>
        <v>3851.8530062237278</v>
      </c>
      <c r="R162" s="195">
        <f t="shared" si="119"/>
        <v>3851.8530062237278</v>
      </c>
      <c r="S162" s="195">
        <f t="shared" si="119"/>
        <v>3851.8530062237278</v>
      </c>
      <c r="T162" s="195">
        <f t="shared" si="119"/>
        <v>3851.8530062237278</v>
      </c>
      <c r="U162" s="195">
        <f t="shared" si="119"/>
        <v>3851.8530062237278</v>
      </c>
      <c r="V162" s="195">
        <f t="shared" si="119"/>
        <v>3851.8530062237278</v>
      </c>
      <c r="W162" s="195">
        <f t="shared" si="119"/>
        <v>3851.8530062237278</v>
      </c>
      <c r="X162" s="195">
        <f t="shared" si="119"/>
        <v>3851.8530062237278</v>
      </c>
      <c r="Y162" s="195">
        <f t="shared" si="119"/>
        <v>3851.8530062237278</v>
      </c>
      <c r="Z162" s="195">
        <f t="shared" si="119"/>
        <v>3851.8530062237278</v>
      </c>
      <c r="AA162" s="195">
        <f t="shared" si="119"/>
        <v>3851.8530062237278</v>
      </c>
      <c r="AB162" s="195">
        <f t="shared" si="119"/>
        <v>3851.8530062237278</v>
      </c>
      <c r="AC162" s="195">
        <f t="shared" si="119"/>
        <v>3851.8530062237278</v>
      </c>
      <c r="AD162" s="195">
        <f t="shared" si="119"/>
        <v>3851.8530062237278</v>
      </c>
      <c r="AE162" s="195">
        <f t="shared" si="119"/>
        <v>3851.8530062237278</v>
      </c>
      <c r="AF162" s="195">
        <f t="shared" si="119"/>
        <v>3851.8530062237278</v>
      </c>
      <c r="AG162" s="195">
        <f t="shared" si="119"/>
        <v>3851.8530062237278</v>
      </c>
      <c r="AH162" s="195">
        <f t="shared" si="119"/>
        <v>3851.8530062237278</v>
      </c>
      <c r="AI162" s="195">
        <f t="shared" si="119"/>
        <v>3851.8530062237278</v>
      </c>
      <c r="AJ162" s="203">
        <f t="shared" si="118"/>
        <v>111703.73718048807</v>
      </c>
    </row>
    <row r="163" spans="2:37" ht="14.4" x14ac:dyDescent="0.25">
      <c r="B163" s="378"/>
      <c r="C163" s="378"/>
      <c r="D163" s="192" t="s">
        <v>328</v>
      </c>
      <c r="E163" s="193">
        <v>5.0000000000000001E-3</v>
      </c>
      <c r="F163" s="194"/>
      <c r="G163" s="195">
        <f>+G161*$E163</f>
        <v>304.25379196080002</v>
      </c>
      <c r="H163" s="195">
        <f t="shared" ref="H163:AI163" si="120">+H161*$E163</f>
        <v>304.25379196080002</v>
      </c>
      <c r="I163" s="195">
        <f t="shared" si="120"/>
        <v>304.25379196080002</v>
      </c>
      <c r="J163" s="195">
        <f t="shared" si="120"/>
        <v>304.25379196080002</v>
      </c>
      <c r="K163" s="195">
        <f t="shared" si="120"/>
        <v>304.25379196080002</v>
      </c>
      <c r="L163" s="195">
        <f t="shared" si="120"/>
        <v>304.25379196080002</v>
      </c>
      <c r="M163" s="195">
        <f t="shared" si="120"/>
        <v>304.25379196080002</v>
      </c>
      <c r="N163" s="195">
        <f t="shared" si="120"/>
        <v>304.25379196080002</v>
      </c>
      <c r="O163" s="195">
        <f t="shared" si="120"/>
        <v>304.25379196080002</v>
      </c>
      <c r="P163" s="195">
        <f t="shared" si="120"/>
        <v>304.25379196080002</v>
      </c>
      <c r="Q163" s="195">
        <f t="shared" si="120"/>
        <v>304.25379196080002</v>
      </c>
      <c r="R163" s="195">
        <f t="shared" si="120"/>
        <v>304.25379196080002</v>
      </c>
      <c r="S163" s="195">
        <f t="shared" si="120"/>
        <v>304.25379196080002</v>
      </c>
      <c r="T163" s="195">
        <f t="shared" si="120"/>
        <v>304.25379196080002</v>
      </c>
      <c r="U163" s="195">
        <f t="shared" si="120"/>
        <v>304.25379196080002</v>
      </c>
      <c r="V163" s="195">
        <f t="shared" si="120"/>
        <v>304.25379196080002</v>
      </c>
      <c r="W163" s="195">
        <f t="shared" si="120"/>
        <v>304.25379196080002</v>
      </c>
      <c r="X163" s="195">
        <f t="shared" si="120"/>
        <v>304.25379196080002</v>
      </c>
      <c r="Y163" s="195">
        <f t="shared" si="120"/>
        <v>304.25379196080002</v>
      </c>
      <c r="Z163" s="195">
        <f t="shared" si="120"/>
        <v>304.25379196080002</v>
      </c>
      <c r="AA163" s="195">
        <f t="shared" si="120"/>
        <v>304.25379196080002</v>
      </c>
      <c r="AB163" s="195">
        <f t="shared" si="120"/>
        <v>304.25379196080002</v>
      </c>
      <c r="AC163" s="195">
        <f t="shared" si="120"/>
        <v>304.25379196080002</v>
      </c>
      <c r="AD163" s="195">
        <f t="shared" si="120"/>
        <v>304.25379196080002</v>
      </c>
      <c r="AE163" s="195">
        <f t="shared" si="120"/>
        <v>304.25379196080002</v>
      </c>
      <c r="AF163" s="195">
        <f t="shared" si="120"/>
        <v>304.25379196080002</v>
      </c>
      <c r="AG163" s="195">
        <f t="shared" si="120"/>
        <v>304.25379196080002</v>
      </c>
      <c r="AH163" s="195">
        <f t="shared" si="120"/>
        <v>304.25379196080002</v>
      </c>
      <c r="AI163" s="195">
        <f t="shared" si="120"/>
        <v>304.25379196080002</v>
      </c>
      <c r="AJ163" s="203">
        <f t="shared" si="118"/>
        <v>8823.3599668632032</v>
      </c>
    </row>
    <row r="164" spans="2:37" ht="14.4" x14ac:dyDescent="0.25">
      <c r="B164" s="378"/>
      <c r="C164" s="378"/>
      <c r="D164" s="192" t="s">
        <v>329</v>
      </c>
      <c r="E164" s="193">
        <v>2.8000000000000001E-2</v>
      </c>
      <c r="F164" s="194"/>
      <c r="G164" s="195">
        <f>+G161*$E164</f>
        <v>1703.8212349804801</v>
      </c>
      <c r="H164" s="195">
        <f t="shared" ref="H164:AI164" si="121">+H161*$E164</f>
        <v>1703.8212349804801</v>
      </c>
      <c r="I164" s="195">
        <f t="shared" si="121"/>
        <v>1703.8212349804801</v>
      </c>
      <c r="J164" s="195">
        <f t="shared" si="121"/>
        <v>1703.8212349804801</v>
      </c>
      <c r="K164" s="195">
        <f t="shared" si="121"/>
        <v>1703.8212349804801</v>
      </c>
      <c r="L164" s="195">
        <f t="shared" si="121"/>
        <v>1703.8212349804801</v>
      </c>
      <c r="M164" s="195">
        <f t="shared" si="121"/>
        <v>1703.8212349804801</v>
      </c>
      <c r="N164" s="195">
        <f t="shared" si="121"/>
        <v>1703.8212349804801</v>
      </c>
      <c r="O164" s="195">
        <f t="shared" si="121"/>
        <v>1703.8212349804801</v>
      </c>
      <c r="P164" s="195">
        <f t="shared" si="121"/>
        <v>1703.8212349804801</v>
      </c>
      <c r="Q164" s="195">
        <f t="shared" si="121"/>
        <v>1703.8212349804801</v>
      </c>
      <c r="R164" s="195">
        <f t="shared" si="121"/>
        <v>1703.8212349804801</v>
      </c>
      <c r="S164" s="195">
        <f t="shared" si="121"/>
        <v>1703.8212349804801</v>
      </c>
      <c r="T164" s="195">
        <f t="shared" si="121"/>
        <v>1703.8212349804801</v>
      </c>
      <c r="U164" s="195">
        <f t="shared" si="121"/>
        <v>1703.8212349804801</v>
      </c>
      <c r="V164" s="195">
        <f t="shared" si="121"/>
        <v>1703.8212349804801</v>
      </c>
      <c r="W164" s="195">
        <f t="shared" si="121"/>
        <v>1703.8212349804801</v>
      </c>
      <c r="X164" s="195">
        <f t="shared" si="121"/>
        <v>1703.8212349804801</v>
      </c>
      <c r="Y164" s="195">
        <f t="shared" si="121"/>
        <v>1703.8212349804801</v>
      </c>
      <c r="Z164" s="195">
        <f t="shared" si="121"/>
        <v>1703.8212349804801</v>
      </c>
      <c r="AA164" s="195">
        <f t="shared" si="121"/>
        <v>1703.8212349804801</v>
      </c>
      <c r="AB164" s="195">
        <f t="shared" si="121"/>
        <v>1703.8212349804801</v>
      </c>
      <c r="AC164" s="195">
        <f t="shared" si="121"/>
        <v>1703.8212349804801</v>
      </c>
      <c r="AD164" s="195">
        <f t="shared" si="121"/>
        <v>1703.8212349804801</v>
      </c>
      <c r="AE164" s="195">
        <f t="shared" si="121"/>
        <v>1703.8212349804801</v>
      </c>
      <c r="AF164" s="195">
        <f t="shared" si="121"/>
        <v>1703.8212349804801</v>
      </c>
      <c r="AG164" s="195">
        <f t="shared" si="121"/>
        <v>1703.8212349804801</v>
      </c>
      <c r="AH164" s="195">
        <f t="shared" si="121"/>
        <v>1703.8212349804801</v>
      </c>
      <c r="AI164" s="195">
        <f t="shared" si="121"/>
        <v>1703.8212349804801</v>
      </c>
      <c r="AJ164" s="203">
        <f t="shared" si="118"/>
        <v>49410.815814433954</v>
      </c>
    </row>
    <row r="165" spans="2:37" ht="14.4" x14ac:dyDescent="0.25">
      <c r="B165" s="378"/>
      <c r="C165" s="378"/>
      <c r="D165" s="192" t="s">
        <v>330</v>
      </c>
      <c r="E165" s="193">
        <v>5.0000000000000001E-3</v>
      </c>
      <c r="F165" s="194"/>
      <c r="G165" s="195">
        <f>+G161*$E165</f>
        <v>304.25379196080002</v>
      </c>
      <c r="H165" s="195">
        <f t="shared" ref="H165:AI165" si="122">+H161*$E165</f>
        <v>304.25379196080002</v>
      </c>
      <c r="I165" s="195">
        <f t="shared" si="122"/>
        <v>304.25379196080002</v>
      </c>
      <c r="J165" s="195">
        <f t="shared" si="122"/>
        <v>304.25379196080002</v>
      </c>
      <c r="K165" s="195">
        <f t="shared" si="122"/>
        <v>304.25379196080002</v>
      </c>
      <c r="L165" s="195">
        <f t="shared" si="122"/>
        <v>304.25379196080002</v>
      </c>
      <c r="M165" s="195">
        <f t="shared" si="122"/>
        <v>304.25379196080002</v>
      </c>
      <c r="N165" s="195">
        <f t="shared" si="122"/>
        <v>304.25379196080002</v>
      </c>
      <c r="O165" s="195">
        <f t="shared" si="122"/>
        <v>304.25379196080002</v>
      </c>
      <c r="P165" s="195">
        <f t="shared" si="122"/>
        <v>304.25379196080002</v>
      </c>
      <c r="Q165" s="195">
        <f t="shared" si="122"/>
        <v>304.25379196080002</v>
      </c>
      <c r="R165" s="195">
        <f t="shared" si="122"/>
        <v>304.25379196080002</v>
      </c>
      <c r="S165" s="195">
        <f t="shared" si="122"/>
        <v>304.25379196080002</v>
      </c>
      <c r="T165" s="195">
        <f t="shared" si="122"/>
        <v>304.25379196080002</v>
      </c>
      <c r="U165" s="195">
        <f t="shared" si="122"/>
        <v>304.25379196080002</v>
      </c>
      <c r="V165" s="195">
        <f t="shared" si="122"/>
        <v>304.25379196080002</v>
      </c>
      <c r="W165" s="195">
        <f t="shared" si="122"/>
        <v>304.25379196080002</v>
      </c>
      <c r="X165" s="195">
        <f t="shared" si="122"/>
        <v>304.25379196080002</v>
      </c>
      <c r="Y165" s="195">
        <f t="shared" si="122"/>
        <v>304.25379196080002</v>
      </c>
      <c r="Z165" s="195">
        <f t="shared" si="122"/>
        <v>304.25379196080002</v>
      </c>
      <c r="AA165" s="195">
        <f t="shared" si="122"/>
        <v>304.25379196080002</v>
      </c>
      <c r="AB165" s="195">
        <f t="shared" si="122"/>
        <v>304.25379196080002</v>
      </c>
      <c r="AC165" s="195">
        <f t="shared" si="122"/>
        <v>304.25379196080002</v>
      </c>
      <c r="AD165" s="195">
        <f t="shared" si="122"/>
        <v>304.25379196080002</v>
      </c>
      <c r="AE165" s="195">
        <f t="shared" si="122"/>
        <v>304.25379196080002</v>
      </c>
      <c r="AF165" s="195">
        <f t="shared" si="122"/>
        <v>304.25379196080002</v>
      </c>
      <c r="AG165" s="195">
        <f t="shared" si="122"/>
        <v>304.25379196080002</v>
      </c>
      <c r="AH165" s="195">
        <f t="shared" si="122"/>
        <v>304.25379196080002</v>
      </c>
      <c r="AI165" s="195">
        <f t="shared" si="122"/>
        <v>304.25379196080002</v>
      </c>
      <c r="AJ165" s="203">
        <f t="shared" si="118"/>
        <v>8823.3599668632032</v>
      </c>
    </row>
    <row r="166" spans="2:37" ht="14.4" x14ac:dyDescent="0.25">
      <c r="B166" s="378"/>
      <c r="C166" s="378"/>
      <c r="D166" s="192" t="s">
        <v>331</v>
      </c>
      <c r="E166" s="196"/>
      <c r="F166" s="194"/>
      <c r="G166" s="195">
        <f t="shared" ref="G166:AI166" si="123">+SUBTOTAL(9,G161:G165)</f>
        <v>67014.94021728581</v>
      </c>
      <c r="H166" s="195">
        <f t="shared" si="123"/>
        <v>67014.94021728581</v>
      </c>
      <c r="I166" s="195">
        <f t="shared" si="123"/>
        <v>67014.94021728581</v>
      </c>
      <c r="J166" s="195">
        <f t="shared" si="123"/>
        <v>67014.94021728581</v>
      </c>
      <c r="K166" s="195">
        <f t="shared" si="123"/>
        <v>67014.94021728581</v>
      </c>
      <c r="L166" s="195">
        <f t="shared" si="123"/>
        <v>67014.94021728581</v>
      </c>
      <c r="M166" s="195">
        <f t="shared" si="123"/>
        <v>67014.94021728581</v>
      </c>
      <c r="N166" s="195">
        <f t="shared" si="123"/>
        <v>67014.94021728581</v>
      </c>
      <c r="O166" s="195">
        <f t="shared" si="123"/>
        <v>67014.94021728581</v>
      </c>
      <c r="P166" s="195">
        <f t="shared" si="123"/>
        <v>67014.94021728581</v>
      </c>
      <c r="Q166" s="195">
        <f t="shared" si="123"/>
        <v>67014.94021728581</v>
      </c>
      <c r="R166" s="195">
        <f t="shared" si="123"/>
        <v>67014.94021728581</v>
      </c>
      <c r="S166" s="195">
        <f t="shared" si="123"/>
        <v>67014.94021728581</v>
      </c>
      <c r="T166" s="195">
        <f t="shared" si="123"/>
        <v>67014.94021728581</v>
      </c>
      <c r="U166" s="195">
        <f t="shared" si="123"/>
        <v>67014.94021728581</v>
      </c>
      <c r="V166" s="195">
        <f t="shared" si="123"/>
        <v>67014.94021728581</v>
      </c>
      <c r="W166" s="195">
        <f t="shared" si="123"/>
        <v>67014.94021728581</v>
      </c>
      <c r="X166" s="195">
        <f t="shared" si="123"/>
        <v>67014.94021728581</v>
      </c>
      <c r="Y166" s="195">
        <f t="shared" si="123"/>
        <v>67014.94021728581</v>
      </c>
      <c r="Z166" s="195">
        <f t="shared" si="123"/>
        <v>67014.94021728581</v>
      </c>
      <c r="AA166" s="195">
        <f t="shared" si="123"/>
        <v>67014.94021728581</v>
      </c>
      <c r="AB166" s="195">
        <f t="shared" si="123"/>
        <v>67014.94021728581</v>
      </c>
      <c r="AC166" s="195">
        <f t="shared" si="123"/>
        <v>67014.94021728581</v>
      </c>
      <c r="AD166" s="195">
        <f t="shared" si="123"/>
        <v>67014.94021728581</v>
      </c>
      <c r="AE166" s="195">
        <f t="shared" si="123"/>
        <v>67014.94021728581</v>
      </c>
      <c r="AF166" s="195">
        <f t="shared" si="123"/>
        <v>67014.94021728581</v>
      </c>
      <c r="AG166" s="195">
        <f t="shared" si="123"/>
        <v>67014.94021728581</v>
      </c>
      <c r="AH166" s="195">
        <f t="shared" si="123"/>
        <v>67014.94021728581</v>
      </c>
      <c r="AI166" s="195">
        <f t="shared" si="123"/>
        <v>67014.94021728581</v>
      </c>
      <c r="AJ166" s="203">
        <f t="shared" si="118"/>
        <v>1943433.2663012892</v>
      </c>
    </row>
    <row r="167" spans="2:37" ht="14.4" x14ac:dyDescent="0.25">
      <c r="B167" s="378"/>
      <c r="C167" s="378"/>
      <c r="D167" s="192" t="s">
        <v>332</v>
      </c>
      <c r="E167" s="197">
        <f>BDI!G5</f>
        <v>0.21340000000000001</v>
      </c>
      <c r="F167" s="194"/>
      <c r="G167" s="195">
        <f t="shared" ref="G167:AI167" si="124">+G166*$E167</f>
        <v>14300.988242368792</v>
      </c>
      <c r="H167" s="195">
        <f t="shared" si="124"/>
        <v>14300.988242368792</v>
      </c>
      <c r="I167" s="195">
        <f t="shared" si="124"/>
        <v>14300.988242368792</v>
      </c>
      <c r="J167" s="195">
        <f t="shared" si="124"/>
        <v>14300.988242368792</v>
      </c>
      <c r="K167" s="195">
        <f t="shared" si="124"/>
        <v>14300.988242368792</v>
      </c>
      <c r="L167" s="195">
        <f t="shared" si="124"/>
        <v>14300.988242368792</v>
      </c>
      <c r="M167" s="195">
        <f t="shared" si="124"/>
        <v>14300.988242368792</v>
      </c>
      <c r="N167" s="195">
        <f t="shared" si="124"/>
        <v>14300.988242368792</v>
      </c>
      <c r="O167" s="195">
        <f t="shared" si="124"/>
        <v>14300.988242368792</v>
      </c>
      <c r="P167" s="195">
        <f t="shared" si="124"/>
        <v>14300.988242368792</v>
      </c>
      <c r="Q167" s="195">
        <f t="shared" si="124"/>
        <v>14300.988242368792</v>
      </c>
      <c r="R167" s="195">
        <f t="shared" si="124"/>
        <v>14300.988242368792</v>
      </c>
      <c r="S167" s="195">
        <f t="shared" si="124"/>
        <v>14300.988242368792</v>
      </c>
      <c r="T167" s="195">
        <f t="shared" si="124"/>
        <v>14300.988242368792</v>
      </c>
      <c r="U167" s="195">
        <f t="shared" si="124"/>
        <v>14300.988242368792</v>
      </c>
      <c r="V167" s="195">
        <f t="shared" si="124"/>
        <v>14300.988242368792</v>
      </c>
      <c r="W167" s="195">
        <f t="shared" si="124"/>
        <v>14300.988242368792</v>
      </c>
      <c r="X167" s="195">
        <f t="shared" si="124"/>
        <v>14300.988242368792</v>
      </c>
      <c r="Y167" s="195">
        <f t="shared" si="124"/>
        <v>14300.988242368792</v>
      </c>
      <c r="Z167" s="195">
        <f t="shared" si="124"/>
        <v>14300.988242368792</v>
      </c>
      <c r="AA167" s="195">
        <f t="shared" si="124"/>
        <v>14300.988242368792</v>
      </c>
      <c r="AB167" s="195">
        <f t="shared" si="124"/>
        <v>14300.988242368792</v>
      </c>
      <c r="AC167" s="195">
        <f t="shared" si="124"/>
        <v>14300.988242368792</v>
      </c>
      <c r="AD167" s="195">
        <f t="shared" si="124"/>
        <v>14300.988242368792</v>
      </c>
      <c r="AE167" s="195">
        <f t="shared" si="124"/>
        <v>14300.988242368792</v>
      </c>
      <c r="AF167" s="195">
        <f t="shared" si="124"/>
        <v>14300.988242368792</v>
      </c>
      <c r="AG167" s="195">
        <f t="shared" si="124"/>
        <v>14300.988242368792</v>
      </c>
      <c r="AH167" s="195">
        <f t="shared" si="124"/>
        <v>14300.988242368792</v>
      </c>
      <c r="AI167" s="195">
        <f t="shared" si="124"/>
        <v>14300.988242368792</v>
      </c>
      <c r="AJ167" s="203">
        <f t="shared" si="118"/>
        <v>414728.65902869502</v>
      </c>
    </row>
    <row r="168" spans="2:37" ht="14.4" x14ac:dyDescent="0.25">
      <c r="B168" s="378"/>
      <c r="C168" s="378"/>
      <c r="D168" s="192" t="s">
        <v>333</v>
      </c>
      <c r="E168" s="196"/>
      <c r="F168" s="194"/>
      <c r="G168" s="204">
        <f t="shared" ref="G168:AI168" si="125">+SUM(G166:G167)</f>
        <v>81315.928459654606</v>
      </c>
      <c r="H168" s="204">
        <f t="shared" si="125"/>
        <v>81315.928459654606</v>
      </c>
      <c r="I168" s="204">
        <f t="shared" si="125"/>
        <v>81315.928459654606</v>
      </c>
      <c r="J168" s="204">
        <f t="shared" si="125"/>
        <v>81315.928459654606</v>
      </c>
      <c r="K168" s="204">
        <f t="shared" si="125"/>
        <v>81315.928459654606</v>
      </c>
      <c r="L168" s="204">
        <f t="shared" si="125"/>
        <v>81315.928459654606</v>
      </c>
      <c r="M168" s="204">
        <f t="shared" si="125"/>
        <v>81315.928459654606</v>
      </c>
      <c r="N168" s="204">
        <f t="shared" si="125"/>
        <v>81315.928459654606</v>
      </c>
      <c r="O168" s="204">
        <f t="shared" si="125"/>
        <v>81315.928459654606</v>
      </c>
      <c r="P168" s="204">
        <f t="shared" si="125"/>
        <v>81315.928459654606</v>
      </c>
      <c r="Q168" s="204">
        <f t="shared" si="125"/>
        <v>81315.928459654606</v>
      </c>
      <c r="R168" s="204">
        <f t="shared" si="125"/>
        <v>81315.928459654606</v>
      </c>
      <c r="S168" s="204">
        <f t="shared" si="125"/>
        <v>81315.928459654606</v>
      </c>
      <c r="T168" s="204">
        <f t="shared" si="125"/>
        <v>81315.928459654606</v>
      </c>
      <c r="U168" s="204">
        <f t="shared" si="125"/>
        <v>81315.928459654606</v>
      </c>
      <c r="V168" s="204">
        <f t="shared" si="125"/>
        <v>81315.928459654606</v>
      </c>
      <c r="W168" s="204">
        <f t="shared" si="125"/>
        <v>81315.928459654606</v>
      </c>
      <c r="X168" s="204">
        <f t="shared" si="125"/>
        <v>81315.928459654606</v>
      </c>
      <c r="Y168" s="204">
        <f t="shared" si="125"/>
        <v>81315.928459654606</v>
      </c>
      <c r="Z168" s="204">
        <f t="shared" si="125"/>
        <v>81315.928459654606</v>
      </c>
      <c r="AA168" s="204">
        <f t="shared" si="125"/>
        <v>81315.928459654606</v>
      </c>
      <c r="AB168" s="204">
        <f t="shared" si="125"/>
        <v>81315.928459654606</v>
      </c>
      <c r="AC168" s="204">
        <f t="shared" si="125"/>
        <v>81315.928459654606</v>
      </c>
      <c r="AD168" s="204">
        <f t="shared" si="125"/>
        <v>81315.928459654606</v>
      </c>
      <c r="AE168" s="204">
        <f t="shared" si="125"/>
        <v>81315.928459654606</v>
      </c>
      <c r="AF168" s="204">
        <f t="shared" si="125"/>
        <v>81315.928459654606</v>
      </c>
      <c r="AG168" s="204">
        <f t="shared" si="125"/>
        <v>81315.928459654606</v>
      </c>
      <c r="AH168" s="204">
        <f t="shared" si="125"/>
        <v>81315.928459654606</v>
      </c>
      <c r="AI168" s="204">
        <f t="shared" si="125"/>
        <v>81315.928459654606</v>
      </c>
      <c r="AJ168" s="205">
        <f t="shared" si="118"/>
        <v>2358161.9253299828</v>
      </c>
      <c r="AK168" s="4"/>
    </row>
    <row r="169" spans="2:37" ht="14.4" x14ac:dyDescent="0.25">
      <c r="B169" s="167"/>
      <c r="D169" s="206" t="s">
        <v>344</v>
      </c>
      <c r="L169" s="168"/>
      <c r="M169" s="167"/>
      <c r="Y169" s="168"/>
      <c r="Z169" s="167"/>
      <c r="AJ169" s="168"/>
    </row>
    <row r="170" spans="2:37" ht="14.4" x14ac:dyDescent="0.25">
      <c r="B170" s="167"/>
      <c r="D170" s="207" t="s">
        <v>326</v>
      </c>
      <c r="E170" s="208"/>
      <c r="F170" s="209">
        <f t="shared" ref="F170:O178" si="126">+SUMIF($D$74:$D$168,$D170,F$74:F$168)</f>
        <v>0</v>
      </c>
      <c r="G170" s="209">
        <f t="shared" si="126"/>
        <v>2493258.0133612333</v>
      </c>
      <c r="H170" s="209">
        <f t="shared" si="126"/>
        <v>2493258.0133612333</v>
      </c>
      <c r="I170" s="209">
        <f t="shared" si="126"/>
        <v>2493258.0133612333</v>
      </c>
      <c r="J170" s="209">
        <f t="shared" si="126"/>
        <v>2496609.8156184591</v>
      </c>
      <c r="K170" s="209">
        <f t="shared" si="126"/>
        <v>2496609.8156184591</v>
      </c>
      <c r="L170" s="210">
        <f t="shared" si="126"/>
        <v>2697521.6967154844</v>
      </c>
      <c r="M170" s="211">
        <f t="shared" si="126"/>
        <v>2909078.8565362599</v>
      </c>
      <c r="N170" s="209">
        <f t="shared" si="126"/>
        <v>3094387.0217599953</v>
      </c>
      <c r="O170" s="209">
        <f t="shared" si="126"/>
        <v>3250483.9854380125</v>
      </c>
      <c r="P170" s="209">
        <f t="shared" ref="P170:Y178" si="127">+SUMIF($D$74:$D$168,$D170,P$74:P$168)</f>
        <v>3250483.9854380125</v>
      </c>
      <c r="Q170" s="209">
        <f t="shared" si="127"/>
        <v>3250483.9854380125</v>
      </c>
      <c r="R170" s="209">
        <f t="shared" si="127"/>
        <v>3250483.9854380125</v>
      </c>
      <c r="S170" s="209">
        <f t="shared" si="127"/>
        <v>3250483.9854380125</v>
      </c>
      <c r="T170" s="209">
        <f t="shared" si="127"/>
        <v>3250483.9854380125</v>
      </c>
      <c r="U170" s="209">
        <f t="shared" si="127"/>
        <v>3250483.9854380125</v>
      </c>
      <c r="V170" s="209">
        <f t="shared" si="127"/>
        <v>3250483.9854380125</v>
      </c>
      <c r="W170" s="209">
        <f t="shared" si="127"/>
        <v>3250483.9854380125</v>
      </c>
      <c r="X170" s="209">
        <f t="shared" si="127"/>
        <v>3250483.9854380125</v>
      </c>
      <c r="Y170" s="210">
        <f t="shared" si="127"/>
        <v>3264225.9680027594</v>
      </c>
      <c r="Z170" s="211">
        <f t="shared" ref="Z170:AI178" si="128">+SUMIF($D$74:$D$168,$D170,Z$74:Z$168)</f>
        <v>3264225.9680027594</v>
      </c>
      <c r="AA170" s="209">
        <f t="shared" si="128"/>
        <v>3264225.9680027594</v>
      </c>
      <c r="AB170" s="209">
        <f t="shared" si="128"/>
        <v>3264225.9680027594</v>
      </c>
      <c r="AC170" s="209">
        <f t="shared" si="128"/>
        <v>3264225.9680027594</v>
      </c>
      <c r="AD170" s="209">
        <f t="shared" si="128"/>
        <v>3264225.9680027594</v>
      </c>
      <c r="AE170" s="209">
        <f t="shared" si="128"/>
        <v>3264225.9680027594</v>
      </c>
      <c r="AF170" s="209">
        <f t="shared" si="128"/>
        <v>3264225.9680027594</v>
      </c>
      <c r="AG170" s="209">
        <f t="shared" si="128"/>
        <v>3264225.9680027594</v>
      </c>
      <c r="AH170" s="209">
        <f t="shared" si="128"/>
        <v>3264225.9680027594</v>
      </c>
      <c r="AI170" s="209">
        <f t="shared" si="128"/>
        <v>3264225.9680027594</v>
      </c>
      <c r="AJ170" s="212">
        <f>+SUM(F170:AI170)</f>
        <v>89585306.748742864</v>
      </c>
    </row>
    <row r="171" spans="2:37" ht="14.4" x14ac:dyDescent="0.25">
      <c r="B171" s="167"/>
      <c r="D171" s="213" t="s">
        <v>327</v>
      </c>
      <c r="E171" s="214"/>
      <c r="F171" s="215">
        <f t="shared" si="126"/>
        <v>0</v>
      </c>
      <c r="G171" s="215">
        <f t="shared" si="126"/>
        <v>157823.23224576606</v>
      </c>
      <c r="H171" s="215">
        <f t="shared" si="126"/>
        <v>157823.23224576606</v>
      </c>
      <c r="I171" s="215">
        <f t="shared" si="126"/>
        <v>157823.23224576606</v>
      </c>
      <c r="J171" s="215">
        <f t="shared" si="126"/>
        <v>158035.40132864847</v>
      </c>
      <c r="K171" s="215">
        <f t="shared" si="126"/>
        <v>158035.40132864847</v>
      </c>
      <c r="L171" s="216">
        <f t="shared" si="126"/>
        <v>170753.12340209019</v>
      </c>
      <c r="M171" s="217">
        <f t="shared" si="126"/>
        <v>184144.69161874527</v>
      </c>
      <c r="N171" s="215">
        <f t="shared" si="126"/>
        <v>195874.69847740771</v>
      </c>
      <c r="O171" s="215">
        <f t="shared" si="126"/>
        <v>205755.63627822624</v>
      </c>
      <c r="P171" s="215">
        <f t="shared" si="127"/>
        <v>205755.63627822624</v>
      </c>
      <c r="Q171" s="215">
        <f t="shared" si="127"/>
        <v>205755.63627822624</v>
      </c>
      <c r="R171" s="215">
        <f t="shared" si="127"/>
        <v>205755.63627822624</v>
      </c>
      <c r="S171" s="215">
        <f t="shared" si="127"/>
        <v>205755.63627822624</v>
      </c>
      <c r="T171" s="215">
        <f t="shared" si="127"/>
        <v>205755.63627822624</v>
      </c>
      <c r="U171" s="215">
        <f t="shared" si="127"/>
        <v>205755.63627822624</v>
      </c>
      <c r="V171" s="215">
        <f t="shared" si="127"/>
        <v>205755.63627822624</v>
      </c>
      <c r="W171" s="215">
        <f t="shared" si="127"/>
        <v>205755.63627822624</v>
      </c>
      <c r="X171" s="215">
        <f t="shared" si="127"/>
        <v>205755.63627822624</v>
      </c>
      <c r="Y171" s="216">
        <f t="shared" si="127"/>
        <v>206625.50377457467</v>
      </c>
      <c r="Z171" s="217">
        <f t="shared" si="128"/>
        <v>206625.50377457467</v>
      </c>
      <c r="AA171" s="215">
        <f t="shared" si="128"/>
        <v>206625.50377457467</v>
      </c>
      <c r="AB171" s="215">
        <f t="shared" si="128"/>
        <v>206625.50377457467</v>
      </c>
      <c r="AC171" s="215">
        <f t="shared" si="128"/>
        <v>206625.50377457467</v>
      </c>
      <c r="AD171" s="215">
        <f t="shared" si="128"/>
        <v>206625.50377457467</v>
      </c>
      <c r="AE171" s="215">
        <f t="shared" si="128"/>
        <v>206625.50377457467</v>
      </c>
      <c r="AF171" s="215">
        <f t="shared" si="128"/>
        <v>206625.50377457467</v>
      </c>
      <c r="AG171" s="215">
        <f t="shared" si="128"/>
        <v>206625.50377457467</v>
      </c>
      <c r="AH171" s="215">
        <f t="shared" si="128"/>
        <v>206625.50377457467</v>
      </c>
      <c r="AI171" s="215">
        <f t="shared" si="128"/>
        <v>206625.50377457467</v>
      </c>
      <c r="AJ171" s="218">
        <f t="shared" ref="AJ171:AJ178" si="129">+SUM(F171:AI171)</f>
        <v>5670749.9171954226</v>
      </c>
    </row>
    <row r="172" spans="2:37" ht="14.4" x14ac:dyDescent="0.25">
      <c r="B172" s="167"/>
      <c r="D172" s="213" t="s">
        <v>328</v>
      </c>
      <c r="E172" s="214"/>
      <c r="F172" s="215">
        <f t="shared" si="126"/>
        <v>0</v>
      </c>
      <c r="G172" s="215">
        <f t="shared" si="126"/>
        <v>12466.290066806167</v>
      </c>
      <c r="H172" s="215">
        <f t="shared" si="126"/>
        <v>12466.290066806167</v>
      </c>
      <c r="I172" s="215">
        <f t="shared" si="126"/>
        <v>12466.290066806167</v>
      </c>
      <c r="J172" s="215">
        <f t="shared" si="126"/>
        <v>12483.049078092296</v>
      </c>
      <c r="K172" s="215">
        <f t="shared" si="126"/>
        <v>12483.049078092296</v>
      </c>
      <c r="L172" s="216">
        <f t="shared" si="126"/>
        <v>13487.608483577424</v>
      </c>
      <c r="M172" s="217">
        <f t="shared" si="126"/>
        <v>14545.3942826813</v>
      </c>
      <c r="N172" s="215">
        <f t="shared" si="126"/>
        <v>15471.935108799978</v>
      </c>
      <c r="O172" s="215">
        <f t="shared" si="126"/>
        <v>16252.419927190065</v>
      </c>
      <c r="P172" s="215">
        <f t="shared" si="127"/>
        <v>16252.419927190065</v>
      </c>
      <c r="Q172" s="215">
        <f t="shared" si="127"/>
        <v>16252.419927190065</v>
      </c>
      <c r="R172" s="215">
        <f t="shared" si="127"/>
        <v>16252.419927190065</v>
      </c>
      <c r="S172" s="215">
        <f t="shared" si="127"/>
        <v>16252.419927190065</v>
      </c>
      <c r="T172" s="215">
        <f t="shared" si="127"/>
        <v>16252.419927190065</v>
      </c>
      <c r="U172" s="215">
        <f t="shared" si="127"/>
        <v>16252.419927190065</v>
      </c>
      <c r="V172" s="215">
        <f t="shared" si="127"/>
        <v>16252.419927190065</v>
      </c>
      <c r="W172" s="215">
        <f t="shared" si="127"/>
        <v>16252.419927190065</v>
      </c>
      <c r="X172" s="215">
        <f t="shared" si="127"/>
        <v>16252.419927190065</v>
      </c>
      <c r="Y172" s="216">
        <f t="shared" si="127"/>
        <v>16321.129840013797</v>
      </c>
      <c r="Z172" s="217">
        <f t="shared" si="128"/>
        <v>16321.129840013797</v>
      </c>
      <c r="AA172" s="215">
        <f t="shared" si="128"/>
        <v>16321.129840013797</v>
      </c>
      <c r="AB172" s="215">
        <f t="shared" si="128"/>
        <v>16321.129840013797</v>
      </c>
      <c r="AC172" s="215">
        <f t="shared" si="128"/>
        <v>16321.129840013797</v>
      </c>
      <c r="AD172" s="215">
        <f t="shared" si="128"/>
        <v>16321.129840013797</v>
      </c>
      <c r="AE172" s="215">
        <f t="shared" si="128"/>
        <v>16321.129840013797</v>
      </c>
      <c r="AF172" s="215">
        <f t="shared" si="128"/>
        <v>16321.129840013797</v>
      </c>
      <c r="AG172" s="215">
        <f t="shared" si="128"/>
        <v>16321.129840013797</v>
      </c>
      <c r="AH172" s="215">
        <f t="shared" si="128"/>
        <v>16321.129840013797</v>
      </c>
      <c r="AI172" s="215">
        <f t="shared" si="128"/>
        <v>16321.129840013797</v>
      </c>
      <c r="AJ172" s="218">
        <f t="shared" si="129"/>
        <v>447926.53374371427</v>
      </c>
    </row>
    <row r="173" spans="2:37" ht="14.4" x14ac:dyDescent="0.25">
      <c r="B173" s="167"/>
      <c r="D173" s="213" t="s">
        <v>329</v>
      </c>
      <c r="E173" s="214"/>
      <c r="F173" s="215">
        <f t="shared" si="126"/>
        <v>0</v>
      </c>
      <c r="G173" s="215">
        <f t="shared" si="126"/>
        <v>69811.224374114536</v>
      </c>
      <c r="H173" s="215">
        <f t="shared" si="126"/>
        <v>69811.224374114536</v>
      </c>
      <c r="I173" s="215">
        <f t="shared" si="126"/>
        <v>69811.224374114536</v>
      </c>
      <c r="J173" s="215">
        <f t="shared" si="126"/>
        <v>69905.074837316846</v>
      </c>
      <c r="K173" s="215">
        <f t="shared" si="126"/>
        <v>69905.074837316846</v>
      </c>
      <c r="L173" s="216">
        <f t="shared" si="126"/>
        <v>75530.607508033572</v>
      </c>
      <c r="M173" s="217">
        <f t="shared" si="126"/>
        <v>81454.20798301528</v>
      </c>
      <c r="N173" s="215">
        <f t="shared" si="126"/>
        <v>86642.836609279882</v>
      </c>
      <c r="O173" s="215">
        <f t="shared" si="126"/>
        <v>91013.551592264354</v>
      </c>
      <c r="P173" s="215">
        <f t="shared" si="127"/>
        <v>91013.551592264354</v>
      </c>
      <c r="Q173" s="215">
        <f t="shared" si="127"/>
        <v>91013.551592264354</v>
      </c>
      <c r="R173" s="215">
        <f t="shared" si="127"/>
        <v>91013.551592264354</v>
      </c>
      <c r="S173" s="215">
        <f t="shared" si="127"/>
        <v>91013.551592264354</v>
      </c>
      <c r="T173" s="215">
        <f t="shared" si="127"/>
        <v>91013.551592264354</v>
      </c>
      <c r="U173" s="215">
        <f t="shared" si="127"/>
        <v>91013.551592264354</v>
      </c>
      <c r="V173" s="215">
        <f t="shared" si="127"/>
        <v>91013.551592264354</v>
      </c>
      <c r="W173" s="215">
        <f t="shared" si="127"/>
        <v>91013.551592264354</v>
      </c>
      <c r="X173" s="215">
        <f t="shared" si="127"/>
        <v>91013.551592264354</v>
      </c>
      <c r="Y173" s="216">
        <f t="shared" si="127"/>
        <v>91398.327104077267</v>
      </c>
      <c r="Z173" s="217">
        <f t="shared" si="128"/>
        <v>91398.327104077267</v>
      </c>
      <c r="AA173" s="215">
        <f t="shared" si="128"/>
        <v>91398.327104077267</v>
      </c>
      <c r="AB173" s="215">
        <f t="shared" si="128"/>
        <v>91398.327104077267</v>
      </c>
      <c r="AC173" s="215">
        <f t="shared" si="128"/>
        <v>91398.327104077267</v>
      </c>
      <c r="AD173" s="215">
        <f t="shared" si="128"/>
        <v>91398.327104077267</v>
      </c>
      <c r="AE173" s="215">
        <f t="shared" si="128"/>
        <v>91398.327104077267</v>
      </c>
      <c r="AF173" s="215">
        <f t="shared" si="128"/>
        <v>91398.327104077267</v>
      </c>
      <c r="AG173" s="215">
        <f t="shared" si="128"/>
        <v>91398.327104077267</v>
      </c>
      <c r="AH173" s="215">
        <f t="shared" si="128"/>
        <v>91398.327104077267</v>
      </c>
      <c r="AI173" s="215">
        <f t="shared" si="128"/>
        <v>91398.327104077267</v>
      </c>
      <c r="AJ173" s="218">
        <f t="shared" si="129"/>
        <v>2508388.588964799</v>
      </c>
    </row>
    <row r="174" spans="2:37" ht="14.4" x14ac:dyDescent="0.25">
      <c r="B174" s="167"/>
      <c r="D174" s="213" t="s">
        <v>330</v>
      </c>
      <c r="E174" s="214"/>
      <c r="F174" s="215">
        <f t="shared" si="126"/>
        <v>0</v>
      </c>
      <c r="G174" s="215">
        <f t="shared" si="126"/>
        <v>12466.290066806167</v>
      </c>
      <c r="H174" s="215">
        <f t="shared" si="126"/>
        <v>12466.290066806167</v>
      </c>
      <c r="I174" s="215">
        <f t="shared" si="126"/>
        <v>12466.290066806167</v>
      </c>
      <c r="J174" s="215">
        <f t="shared" si="126"/>
        <v>12483.049078092296</v>
      </c>
      <c r="K174" s="215">
        <f t="shared" si="126"/>
        <v>12483.049078092296</v>
      </c>
      <c r="L174" s="216">
        <f t="shared" si="126"/>
        <v>13487.608483577424</v>
      </c>
      <c r="M174" s="217">
        <f t="shared" si="126"/>
        <v>14545.3942826813</v>
      </c>
      <c r="N174" s="215">
        <f t="shared" si="126"/>
        <v>15471.935108799978</v>
      </c>
      <c r="O174" s="215">
        <f t="shared" si="126"/>
        <v>16252.419927190065</v>
      </c>
      <c r="P174" s="215">
        <f t="shared" si="127"/>
        <v>16252.419927190065</v>
      </c>
      <c r="Q174" s="215">
        <f t="shared" si="127"/>
        <v>16252.419927190065</v>
      </c>
      <c r="R174" s="215">
        <f t="shared" si="127"/>
        <v>16252.419927190065</v>
      </c>
      <c r="S174" s="215">
        <f t="shared" si="127"/>
        <v>16252.419927190065</v>
      </c>
      <c r="T174" s="215">
        <f t="shared" si="127"/>
        <v>16252.419927190065</v>
      </c>
      <c r="U174" s="215">
        <f t="shared" si="127"/>
        <v>16252.419927190065</v>
      </c>
      <c r="V174" s="215">
        <f t="shared" si="127"/>
        <v>16252.419927190065</v>
      </c>
      <c r="W174" s="215">
        <f t="shared" si="127"/>
        <v>16252.419927190065</v>
      </c>
      <c r="X174" s="215">
        <f t="shared" si="127"/>
        <v>16252.419927190065</v>
      </c>
      <c r="Y174" s="216">
        <f t="shared" si="127"/>
        <v>16321.129840013797</v>
      </c>
      <c r="Z174" s="217">
        <f t="shared" si="128"/>
        <v>16321.129840013797</v>
      </c>
      <c r="AA174" s="215">
        <f t="shared" si="128"/>
        <v>16321.129840013797</v>
      </c>
      <c r="AB174" s="215">
        <f t="shared" si="128"/>
        <v>16321.129840013797</v>
      </c>
      <c r="AC174" s="215">
        <f t="shared" si="128"/>
        <v>16321.129840013797</v>
      </c>
      <c r="AD174" s="215">
        <f t="shared" si="128"/>
        <v>16321.129840013797</v>
      </c>
      <c r="AE174" s="215">
        <f t="shared" si="128"/>
        <v>16321.129840013797</v>
      </c>
      <c r="AF174" s="215">
        <f t="shared" si="128"/>
        <v>16321.129840013797</v>
      </c>
      <c r="AG174" s="215">
        <f t="shared" si="128"/>
        <v>16321.129840013797</v>
      </c>
      <c r="AH174" s="215">
        <f t="shared" si="128"/>
        <v>16321.129840013797</v>
      </c>
      <c r="AI174" s="215">
        <f t="shared" si="128"/>
        <v>16321.129840013797</v>
      </c>
      <c r="AJ174" s="218">
        <f t="shared" si="129"/>
        <v>447926.53374371427</v>
      </c>
    </row>
    <row r="175" spans="2:37" ht="14.4" x14ac:dyDescent="0.25">
      <c r="B175" s="167"/>
      <c r="D175" s="213" t="s">
        <v>331</v>
      </c>
      <c r="E175" s="214"/>
      <c r="F175" s="215">
        <f t="shared" si="126"/>
        <v>0</v>
      </c>
      <c r="G175" s="215">
        <f t="shared" si="126"/>
        <v>2745825.0501147262</v>
      </c>
      <c r="H175" s="215">
        <f t="shared" si="126"/>
        <v>2745825.0501147262</v>
      </c>
      <c r="I175" s="215">
        <f t="shared" si="126"/>
        <v>2745825.0501147262</v>
      </c>
      <c r="J175" s="215">
        <f t="shared" si="126"/>
        <v>2749516.3899406088</v>
      </c>
      <c r="K175" s="215">
        <f t="shared" si="126"/>
        <v>2749516.3899406088</v>
      </c>
      <c r="L175" s="216">
        <f t="shared" si="126"/>
        <v>2970780.6445927629</v>
      </c>
      <c r="M175" s="217">
        <f t="shared" si="126"/>
        <v>3203768.544703383</v>
      </c>
      <c r="N175" s="215">
        <f t="shared" si="126"/>
        <v>3407848.4270642828</v>
      </c>
      <c r="O175" s="215">
        <f t="shared" si="126"/>
        <v>3579758.0131628839</v>
      </c>
      <c r="P175" s="215">
        <f t="shared" si="127"/>
        <v>3579758.0131628839</v>
      </c>
      <c r="Q175" s="215">
        <f t="shared" si="127"/>
        <v>3579758.0131628839</v>
      </c>
      <c r="R175" s="215">
        <f t="shared" si="127"/>
        <v>3579758.0131628839</v>
      </c>
      <c r="S175" s="215">
        <f t="shared" si="127"/>
        <v>3579758.0131628839</v>
      </c>
      <c r="T175" s="215">
        <f t="shared" si="127"/>
        <v>3579758.0131628839</v>
      </c>
      <c r="U175" s="215">
        <f t="shared" si="127"/>
        <v>3579758.0131628839</v>
      </c>
      <c r="V175" s="215">
        <f t="shared" si="127"/>
        <v>3579758.0131628839</v>
      </c>
      <c r="W175" s="215">
        <f t="shared" si="127"/>
        <v>3579758.0131628839</v>
      </c>
      <c r="X175" s="215">
        <f t="shared" si="127"/>
        <v>3579758.0131628839</v>
      </c>
      <c r="Y175" s="216">
        <f t="shared" si="127"/>
        <v>3594892.0585614396</v>
      </c>
      <c r="Z175" s="217">
        <f t="shared" si="128"/>
        <v>3594892.0585614396</v>
      </c>
      <c r="AA175" s="215">
        <f t="shared" si="128"/>
        <v>3594892.0585614396</v>
      </c>
      <c r="AB175" s="215">
        <f t="shared" si="128"/>
        <v>3594892.0585614396</v>
      </c>
      <c r="AC175" s="215">
        <f t="shared" si="128"/>
        <v>3594892.0585614396</v>
      </c>
      <c r="AD175" s="215">
        <f t="shared" si="128"/>
        <v>3594892.0585614396</v>
      </c>
      <c r="AE175" s="215">
        <f t="shared" si="128"/>
        <v>3594892.0585614396</v>
      </c>
      <c r="AF175" s="215">
        <f t="shared" si="128"/>
        <v>3594892.0585614396</v>
      </c>
      <c r="AG175" s="215">
        <f t="shared" si="128"/>
        <v>3594892.0585614396</v>
      </c>
      <c r="AH175" s="215">
        <f t="shared" si="128"/>
        <v>3594892.0585614396</v>
      </c>
      <c r="AI175" s="215">
        <f t="shared" si="128"/>
        <v>3594892.0585614396</v>
      </c>
      <c r="AJ175" s="218">
        <f t="shared" si="129"/>
        <v>98660298.322390512</v>
      </c>
    </row>
    <row r="176" spans="2:37" ht="14.4" x14ac:dyDescent="0.25">
      <c r="B176" s="167"/>
      <c r="D176" s="213" t="s">
        <v>334</v>
      </c>
      <c r="E176" s="214"/>
      <c r="F176" s="215">
        <f t="shared" si="126"/>
        <v>0</v>
      </c>
      <c r="G176" s="215">
        <f t="shared" si="126"/>
        <v>101529.03366185408</v>
      </c>
      <c r="H176" s="215">
        <f t="shared" si="126"/>
        <v>101529.03366185408</v>
      </c>
      <c r="I176" s="215">
        <f t="shared" si="126"/>
        <v>101529.03366185408</v>
      </c>
      <c r="J176" s="215">
        <f t="shared" si="126"/>
        <v>102220.74767672732</v>
      </c>
      <c r="K176" s="215">
        <f t="shared" si="126"/>
        <v>102220.74767672732</v>
      </c>
      <c r="L176" s="216">
        <f t="shared" si="126"/>
        <v>120633.31101438403</v>
      </c>
      <c r="M176" s="217">
        <f t="shared" si="126"/>
        <v>139883.98621648524</v>
      </c>
      <c r="N176" s="215">
        <f t="shared" si="126"/>
        <v>156624.52153879232</v>
      </c>
      <c r="O176" s="215">
        <f t="shared" si="126"/>
        <v>170939.80784058711</v>
      </c>
      <c r="P176" s="215">
        <f t="shared" si="127"/>
        <v>170939.80784058711</v>
      </c>
      <c r="Q176" s="215">
        <f t="shared" si="127"/>
        <v>170939.80784058711</v>
      </c>
      <c r="R176" s="215">
        <f t="shared" si="127"/>
        <v>170939.80784058711</v>
      </c>
      <c r="S176" s="215">
        <f t="shared" si="127"/>
        <v>170939.80784058711</v>
      </c>
      <c r="T176" s="215">
        <f t="shared" si="127"/>
        <v>170939.80784058711</v>
      </c>
      <c r="U176" s="215">
        <f t="shared" si="127"/>
        <v>170939.80784058711</v>
      </c>
      <c r="V176" s="215">
        <f t="shared" si="127"/>
        <v>170939.80784058711</v>
      </c>
      <c r="W176" s="215">
        <f t="shared" si="127"/>
        <v>170939.80784058711</v>
      </c>
      <c r="X176" s="215">
        <f t="shared" si="127"/>
        <v>170939.80784058711</v>
      </c>
      <c r="Y176" s="216">
        <f t="shared" si="127"/>
        <v>171945.26449943366</v>
      </c>
      <c r="Z176" s="217">
        <f t="shared" si="128"/>
        <v>171945.26449943366</v>
      </c>
      <c r="AA176" s="215">
        <f t="shared" si="128"/>
        <v>171945.26449943366</v>
      </c>
      <c r="AB176" s="215">
        <f t="shared" si="128"/>
        <v>171945.26449943366</v>
      </c>
      <c r="AC176" s="215">
        <f t="shared" si="128"/>
        <v>171945.26449943366</v>
      </c>
      <c r="AD176" s="215">
        <f t="shared" si="128"/>
        <v>171945.26449943366</v>
      </c>
      <c r="AE176" s="215">
        <f t="shared" si="128"/>
        <v>171945.26449943366</v>
      </c>
      <c r="AF176" s="215">
        <f t="shared" si="128"/>
        <v>171945.26449943366</v>
      </c>
      <c r="AG176" s="215">
        <f t="shared" si="128"/>
        <v>171945.26449943366</v>
      </c>
      <c r="AH176" s="215">
        <f t="shared" si="128"/>
        <v>171945.26449943366</v>
      </c>
      <c r="AI176" s="215">
        <f t="shared" si="128"/>
        <v>171945.26449943366</v>
      </c>
      <c r="AJ176" s="218">
        <f>+SUM(F176:AI176)</f>
        <v>4526966.4030083204</v>
      </c>
    </row>
    <row r="177" spans="2:37" ht="14.4" x14ac:dyDescent="0.25">
      <c r="B177" s="167"/>
      <c r="D177" s="213" t="s">
        <v>332</v>
      </c>
      <c r="E177" s="214"/>
      <c r="F177" s="215">
        <f t="shared" si="126"/>
        <v>0</v>
      </c>
      <c r="G177" s="215">
        <f t="shared" si="126"/>
        <v>463481.41852975875</v>
      </c>
      <c r="H177" s="215">
        <f t="shared" si="126"/>
        <v>463481.41852975875</v>
      </c>
      <c r="I177" s="215">
        <f t="shared" si="126"/>
        <v>463481.41852975875</v>
      </c>
      <c r="J177" s="215">
        <f t="shared" si="126"/>
        <v>463434.71420906589</v>
      </c>
      <c r="K177" s="215">
        <f t="shared" si="126"/>
        <v>463434.71420906589</v>
      </c>
      <c r="L177" s="216">
        <f t="shared" si="126"/>
        <v>488440.85540985741</v>
      </c>
      <c r="M177" s="217">
        <f t="shared" si="126"/>
        <v>514937.78200952703</v>
      </c>
      <c r="N177" s="215">
        <f t="shared" si="126"/>
        <v>538293.79782687873</v>
      </c>
      <c r="O177" s="215">
        <f t="shared" si="126"/>
        <v>557710.32613003731</v>
      </c>
      <c r="P177" s="215">
        <f t="shared" si="127"/>
        <v>557710.32613003731</v>
      </c>
      <c r="Q177" s="215">
        <f t="shared" si="127"/>
        <v>557710.32613003731</v>
      </c>
      <c r="R177" s="215">
        <f t="shared" si="127"/>
        <v>557710.32613003731</v>
      </c>
      <c r="S177" s="215">
        <f t="shared" si="127"/>
        <v>557710.32613003731</v>
      </c>
      <c r="T177" s="215">
        <f t="shared" si="127"/>
        <v>557710.32613003731</v>
      </c>
      <c r="U177" s="215">
        <f t="shared" si="127"/>
        <v>557710.32613003731</v>
      </c>
      <c r="V177" s="215">
        <f t="shared" si="127"/>
        <v>557710.32613003731</v>
      </c>
      <c r="W177" s="215">
        <f t="shared" si="127"/>
        <v>557710.32613003731</v>
      </c>
      <c r="X177" s="215">
        <f t="shared" si="127"/>
        <v>557710.32613003731</v>
      </c>
      <c r="Y177" s="216">
        <f t="shared" si="127"/>
        <v>559727.01761934487</v>
      </c>
      <c r="Z177" s="217">
        <f t="shared" si="128"/>
        <v>559727.01761934487</v>
      </c>
      <c r="AA177" s="215">
        <f t="shared" si="128"/>
        <v>559727.01761934487</v>
      </c>
      <c r="AB177" s="215">
        <f t="shared" si="128"/>
        <v>559727.01761934487</v>
      </c>
      <c r="AC177" s="215">
        <f t="shared" si="128"/>
        <v>559727.01761934487</v>
      </c>
      <c r="AD177" s="215">
        <f t="shared" si="128"/>
        <v>559727.01761934487</v>
      </c>
      <c r="AE177" s="215">
        <f t="shared" si="128"/>
        <v>559727.01761934487</v>
      </c>
      <c r="AF177" s="215">
        <f t="shared" si="128"/>
        <v>559727.01761934487</v>
      </c>
      <c r="AG177" s="215">
        <f t="shared" si="128"/>
        <v>559727.01761934487</v>
      </c>
      <c r="AH177" s="215">
        <f t="shared" si="128"/>
        <v>559727.01761934487</v>
      </c>
      <c r="AI177" s="215">
        <f t="shared" si="128"/>
        <v>559727.01761934487</v>
      </c>
      <c r="AJ177" s="218">
        <f t="shared" si="129"/>
        <v>15593086.574366843</v>
      </c>
    </row>
    <row r="178" spans="2:37" ht="14.4" x14ac:dyDescent="0.25">
      <c r="B178" s="56"/>
      <c r="C178" s="58"/>
      <c r="D178" s="219" t="s">
        <v>333</v>
      </c>
      <c r="E178" s="220"/>
      <c r="F178" s="221">
        <f t="shared" si="126"/>
        <v>0</v>
      </c>
      <c r="G178" s="221">
        <f t="shared" si="126"/>
        <v>3310835.5023063389</v>
      </c>
      <c r="H178" s="221">
        <f t="shared" si="126"/>
        <v>3310835.5023063389</v>
      </c>
      <c r="I178" s="221">
        <f t="shared" si="126"/>
        <v>3310835.5023063389</v>
      </c>
      <c r="J178" s="221">
        <f t="shared" si="126"/>
        <v>3315171.8518264019</v>
      </c>
      <c r="K178" s="221">
        <f t="shared" si="126"/>
        <v>3315171.8518264019</v>
      </c>
      <c r="L178" s="222">
        <f t="shared" si="126"/>
        <v>3579854.8110170043</v>
      </c>
      <c r="M178" s="223">
        <f t="shared" si="126"/>
        <v>3858590.3129293951</v>
      </c>
      <c r="N178" s="221">
        <f t="shared" si="126"/>
        <v>4102766.7464299542</v>
      </c>
      <c r="O178" s="221">
        <f t="shared" si="126"/>
        <v>4308408.1471335078</v>
      </c>
      <c r="P178" s="221">
        <f t="shared" si="127"/>
        <v>4308408.1471335078</v>
      </c>
      <c r="Q178" s="221">
        <f t="shared" si="127"/>
        <v>4308408.1471335078</v>
      </c>
      <c r="R178" s="221">
        <f t="shared" si="127"/>
        <v>4308408.1471335078</v>
      </c>
      <c r="S178" s="221">
        <f t="shared" si="127"/>
        <v>4308408.1471335078</v>
      </c>
      <c r="T178" s="221">
        <f t="shared" si="127"/>
        <v>4308408.1471335078</v>
      </c>
      <c r="U178" s="221">
        <f t="shared" si="127"/>
        <v>4308408.1471335078</v>
      </c>
      <c r="V178" s="221">
        <f t="shared" si="127"/>
        <v>4308408.1471335078</v>
      </c>
      <c r="W178" s="221">
        <f t="shared" si="127"/>
        <v>4308408.1471335078</v>
      </c>
      <c r="X178" s="221">
        <f t="shared" si="127"/>
        <v>4308408.1471335078</v>
      </c>
      <c r="Y178" s="222">
        <f t="shared" si="127"/>
        <v>4326564.3406802164</v>
      </c>
      <c r="Z178" s="223">
        <f t="shared" si="128"/>
        <v>4326564.3406802164</v>
      </c>
      <c r="AA178" s="221">
        <f t="shared" si="128"/>
        <v>4326564.3406802164</v>
      </c>
      <c r="AB178" s="221">
        <f t="shared" si="128"/>
        <v>4326564.3406802164</v>
      </c>
      <c r="AC178" s="221">
        <f t="shared" si="128"/>
        <v>4326564.3406802164</v>
      </c>
      <c r="AD178" s="221">
        <f t="shared" si="128"/>
        <v>4326564.3406802164</v>
      </c>
      <c r="AE178" s="221">
        <f t="shared" si="128"/>
        <v>4326564.3406802164</v>
      </c>
      <c r="AF178" s="221">
        <f t="shared" si="128"/>
        <v>4326564.3406802164</v>
      </c>
      <c r="AG178" s="221">
        <f t="shared" si="128"/>
        <v>4326564.3406802164</v>
      </c>
      <c r="AH178" s="221">
        <f t="shared" si="128"/>
        <v>4326564.3406802164</v>
      </c>
      <c r="AI178" s="221">
        <f t="shared" si="128"/>
        <v>4326564.3406802164</v>
      </c>
      <c r="AJ178" s="224">
        <f t="shared" si="129"/>
        <v>118780351.29976557</v>
      </c>
      <c r="AK178" s="4"/>
    </row>
    <row r="179" spans="2:37" x14ac:dyDescent="0.25">
      <c r="B179" s="56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225"/>
    </row>
    <row r="180" spans="2:37" x14ac:dyDescent="0.25"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</row>
    <row r="181" spans="2:37" x14ac:dyDescent="0.25">
      <c r="G181" s="4"/>
    </row>
  </sheetData>
  <mergeCells count="23">
    <mergeCell ref="B152:B159"/>
    <mergeCell ref="C152:C159"/>
    <mergeCell ref="B161:B168"/>
    <mergeCell ref="C161:C168"/>
    <mergeCell ref="B107:B114"/>
    <mergeCell ref="C107:C114"/>
    <mergeCell ref="B116:B123"/>
    <mergeCell ref="C116:C123"/>
    <mergeCell ref="B125:B132"/>
    <mergeCell ref="C125:C132"/>
    <mergeCell ref="B143:B150"/>
    <mergeCell ref="C143:C150"/>
    <mergeCell ref="B134:B141"/>
    <mergeCell ref="C134:C141"/>
    <mergeCell ref="B91:B98"/>
    <mergeCell ref="C91:C98"/>
    <mergeCell ref="B99:B106"/>
    <mergeCell ref="C99:C106"/>
    <mergeCell ref="B4:C4"/>
    <mergeCell ref="B74:B81"/>
    <mergeCell ref="C74:C81"/>
    <mergeCell ref="B82:B89"/>
    <mergeCell ref="C82:C89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81" min="1" max="35" man="1"/>
    <brk id="159" min="1" max="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theme="9" tint="0.59999389629810485"/>
  </sheetPr>
  <dimension ref="A1:AM70"/>
  <sheetViews>
    <sheetView showGridLines="0" zoomScale="80" zoomScaleNormal="80" workbookViewId="0">
      <pane ySplit="6" topLeftCell="A7" activePane="bottomLeft" state="frozen"/>
      <selection pane="bottomLeft"/>
    </sheetView>
  </sheetViews>
  <sheetFormatPr defaultRowHeight="13.8" x14ac:dyDescent="0.25"/>
  <cols>
    <col min="1" max="1" width="3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5" bestFit="1" customWidth="1"/>
    <col min="39" max="39" width="11.125" bestFit="1" customWidth="1"/>
  </cols>
  <sheetData>
    <row r="1" spans="1:38" ht="18" x14ac:dyDescent="0.25">
      <c r="A1" s="155"/>
      <c r="B1" s="1"/>
      <c r="C1" s="88" t="s">
        <v>0</v>
      </c>
      <c r="D1" s="88" t="s">
        <v>1</v>
      </c>
      <c r="E1" s="1"/>
      <c r="F1" s="1"/>
    </row>
    <row r="2" spans="1:38" ht="15" x14ac:dyDescent="0.25">
      <c r="B2" s="1"/>
      <c r="C2" s="5" t="s">
        <v>219</v>
      </c>
      <c r="D2" s="89" t="s">
        <v>124</v>
      </c>
      <c r="E2" s="90" t="s">
        <v>1048</v>
      </c>
      <c r="F2" s="247" t="s">
        <v>824</v>
      </c>
      <c r="G2" s="229">
        <v>200.5</v>
      </c>
    </row>
    <row r="3" spans="1:38" x14ac:dyDescent="0.25">
      <c r="B3" s="1"/>
      <c r="E3" s="1"/>
    </row>
    <row r="4" spans="1:38" x14ac:dyDescent="0.25">
      <c r="B4" s="381" t="s">
        <v>128</v>
      </c>
      <c r="C4" s="381"/>
      <c r="D4" s="61" t="s">
        <v>5</v>
      </c>
      <c r="E4" s="61" t="s">
        <v>129</v>
      </c>
      <c r="F4" s="382" t="s">
        <v>220</v>
      </c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4"/>
    </row>
    <row r="5" spans="1:38" x14ac:dyDescent="0.25">
      <c r="B5" s="64" t="s">
        <v>133</v>
      </c>
      <c r="C5" s="65" t="s">
        <v>134</v>
      </c>
      <c r="D5" s="64"/>
      <c r="E5" s="91" t="s">
        <v>221</v>
      </c>
      <c r="F5" s="372" t="s">
        <v>222</v>
      </c>
      <c r="G5" s="372" t="s">
        <v>223</v>
      </c>
      <c r="H5" s="372" t="s">
        <v>224</v>
      </c>
      <c r="I5" s="372" t="s">
        <v>225</v>
      </c>
      <c r="J5" s="372" t="s">
        <v>226</v>
      </c>
      <c r="K5" s="372" t="s">
        <v>227</v>
      </c>
      <c r="L5" s="367" t="s">
        <v>228</v>
      </c>
      <c r="M5" s="367" t="s">
        <v>229</v>
      </c>
      <c r="N5" s="367" t="s">
        <v>230</v>
      </c>
      <c r="O5" s="367" t="s">
        <v>231</v>
      </c>
      <c r="P5" s="367" t="s">
        <v>232</v>
      </c>
      <c r="Q5" s="367" t="s">
        <v>233</v>
      </c>
      <c r="R5" s="367" t="s">
        <v>234</v>
      </c>
      <c r="S5" s="367" t="s">
        <v>235</v>
      </c>
      <c r="T5" s="367" t="s">
        <v>236</v>
      </c>
      <c r="U5" s="367" t="s">
        <v>237</v>
      </c>
      <c r="V5" s="367" t="s">
        <v>238</v>
      </c>
      <c r="W5" s="367" t="s">
        <v>239</v>
      </c>
      <c r="X5" s="367" t="s">
        <v>240</v>
      </c>
      <c r="Y5" s="367" t="s">
        <v>241</v>
      </c>
      <c r="Z5" s="367" t="s">
        <v>242</v>
      </c>
      <c r="AA5" s="367" t="s">
        <v>243</v>
      </c>
      <c r="AB5" s="367" t="s">
        <v>244</v>
      </c>
      <c r="AC5" s="367" t="s">
        <v>245</v>
      </c>
      <c r="AD5" s="367" t="s">
        <v>246</v>
      </c>
      <c r="AE5" s="367" t="s">
        <v>247</v>
      </c>
      <c r="AF5" s="367" t="s">
        <v>248</v>
      </c>
      <c r="AG5" s="367" t="s">
        <v>249</v>
      </c>
      <c r="AH5" s="367" t="s">
        <v>250</v>
      </c>
      <c r="AI5" s="367" t="s">
        <v>251</v>
      </c>
      <c r="AJ5" s="367" t="s">
        <v>252</v>
      </c>
    </row>
    <row r="6" spans="1:38" x14ac:dyDescent="0.25">
      <c r="B6" s="64"/>
      <c r="C6" s="65"/>
      <c r="D6" s="64"/>
      <c r="E6" s="91"/>
      <c r="F6" s="373"/>
      <c r="G6" s="373"/>
      <c r="H6" s="373"/>
      <c r="I6" s="373"/>
      <c r="J6" s="373"/>
      <c r="K6" s="373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</row>
    <row r="7" spans="1:38" x14ac:dyDescent="0.25">
      <c r="B7" s="61"/>
      <c r="C7" s="66" t="s">
        <v>136</v>
      </c>
      <c r="D7" s="61"/>
      <c r="E7" s="92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</row>
    <row r="8" spans="1:38" x14ac:dyDescent="0.25">
      <c r="B8" s="77"/>
      <c r="C8" s="68" t="s">
        <v>137</v>
      </c>
      <c r="D8" s="69"/>
      <c r="E8" s="69"/>
      <c r="F8" s="94"/>
      <c r="AJ8" s="95"/>
    </row>
    <row r="9" spans="1:38" x14ac:dyDescent="0.25">
      <c r="B9" s="73">
        <v>4915757</v>
      </c>
      <c r="C9" s="72" t="s">
        <v>138</v>
      </c>
      <c r="D9" s="96" t="str">
        <f>VLOOKUP(B9,'Padrão Conserva'!$B$10:$G$66,3,FALSE)</f>
        <v>m³/km eq.</v>
      </c>
      <c r="E9" s="97">
        <f>VLOOKUP(B9,'Padrão Conserva'!$B$10:$G$66,4,FALSE)</f>
        <v>1</v>
      </c>
      <c r="F9" s="98">
        <v>0</v>
      </c>
      <c r="G9" s="99">
        <f>$E9*'MS 112 Ext Equival'!E$302</f>
        <v>116.95833333333333</v>
      </c>
      <c r="H9" s="99">
        <f>$E9*'MS 112 Ext Equival'!F$302</f>
        <v>116.95833333333333</v>
      </c>
      <c r="I9" s="99">
        <f>$E9*'MS 112 Ext Equival'!G$302</f>
        <v>116.95833333333333</v>
      </c>
      <c r="J9" s="99">
        <f>$E9*'MS 112 Ext Equival'!H$302</f>
        <v>117.75516666666667</v>
      </c>
      <c r="K9" s="99">
        <f>$E9*'MS 112 Ext Equival'!I$302</f>
        <v>117.75516666666667</v>
      </c>
      <c r="L9" s="99">
        <f>$E9*'MS 112 Ext Equival'!J$302</f>
        <v>138.96587500000001</v>
      </c>
      <c r="M9" s="99">
        <f>$E9*'MS 112 Ext Equival'!K$302</f>
        <v>161.14206250000001</v>
      </c>
      <c r="N9" s="99">
        <f>$E9*'MS 112 Ext Equival'!L$302</f>
        <v>180.42664583333334</v>
      </c>
      <c r="O9" s="99">
        <f>$E9*'MS 112 Ext Equival'!M$302</f>
        <v>196.91741666666667</v>
      </c>
      <c r="P9" s="99">
        <f>$E9*'MS 112 Ext Equival'!N$302</f>
        <v>196.91741666666667</v>
      </c>
      <c r="Q9" s="99">
        <f>$E9*'MS 112 Ext Equival'!O$302</f>
        <v>196.91741666666667</v>
      </c>
      <c r="R9" s="99">
        <f>$E9*'MS 112 Ext Equival'!P$302</f>
        <v>196.91741666666667</v>
      </c>
      <c r="S9" s="99">
        <f>$E9*'MS 112 Ext Equival'!Q$302</f>
        <v>196.91741666666667</v>
      </c>
      <c r="T9" s="99">
        <f>$E9*'MS 112 Ext Equival'!R$302</f>
        <v>196.91741666666667</v>
      </c>
      <c r="U9" s="99">
        <f>$E9*'MS 112 Ext Equival'!S$302</f>
        <v>196.91741666666667</v>
      </c>
      <c r="V9" s="99">
        <f>$E9*'MS 112 Ext Equival'!T$302</f>
        <v>196.91741666666667</v>
      </c>
      <c r="W9" s="99">
        <f>$E9*'MS 112 Ext Equival'!U$302</f>
        <v>196.91741666666667</v>
      </c>
      <c r="X9" s="99">
        <f>$E9*'MS 112 Ext Equival'!V$302</f>
        <v>196.91741666666667</v>
      </c>
      <c r="Y9" s="99">
        <f>$E9*'MS 112 Ext Equival'!W$302</f>
        <v>198.07567190476189</v>
      </c>
      <c r="Z9" s="99">
        <f>$E9*'MS 112 Ext Equival'!X$302</f>
        <v>198.07567190476189</v>
      </c>
      <c r="AA9" s="99">
        <f>$E9*'MS 112 Ext Equival'!Y$302</f>
        <v>198.07567190476189</v>
      </c>
      <c r="AB9" s="99">
        <f>$E9*'MS 112 Ext Equival'!Z$302</f>
        <v>198.07567190476189</v>
      </c>
      <c r="AC9" s="99">
        <f>$E9*'MS 112 Ext Equival'!AA$302</f>
        <v>198.07567190476189</v>
      </c>
      <c r="AD9" s="99">
        <f>$E9*'MS 112 Ext Equival'!AB$302</f>
        <v>198.07567190476189</v>
      </c>
      <c r="AE9" s="99">
        <f>$E9*'MS 112 Ext Equival'!AC$302</f>
        <v>198.07567190476189</v>
      </c>
      <c r="AF9" s="99">
        <f>$E9*'MS 112 Ext Equival'!AD$302</f>
        <v>198.07567190476189</v>
      </c>
      <c r="AG9" s="99">
        <f>$E9*'MS 112 Ext Equival'!AE$302</f>
        <v>198.07567190476189</v>
      </c>
      <c r="AH9" s="99">
        <f>$E9*'MS 112 Ext Equival'!AF$302</f>
        <v>198.07567190476189</v>
      </c>
      <c r="AI9" s="99">
        <f>$E9*'MS 112 Ext Equival'!AG$302</f>
        <v>198.07567190476189</v>
      </c>
      <c r="AJ9" s="100">
        <f t="shared" ref="AJ9:AJ16" si="0">SUM(F9:AI9)</f>
        <v>5214.9264742857149</v>
      </c>
      <c r="AL9" s="101"/>
    </row>
    <row r="10" spans="1:38" x14ac:dyDescent="0.25">
      <c r="B10" s="73">
        <v>4011480</v>
      </c>
      <c r="C10" s="72" t="s">
        <v>140</v>
      </c>
      <c r="D10" s="96" t="str">
        <f>VLOOKUP(B10,'Padrão Conserva'!$B$10:$G$66,3,FALSE)</f>
        <v>m³/km eq.</v>
      </c>
      <c r="E10" s="97">
        <f>VLOOKUP(B10,'Padrão Conserva'!$B$10:$G$66,4,FALSE)</f>
        <v>2.1</v>
      </c>
      <c r="F10" s="98">
        <v>0</v>
      </c>
      <c r="G10" s="99">
        <f>$E10*'MS 112 Ext Equival'!E$302</f>
        <v>245.61250000000001</v>
      </c>
      <c r="H10" s="99">
        <f>$E10*'MS 112 Ext Equival'!F$302</f>
        <v>245.61250000000001</v>
      </c>
      <c r="I10" s="99">
        <f>$E10*'MS 112 Ext Equival'!G$302</f>
        <v>245.61250000000001</v>
      </c>
      <c r="J10" s="99">
        <f>$E10*'MS 112 Ext Equival'!H$302</f>
        <v>247.28585000000001</v>
      </c>
      <c r="K10" s="99">
        <f>$E10*'MS 112 Ext Equival'!I$302</f>
        <v>247.28585000000001</v>
      </c>
      <c r="L10" s="99">
        <f>$E10*'MS 112 Ext Equival'!J$302</f>
        <v>291.82833750000003</v>
      </c>
      <c r="M10" s="99">
        <f>$E10*'MS 112 Ext Equival'!K$302</f>
        <v>338.39833125000001</v>
      </c>
      <c r="N10" s="99">
        <f>$E10*'MS 112 Ext Equival'!L$302</f>
        <v>378.89595625000004</v>
      </c>
      <c r="O10" s="99">
        <f>$E10*'MS 112 Ext Equival'!M$302</f>
        <v>413.52657500000004</v>
      </c>
      <c r="P10" s="99">
        <f>$E10*'MS 112 Ext Equival'!N$302</f>
        <v>413.52657500000004</v>
      </c>
      <c r="Q10" s="99">
        <f>$E10*'MS 112 Ext Equival'!O$302</f>
        <v>413.52657500000004</v>
      </c>
      <c r="R10" s="99">
        <f>$E10*'MS 112 Ext Equival'!P$302</f>
        <v>413.52657500000004</v>
      </c>
      <c r="S10" s="99">
        <f>$E10*'MS 112 Ext Equival'!Q$302</f>
        <v>413.52657500000004</v>
      </c>
      <c r="T10" s="99">
        <f>$E10*'MS 112 Ext Equival'!R$302</f>
        <v>413.52657500000004</v>
      </c>
      <c r="U10" s="99">
        <f>$E10*'MS 112 Ext Equival'!S$302</f>
        <v>413.52657500000004</v>
      </c>
      <c r="V10" s="99">
        <f>$E10*'MS 112 Ext Equival'!T$302</f>
        <v>413.52657500000004</v>
      </c>
      <c r="W10" s="99">
        <f>$E10*'MS 112 Ext Equival'!U$302</f>
        <v>413.52657500000004</v>
      </c>
      <c r="X10" s="99">
        <f>$E10*'MS 112 Ext Equival'!V$302</f>
        <v>413.52657500000004</v>
      </c>
      <c r="Y10" s="99">
        <f>$E10*'MS 112 Ext Equival'!W$302</f>
        <v>415.958911</v>
      </c>
      <c r="Z10" s="99">
        <f>$E10*'MS 112 Ext Equival'!X$302</f>
        <v>415.958911</v>
      </c>
      <c r="AA10" s="99">
        <f>$E10*'MS 112 Ext Equival'!Y$302</f>
        <v>415.958911</v>
      </c>
      <c r="AB10" s="99">
        <f>$E10*'MS 112 Ext Equival'!Z$302</f>
        <v>415.958911</v>
      </c>
      <c r="AC10" s="99">
        <f>$E10*'MS 112 Ext Equival'!AA$302</f>
        <v>415.958911</v>
      </c>
      <c r="AD10" s="99">
        <f>$E10*'MS 112 Ext Equival'!AB$302</f>
        <v>415.958911</v>
      </c>
      <c r="AE10" s="99">
        <f>$E10*'MS 112 Ext Equival'!AC$302</f>
        <v>415.958911</v>
      </c>
      <c r="AF10" s="99">
        <f>$E10*'MS 112 Ext Equival'!AD$302</f>
        <v>415.958911</v>
      </c>
      <c r="AG10" s="99">
        <f>$E10*'MS 112 Ext Equival'!AE$302</f>
        <v>415.958911</v>
      </c>
      <c r="AH10" s="99">
        <f>$E10*'MS 112 Ext Equival'!AF$302</f>
        <v>415.958911</v>
      </c>
      <c r="AI10" s="99">
        <f>$E10*'MS 112 Ext Equival'!AG$302</f>
        <v>415.958911</v>
      </c>
      <c r="AJ10" s="100">
        <f t="shared" si="0"/>
        <v>10951.345595999996</v>
      </c>
      <c r="AL10" s="101"/>
    </row>
    <row r="11" spans="1:38" x14ac:dyDescent="0.25">
      <c r="B11" s="73">
        <v>4011353</v>
      </c>
      <c r="C11" s="72" t="s">
        <v>141</v>
      </c>
      <c r="D11" s="96" t="str">
        <f>VLOOKUP(B11,'Padrão Conserva'!$B$10:$G$66,3,FALSE)</f>
        <v>m²/km eq.</v>
      </c>
      <c r="E11" s="97">
        <f>VLOOKUP(B11,'Padrão Conserva'!$B$10:$G$66,4,FALSE)</f>
        <v>70</v>
      </c>
      <c r="F11" s="98">
        <v>0</v>
      </c>
      <c r="G11" s="99">
        <f>$E11*'MS 112 Ext Equival'!E$302</f>
        <v>8187.083333333333</v>
      </c>
      <c r="H11" s="99">
        <f>$E11*'MS 112 Ext Equival'!F$302</f>
        <v>8187.083333333333</v>
      </c>
      <c r="I11" s="99">
        <f>$E11*'MS 112 Ext Equival'!G$302</f>
        <v>8187.083333333333</v>
      </c>
      <c r="J11" s="99">
        <f>$E11*'MS 112 Ext Equival'!H$302</f>
        <v>8242.8616666666676</v>
      </c>
      <c r="K11" s="99">
        <f>$E11*'MS 112 Ext Equival'!I$302</f>
        <v>8242.8616666666676</v>
      </c>
      <c r="L11" s="99">
        <f>$E11*'MS 112 Ext Equival'!J$302</f>
        <v>9727.6112499999999</v>
      </c>
      <c r="M11" s="99">
        <f>$E11*'MS 112 Ext Equival'!K$302</f>
        <v>11279.944375000001</v>
      </c>
      <c r="N11" s="99">
        <f>$E11*'MS 112 Ext Equival'!L$302</f>
        <v>12629.865208333335</v>
      </c>
      <c r="O11" s="99">
        <f>$E11*'MS 112 Ext Equival'!M$302</f>
        <v>13784.219166666666</v>
      </c>
      <c r="P11" s="99">
        <f>$E11*'MS 112 Ext Equival'!N$302</f>
        <v>13784.219166666666</v>
      </c>
      <c r="Q11" s="99">
        <f>$E11*'MS 112 Ext Equival'!O$302</f>
        <v>13784.219166666666</v>
      </c>
      <c r="R11" s="99">
        <f>$E11*'MS 112 Ext Equival'!P$302</f>
        <v>13784.219166666666</v>
      </c>
      <c r="S11" s="99">
        <f>$E11*'MS 112 Ext Equival'!Q$302</f>
        <v>13784.219166666666</v>
      </c>
      <c r="T11" s="99">
        <f>$E11*'MS 112 Ext Equival'!R$302</f>
        <v>13784.219166666666</v>
      </c>
      <c r="U11" s="99">
        <f>$E11*'MS 112 Ext Equival'!S$302</f>
        <v>13784.219166666666</v>
      </c>
      <c r="V11" s="99">
        <f>$E11*'MS 112 Ext Equival'!T$302</f>
        <v>13784.219166666666</v>
      </c>
      <c r="W11" s="99">
        <f>$E11*'MS 112 Ext Equival'!U$302</f>
        <v>13784.219166666666</v>
      </c>
      <c r="X11" s="99">
        <f>$E11*'MS 112 Ext Equival'!V$302</f>
        <v>13784.219166666666</v>
      </c>
      <c r="Y11" s="99">
        <f>$E11*'MS 112 Ext Equival'!W$302</f>
        <v>13865.297033333332</v>
      </c>
      <c r="Z11" s="99">
        <f>$E11*'MS 112 Ext Equival'!X$302</f>
        <v>13865.297033333332</v>
      </c>
      <c r="AA11" s="99">
        <f>$E11*'MS 112 Ext Equival'!Y$302</f>
        <v>13865.297033333332</v>
      </c>
      <c r="AB11" s="99">
        <f>$E11*'MS 112 Ext Equival'!Z$302</f>
        <v>13865.297033333332</v>
      </c>
      <c r="AC11" s="99">
        <f>$E11*'MS 112 Ext Equival'!AA$302</f>
        <v>13865.297033333332</v>
      </c>
      <c r="AD11" s="99">
        <f>$E11*'MS 112 Ext Equival'!AB$302</f>
        <v>13865.297033333332</v>
      </c>
      <c r="AE11" s="99">
        <f>$E11*'MS 112 Ext Equival'!AC$302</f>
        <v>13865.297033333332</v>
      </c>
      <c r="AF11" s="99">
        <f>$E11*'MS 112 Ext Equival'!AD$302</f>
        <v>13865.297033333332</v>
      </c>
      <c r="AG11" s="99">
        <f>$E11*'MS 112 Ext Equival'!AE$302</f>
        <v>13865.297033333332</v>
      </c>
      <c r="AH11" s="99">
        <f>$E11*'MS 112 Ext Equival'!AF$302</f>
        <v>13865.297033333332</v>
      </c>
      <c r="AI11" s="99">
        <f>$E11*'MS 112 Ext Equival'!AG$302</f>
        <v>13865.297033333332</v>
      </c>
      <c r="AJ11" s="100">
        <f t="shared" si="0"/>
        <v>365044.85320000007</v>
      </c>
    </row>
    <row r="12" spans="1:38" x14ac:dyDescent="0.25">
      <c r="B12" s="71">
        <v>4011463</v>
      </c>
      <c r="C12" s="72" t="s">
        <v>143</v>
      </c>
      <c r="D12" s="96" t="str">
        <f>VLOOKUP(B12,'Padrão Conserva'!$B$10:$G$66,3,FALSE)</f>
        <v>t/km eq.</v>
      </c>
      <c r="E12" s="97">
        <f>VLOOKUP(B12,'Padrão Conserva'!$B$10:$G$66,4,FALSE)</f>
        <v>5.04</v>
      </c>
      <c r="F12" s="98">
        <v>0</v>
      </c>
      <c r="G12" s="99">
        <f>$E12*'MS 112 Ext Equival'!E$302</f>
        <v>589.47</v>
      </c>
      <c r="H12" s="99">
        <f>$E12*'MS 112 Ext Equival'!F$302</f>
        <v>589.47</v>
      </c>
      <c r="I12" s="99">
        <f>$E12*'MS 112 Ext Equival'!G$302</f>
        <v>589.47</v>
      </c>
      <c r="J12" s="99">
        <f>$E12*'MS 112 Ext Equival'!H$302</f>
        <v>593.48604</v>
      </c>
      <c r="K12" s="99">
        <f>$E12*'MS 112 Ext Equival'!I$302</f>
        <v>593.48604</v>
      </c>
      <c r="L12" s="99">
        <f>$E12*'MS 112 Ext Equival'!J$302</f>
        <v>700.38801000000001</v>
      </c>
      <c r="M12" s="99">
        <f>$E12*'MS 112 Ext Equival'!K$302</f>
        <v>812.15599500000008</v>
      </c>
      <c r="N12" s="99">
        <f>$E12*'MS 112 Ext Equival'!L$302</f>
        <v>909.35029500000007</v>
      </c>
      <c r="O12" s="99">
        <f>$E12*'MS 112 Ext Equival'!M$302</f>
        <v>992.46378000000004</v>
      </c>
      <c r="P12" s="99">
        <f>$E12*'MS 112 Ext Equival'!N$302</f>
        <v>992.46378000000004</v>
      </c>
      <c r="Q12" s="99">
        <f>$E12*'MS 112 Ext Equival'!O$302</f>
        <v>992.46378000000004</v>
      </c>
      <c r="R12" s="99">
        <f>$E12*'MS 112 Ext Equival'!P$302</f>
        <v>992.46378000000004</v>
      </c>
      <c r="S12" s="99">
        <f>$E12*'MS 112 Ext Equival'!Q$302</f>
        <v>992.46378000000004</v>
      </c>
      <c r="T12" s="99">
        <f>$E12*'MS 112 Ext Equival'!R$302</f>
        <v>992.46378000000004</v>
      </c>
      <c r="U12" s="99">
        <f>$E12*'MS 112 Ext Equival'!S$302</f>
        <v>992.46378000000004</v>
      </c>
      <c r="V12" s="99">
        <f>$E12*'MS 112 Ext Equival'!T$302</f>
        <v>992.46378000000004</v>
      </c>
      <c r="W12" s="99">
        <f>$E12*'MS 112 Ext Equival'!U$302</f>
        <v>992.46378000000004</v>
      </c>
      <c r="X12" s="99">
        <f>$E12*'MS 112 Ext Equival'!V$302</f>
        <v>992.46378000000004</v>
      </c>
      <c r="Y12" s="99">
        <f>$E12*'MS 112 Ext Equival'!W$302</f>
        <v>998.30138639999996</v>
      </c>
      <c r="Z12" s="99">
        <f>$E12*'MS 112 Ext Equival'!X$302</f>
        <v>998.30138639999996</v>
      </c>
      <c r="AA12" s="99">
        <f>$E12*'MS 112 Ext Equival'!Y$302</f>
        <v>998.30138639999996</v>
      </c>
      <c r="AB12" s="99">
        <f>$E12*'MS 112 Ext Equival'!Z$302</f>
        <v>998.30138639999996</v>
      </c>
      <c r="AC12" s="99">
        <f>$E12*'MS 112 Ext Equival'!AA$302</f>
        <v>998.30138639999996</v>
      </c>
      <c r="AD12" s="99">
        <f>$E12*'MS 112 Ext Equival'!AB$302</f>
        <v>998.30138639999996</v>
      </c>
      <c r="AE12" s="99">
        <f>$E12*'MS 112 Ext Equival'!AC$302</f>
        <v>998.30138639999996</v>
      </c>
      <c r="AF12" s="99">
        <f>$E12*'MS 112 Ext Equival'!AD$302</f>
        <v>998.30138639999996</v>
      </c>
      <c r="AG12" s="99">
        <f>$E12*'MS 112 Ext Equival'!AE$302</f>
        <v>998.30138639999996</v>
      </c>
      <c r="AH12" s="99">
        <f>$E12*'MS 112 Ext Equival'!AF$302</f>
        <v>998.30138639999996</v>
      </c>
      <c r="AI12" s="99">
        <f>$E12*'MS 112 Ext Equival'!AG$302</f>
        <v>998.30138639999996</v>
      </c>
      <c r="AJ12" s="100">
        <f t="shared" si="0"/>
        <v>26283.229430399988</v>
      </c>
    </row>
    <row r="13" spans="1:38" x14ac:dyDescent="0.25">
      <c r="B13" s="73">
        <v>4915694</v>
      </c>
      <c r="C13" s="72" t="s">
        <v>145</v>
      </c>
      <c r="D13" s="96" t="str">
        <f>VLOOKUP(B13,'Padrão Conserva'!$B$10:$G$66,3,FALSE)</f>
        <v>l/km.eq</v>
      </c>
      <c r="E13" s="97">
        <f>VLOOKUP(B13,'Padrão Conserva'!$B$10:$G$66,4,FALSE)</f>
        <v>20</v>
      </c>
      <c r="F13" s="98">
        <v>0</v>
      </c>
      <c r="G13" s="99">
        <f>$E13*'MS 112 Ext Equival'!E$302</f>
        <v>2339.1666666666665</v>
      </c>
      <c r="H13" s="99">
        <f>$E13*'MS 112 Ext Equival'!F$302</f>
        <v>2339.1666666666665</v>
      </c>
      <c r="I13" s="99">
        <f>$E13*'MS 112 Ext Equival'!G$302</f>
        <v>2339.1666666666665</v>
      </c>
      <c r="J13" s="99">
        <f>$E13*'MS 112 Ext Equival'!H$302</f>
        <v>2355.1033333333335</v>
      </c>
      <c r="K13" s="99">
        <f>$E13*'MS 112 Ext Equival'!I$302</f>
        <v>2355.1033333333335</v>
      </c>
      <c r="L13" s="99">
        <f>$E13*'MS 112 Ext Equival'!J$302</f>
        <v>2779.3175000000001</v>
      </c>
      <c r="M13" s="99">
        <f>$E13*'MS 112 Ext Equival'!K$302</f>
        <v>3222.8412500000004</v>
      </c>
      <c r="N13" s="99">
        <f>$E13*'MS 112 Ext Equival'!L$302</f>
        <v>3608.532916666667</v>
      </c>
      <c r="O13" s="99">
        <f>$E13*'MS 112 Ext Equival'!M$302</f>
        <v>3938.3483333333334</v>
      </c>
      <c r="P13" s="99">
        <f>$E13*'MS 112 Ext Equival'!N$302</f>
        <v>3938.3483333333334</v>
      </c>
      <c r="Q13" s="99">
        <f>$E13*'MS 112 Ext Equival'!O$302</f>
        <v>3938.3483333333334</v>
      </c>
      <c r="R13" s="99">
        <f>$E13*'MS 112 Ext Equival'!P$302</f>
        <v>3938.3483333333334</v>
      </c>
      <c r="S13" s="99">
        <f>$E13*'MS 112 Ext Equival'!Q$302</f>
        <v>3938.3483333333334</v>
      </c>
      <c r="T13" s="99">
        <f>$E13*'MS 112 Ext Equival'!R$302</f>
        <v>3938.3483333333334</v>
      </c>
      <c r="U13" s="99">
        <f>$E13*'MS 112 Ext Equival'!S$302</f>
        <v>3938.3483333333334</v>
      </c>
      <c r="V13" s="99">
        <f>$E13*'MS 112 Ext Equival'!T$302</f>
        <v>3938.3483333333334</v>
      </c>
      <c r="W13" s="99">
        <f>$E13*'MS 112 Ext Equival'!U$302</f>
        <v>3938.3483333333334</v>
      </c>
      <c r="X13" s="99">
        <f>$E13*'MS 112 Ext Equival'!V$302</f>
        <v>3938.3483333333334</v>
      </c>
      <c r="Y13" s="99">
        <f>$E13*'MS 112 Ext Equival'!W$302</f>
        <v>3961.5134380952377</v>
      </c>
      <c r="Z13" s="99">
        <f>$E13*'MS 112 Ext Equival'!X$302</f>
        <v>3961.5134380952377</v>
      </c>
      <c r="AA13" s="99">
        <f>$E13*'MS 112 Ext Equival'!Y$302</f>
        <v>3961.5134380952377</v>
      </c>
      <c r="AB13" s="99">
        <f>$E13*'MS 112 Ext Equival'!Z$302</f>
        <v>3961.5134380952377</v>
      </c>
      <c r="AC13" s="99">
        <f>$E13*'MS 112 Ext Equival'!AA$302</f>
        <v>3961.5134380952377</v>
      </c>
      <c r="AD13" s="99">
        <f>$E13*'MS 112 Ext Equival'!AB$302</f>
        <v>3961.5134380952377</v>
      </c>
      <c r="AE13" s="99">
        <f>$E13*'MS 112 Ext Equival'!AC$302</f>
        <v>3961.5134380952377</v>
      </c>
      <c r="AF13" s="99">
        <f>$E13*'MS 112 Ext Equival'!AD$302</f>
        <v>3961.5134380952377</v>
      </c>
      <c r="AG13" s="99">
        <f>$E13*'MS 112 Ext Equival'!AE$302</f>
        <v>3961.5134380952377</v>
      </c>
      <c r="AH13" s="99">
        <f>$E13*'MS 112 Ext Equival'!AF$302</f>
        <v>3961.5134380952377</v>
      </c>
      <c r="AI13" s="99">
        <f>$E13*'MS 112 Ext Equival'!AG$302</f>
        <v>3961.5134380952377</v>
      </c>
      <c r="AJ13" s="100">
        <f t="shared" si="0"/>
        <v>104298.52948571429</v>
      </c>
    </row>
    <row r="14" spans="1:38" s="229" customFormat="1" x14ac:dyDescent="0.25">
      <c r="B14" s="73">
        <v>4915698</v>
      </c>
      <c r="C14" s="72" t="s">
        <v>147</v>
      </c>
      <c r="D14" s="96" t="str">
        <f>VLOOKUP(B14,'Padrão Conserva'!$B$10:$G$66,3,FALSE)</f>
        <v>m²/m²</v>
      </c>
      <c r="E14" s="97">
        <f>VLOOKUP(B14,'Padrão Conserva'!$B$10:$G$66,4,FALSE)</f>
        <v>1.5E-3</v>
      </c>
      <c r="F14" s="98">
        <v>0</v>
      </c>
      <c r="G14" s="99">
        <f>$E14*'MS 112 Ext Equival'!E234</f>
        <v>2105.25</v>
      </c>
      <c r="H14" s="99">
        <f>$E14*'MS 112 Ext Equival'!F234</f>
        <v>2105.25</v>
      </c>
      <c r="I14" s="99">
        <f>$E14*'MS 112 Ext Equival'!G234</f>
        <v>2105.25</v>
      </c>
      <c r="J14" s="99">
        <f>$E14*'MS 112 Ext Equival'!H234</f>
        <v>2092.125</v>
      </c>
      <c r="K14" s="99">
        <f>$E14*'MS 112 Ext Equival'!I234</f>
        <v>2092.125</v>
      </c>
      <c r="L14" s="99">
        <f>$E14*'MS 112 Ext Equival'!J234</f>
        <v>2473.9177500000001</v>
      </c>
      <c r="M14" s="99">
        <f>$E14*'MS 112 Ext Equival'!K234</f>
        <v>2873.089125</v>
      </c>
      <c r="N14" s="99">
        <f>$E14*'MS 112 Ext Equival'!L234</f>
        <v>3220.2116249999999</v>
      </c>
      <c r="O14" s="99">
        <f>$E14*'MS 112 Ext Equival'!M234</f>
        <v>3517.0455000000002</v>
      </c>
      <c r="P14" s="99">
        <f>$E14*'MS 112 Ext Equival'!N234</f>
        <v>3517.0455000000002</v>
      </c>
      <c r="Q14" s="99">
        <f>$E14*'MS 112 Ext Equival'!O234</f>
        <v>3517.0455000000002</v>
      </c>
      <c r="R14" s="99">
        <f>$E14*'MS 112 Ext Equival'!P234</f>
        <v>3517.0455000000002</v>
      </c>
      <c r="S14" s="99">
        <f>$E14*'MS 112 Ext Equival'!Q234</f>
        <v>3517.0455000000002</v>
      </c>
      <c r="T14" s="99">
        <f>$E14*'MS 112 Ext Equival'!R234</f>
        <v>3517.0455000000002</v>
      </c>
      <c r="U14" s="99">
        <f>$E14*'MS 112 Ext Equival'!S234</f>
        <v>3517.0455000000002</v>
      </c>
      <c r="V14" s="99">
        <f>$E14*'MS 112 Ext Equival'!T234</f>
        <v>3517.0455000000002</v>
      </c>
      <c r="W14" s="99">
        <f>$E14*'MS 112 Ext Equival'!U234</f>
        <v>3517.0455000000002</v>
      </c>
      <c r="X14" s="99">
        <f>$E14*'MS 112 Ext Equival'!V234</f>
        <v>3517.0455000000002</v>
      </c>
      <c r="Y14" s="99">
        <f>$E14*'MS 112 Ext Equival'!W234</f>
        <v>3537.8940942857139</v>
      </c>
      <c r="Z14" s="99">
        <f>$E14*'MS 112 Ext Equival'!X234</f>
        <v>3537.8940942857139</v>
      </c>
      <c r="AA14" s="99">
        <f>$E14*'MS 112 Ext Equival'!Y234</f>
        <v>3537.8940942857139</v>
      </c>
      <c r="AB14" s="99">
        <f>$E14*'MS 112 Ext Equival'!Z234</f>
        <v>3537.8940942857139</v>
      </c>
      <c r="AC14" s="99">
        <f>$E14*'MS 112 Ext Equival'!AA234</f>
        <v>3537.8940942857139</v>
      </c>
      <c r="AD14" s="99">
        <f>$E14*'MS 112 Ext Equival'!AB234</f>
        <v>3537.8940942857139</v>
      </c>
      <c r="AE14" s="99">
        <f>$E14*'MS 112 Ext Equival'!AC234</f>
        <v>3537.8940942857139</v>
      </c>
      <c r="AF14" s="99">
        <f>$E14*'MS 112 Ext Equival'!AD234</f>
        <v>3537.8940942857139</v>
      </c>
      <c r="AG14" s="99">
        <f>$E14*'MS 112 Ext Equival'!AE234</f>
        <v>3537.8940942857139</v>
      </c>
      <c r="AH14" s="99">
        <f>$E14*'MS 112 Ext Equival'!AF234</f>
        <v>3537.8940942857139</v>
      </c>
      <c r="AI14" s="99">
        <f>$E14*'MS 112 Ext Equival'!AG234</f>
        <v>3537.8940942857139</v>
      </c>
      <c r="AJ14" s="100">
        <f t="shared" si="0"/>
        <v>93154.508537142872</v>
      </c>
    </row>
    <row r="15" spans="1:38" s="229" customFormat="1" x14ac:dyDescent="0.25">
      <c r="B15" s="73">
        <v>4915753</v>
      </c>
      <c r="C15" s="72" t="s">
        <v>149</v>
      </c>
      <c r="D15" s="96" t="str">
        <f>VLOOKUP(B15,'Padrão Conserva'!$B$10:$G$66,3,FALSE)</f>
        <v>m³/m²</v>
      </c>
      <c r="E15" s="97">
        <f>VLOOKUP(B15,'Padrão Conserva'!$B$10:$G$66,4,FALSE)</f>
        <v>0.01</v>
      </c>
      <c r="F15" s="98">
        <v>0</v>
      </c>
      <c r="G15" s="99">
        <f>5904.48*$E$15</f>
        <v>59.044799999999995</v>
      </c>
      <c r="H15" s="99">
        <f t="shared" ref="H15:AI15" si="1">5904.48*$E$15</f>
        <v>59.044799999999995</v>
      </c>
      <c r="I15" s="99">
        <f t="shared" si="1"/>
        <v>59.044799999999995</v>
      </c>
      <c r="J15" s="99">
        <f t="shared" si="1"/>
        <v>59.044799999999995</v>
      </c>
      <c r="K15" s="99">
        <f t="shared" si="1"/>
        <v>59.044799999999995</v>
      </c>
      <c r="L15" s="99">
        <f t="shared" si="1"/>
        <v>59.044799999999995</v>
      </c>
      <c r="M15" s="99">
        <f t="shared" si="1"/>
        <v>59.044799999999995</v>
      </c>
      <c r="N15" s="99">
        <f t="shared" si="1"/>
        <v>59.044799999999995</v>
      </c>
      <c r="O15" s="99">
        <f t="shared" si="1"/>
        <v>59.044799999999995</v>
      </c>
      <c r="P15" s="99">
        <f t="shared" si="1"/>
        <v>59.044799999999995</v>
      </c>
      <c r="Q15" s="99">
        <f t="shared" si="1"/>
        <v>59.044799999999995</v>
      </c>
      <c r="R15" s="99">
        <f t="shared" si="1"/>
        <v>59.044799999999995</v>
      </c>
      <c r="S15" s="99">
        <f t="shared" si="1"/>
        <v>59.044799999999995</v>
      </c>
      <c r="T15" s="99">
        <f t="shared" si="1"/>
        <v>59.044799999999995</v>
      </c>
      <c r="U15" s="99">
        <f t="shared" si="1"/>
        <v>59.044799999999995</v>
      </c>
      <c r="V15" s="99">
        <f t="shared" si="1"/>
        <v>59.044799999999995</v>
      </c>
      <c r="W15" s="99">
        <f t="shared" si="1"/>
        <v>59.044799999999995</v>
      </c>
      <c r="X15" s="99">
        <f t="shared" si="1"/>
        <v>59.044799999999995</v>
      </c>
      <c r="Y15" s="99">
        <f t="shared" si="1"/>
        <v>59.044799999999995</v>
      </c>
      <c r="Z15" s="99">
        <f t="shared" si="1"/>
        <v>59.044799999999995</v>
      </c>
      <c r="AA15" s="99">
        <f t="shared" si="1"/>
        <v>59.044799999999995</v>
      </c>
      <c r="AB15" s="99">
        <f t="shared" si="1"/>
        <v>59.044799999999995</v>
      </c>
      <c r="AC15" s="99">
        <f t="shared" si="1"/>
        <v>59.044799999999995</v>
      </c>
      <c r="AD15" s="99">
        <f t="shared" si="1"/>
        <v>59.044799999999995</v>
      </c>
      <c r="AE15" s="99">
        <f t="shared" si="1"/>
        <v>59.044799999999995</v>
      </c>
      <c r="AF15" s="99">
        <f t="shared" si="1"/>
        <v>59.044799999999995</v>
      </c>
      <c r="AG15" s="99">
        <f t="shared" si="1"/>
        <v>59.044799999999995</v>
      </c>
      <c r="AH15" s="99">
        <f t="shared" si="1"/>
        <v>59.044799999999995</v>
      </c>
      <c r="AI15" s="99">
        <f t="shared" si="1"/>
        <v>59.044799999999995</v>
      </c>
      <c r="AJ15" s="100">
        <f t="shared" si="0"/>
        <v>1712.2991999999988</v>
      </c>
    </row>
    <row r="16" spans="1:38" s="229" customFormat="1" x14ac:dyDescent="0.25">
      <c r="B16" s="73">
        <v>4915695</v>
      </c>
      <c r="C16" s="72" t="s">
        <v>151</v>
      </c>
      <c r="D16" s="96" t="str">
        <f>VLOOKUP(B16,'Padrão Conserva'!$B$10:$G$66,3,FALSE)</f>
        <v>m/m²</v>
      </c>
      <c r="E16" s="97">
        <f>VLOOKUP(B16,'Padrão Conserva'!$B$10:$G$66,4,FALSE)</f>
        <v>5</v>
      </c>
      <c r="F16" s="98">
        <v>0</v>
      </c>
      <c r="G16" s="99">
        <f>(5904.48/160)*$E$16</f>
        <v>184.51499999999999</v>
      </c>
      <c r="H16" s="99">
        <f t="shared" ref="H16:AI16" si="2">(5904.48/160)*$E$16</f>
        <v>184.51499999999999</v>
      </c>
      <c r="I16" s="99">
        <f t="shared" si="2"/>
        <v>184.51499999999999</v>
      </c>
      <c r="J16" s="99">
        <f t="shared" si="2"/>
        <v>184.51499999999999</v>
      </c>
      <c r="K16" s="99">
        <f t="shared" si="2"/>
        <v>184.51499999999999</v>
      </c>
      <c r="L16" s="99">
        <f t="shared" si="2"/>
        <v>184.51499999999999</v>
      </c>
      <c r="M16" s="99">
        <f t="shared" si="2"/>
        <v>184.51499999999999</v>
      </c>
      <c r="N16" s="99">
        <f t="shared" si="2"/>
        <v>184.51499999999999</v>
      </c>
      <c r="O16" s="99">
        <f t="shared" si="2"/>
        <v>184.51499999999999</v>
      </c>
      <c r="P16" s="99">
        <f t="shared" si="2"/>
        <v>184.51499999999999</v>
      </c>
      <c r="Q16" s="99">
        <f t="shared" si="2"/>
        <v>184.51499999999999</v>
      </c>
      <c r="R16" s="99">
        <f t="shared" si="2"/>
        <v>184.51499999999999</v>
      </c>
      <c r="S16" s="99">
        <f t="shared" si="2"/>
        <v>184.51499999999999</v>
      </c>
      <c r="T16" s="99">
        <f t="shared" si="2"/>
        <v>184.51499999999999</v>
      </c>
      <c r="U16" s="99">
        <f t="shared" si="2"/>
        <v>184.51499999999999</v>
      </c>
      <c r="V16" s="99">
        <f t="shared" si="2"/>
        <v>184.51499999999999</v>
      </c>
      <c r="W16" s="99">
        <f t="shared" si="2"/>
        <v>184.51499999999999</v>
      </c>
      <c r="X16" s="99">
        <f t="shared" si="2"/>
        <v>184.51499999999999</v>
      </c>
      <c r="Y16" s="99">
        <f t="shared" si="2"/>
        <v>184.51499999999999</v>
      </c>
      <c r="Z16" s="99">
        <f t="shared" si="2"/>
        <v>184.51499999999999</v>
      </c>
      <c r="AA16" s="99">
        <f t="shared" si="2"/>
        <v>184.51499999999999</v>
      </c>
      <c r="AB16" s="99">
        <f t="shared" si="2"/>
        <v>184.51499999999999</v>
      </c>
      <c r="AC16" s="99">
        <f t="shared" si="2"/>
        <v>184.51499999999999</v>
      </c>
      <c r="AD16" s="99">
        <f t="shared" si="2"/>
        <v>184.51499999999999</v>
      </c>
      <c r="AE16" s="99">
        <f t="shared" si="2"/>
        <v>184.51499999999999</v>
      </c>
      <c r="AF16" s="99">
        <f t="shared" si="2"/>
        <v>184.51499999999999</v>
      </c>
      <c r="AG16" s="99">
        <f t="shared" si="2"/>
        <v>184.51499999999999</v>
      </c>
      <c r="AH16" s="99">
        <f t="shared" si="2"/>
        <v>184.51499999999999</v>
      </c>
      <c r="AI16" s="99">
        <f t="shared" si="2"/>
        <v>184.51499999999999</v>
      </c>
      <c r="AJ16" s="100">
        <f t="shared" si="0"/>
        <v>5350.9350000000004</v>
      </c>
    </row>
    <row r="17" spans="2:38" x14ac:dyDescent="0.25">
      <c r="B17" s="77"/>
      <c r="C17" s="68" t="s">
        <v>153</v>
      </c>
      <c r="D17" s="69"/>
      <c r="E17" s="103"/>
      <c r="F17" s="69"/>
      <c r="AJ17" s="95"/>
    </row>
    <row r="18" spans="2:38" x14ac:dyDescent="0.25">
      <c r="B18" s="77" t="s">
        <v>154</v>
      </c>
      <c r="C18" s="78" t="s">
        <v>155</v>
      </c>
      <c r="D18" s="96" t="str">
        <f>VLOOKUP(B18,'Padrão Conserva'!$B$10:$G$66,3,FALSE)</f>
        <v>t/m²</v>
      </c>
      <c r="E18" s="97">
        <f>VLOOKUP(B18,'Padrão Conserva'!$B$10:$G$66,4,FALSE)</f>
        <v>4.4999999999999999E-4</v>
      </c>
      <c r="F18" s="98">
        <f>+$E18*F$11</f>
        <v>0</v>
      </c>
      <c r="G18" s="104">
        <f>+$E18*G$11</f>
        <v>3.6841874999999997</v>
      </c>
      <c r="H18" s="104">
        <f t="shared" ref="H18:AI18" si="3">+$E18*H$11</f>
        <v>3.6841874999999997</v>
      </c>
      <c r="I18" s="104">
        <f t="shared" si="3"/>
        <v>3.6841874999999997</v>
      </c>
      <c r="J18" s="104">
        <f t="shared" si="3"/>
        <v>3.7092877500000001</v>
      </c>
      <c r="K18" s="104">
        <f t="shared" si="3"/>
        <v>3.7092877500000001</v>
      </c>
      <c r="L18" s="104">
        <f t="shared" si="3"/>
        <v>4.3774250624999995</v>
      </c>
      <c r="M18" s="104">
        <f t="shared" si="3"/>
        <v>5.0759749687500006</v>
      </c>
      <c r="N18" s="104">
        <f t="shared" si="3"/>
        <v>5.6834393437500008</v>
      </c>
      <c r="O18" s="104">
        <f t="shared" si="3"/>
        <v>6.2028986249999996</v>
      </c>
      <c r="P18" s="104">
        <f t="shared" si="3"/>
        <v>6.2028986249999996</v>
      </c>
      <c r="Q18" s="104">
        <f t="shared" si="3"/>
        <v>6.2028986249999996</v>
      </c>
      <c r="R18" s="104">
        <f t="shared" si="3"/>
        <v>6.2028986249999996</v>
      </c>
      <c r="S18" s="104">
        <f t="shared" si="3"/>
        <v>6.2028986249999996</v>
      </c>
      <c r="T18" s="104">
        <f t="shared" si="3"/>
        <v>6.2028986249999996</v>
      </c>
      <c r="U18" s="104">
        <f t="shared" si="3"/>
        <v>6.2028986249999996</v>
      </c>
      <c r="V18" s="104">
        <f t="shared" si="3"/>
        <v>6.2028986249999996</v>
      </c>
      <c r="W18" s="104">
        <f t="shared" si="3"/>
        <v>6.2028986249999996</v>
      </c>
      <c r="X18" s="104">
        <f t="shared" si="3"/>
        <v>6.2028986249999996</v>
      </c>
      <c r="Y18" s="104">
        <f t="shared" si="3"/>
        <v>6.2393836649999992</v>
      </c>
      <c r="Z18" s="104">
        <f t="shared" si="3"/>
        <v>6.2393836649999992</v>
      </c>
      <c r="AA18" s="104">
        <f t="shared" si="3"/>
        <v>6.2393836649999992</v>
      </c>
      <c r="AB18" s="104">
        <f t="shared" si="3"/>
        <v>6.2393836649999992</v>
      </c>
      <c r="AC18" s="104">
        <f t="shared" si="3"/>
        <v>6.2393836649999992</v>
      </c>
      <c r="AD18" s="104">
        <f t="shared" si="3"/>
        <v>6.2393836649999992</v>
      </c>
      <c r="AE18" s="104">
        <f t="shared" si="3"/>
        <v>6.2393836649999992</v>
      </c>
      <c r="AF18" s="104">
        <f t="shared" si="3"/>
        <v>6.2393836649999992</v>
      </c>
      <c r="AG18" s="104">
        <f t="shared" si="3"/>
        <v>6.2393836649999992</v>
      </c>
      <c r="AH18" s="104">
        <f t="shared" si="3"/>
        <v>6.2393836649999992</v>
      </c>
      <c r="AI18" s="104">
        <f t="shared" si="3"/>
        <v>6.2393836649999992</v>
      </c>
      <c r="AJ18" s="100">
        <f>SUM(F18:AI18)</f>
        <v>164.27018394000001</v>
      </c>
    </row>
    <row r="19" spans="2:38" x14ac:dyDescent="0.25">
      <c r="B19" s="77" t="s">
        <v>157</v>
      </c>
      <c r="C19" s="78" t="s">
        <v>158</v>
      </c>
      <c r="D19" s="96" t="str">
        <f>VLOOKUP(B19,'Padrão Conserva'!$B$10:$G$66,3,FALSE)</f>
        <v>t/m³</v>
      </c>
      <c r="E19" s="97">
        <f>VLOOKUP(B19,'Padrão Conserva'!$B$10:$G$66,4,FALSE)</f>
        <v>5.6599999999999998E-2</v>
      </c>
      <c r="F19" s="98">
        <f>+$E19*F$9</f>
        <v>0</v>
      </c>
      <c r="G19" s="104">
        <f>+$E19*G$9</f>
        <v>6.619841666666666</v>
      </c>
      <c r="H19" s="104">
        <f t="shared" ref="H19:AI19" si="4">+$E19*H$9</f>
        <v>6.619841666666666</v>
      </c>
      <c r="I19" s="104">
        <f t="shared" si="4"/>
        <v>6.619841666666666</v>
      </c>
      <c r="J19" s="104">
        <f t="shared" si="4"/>
        <v>6.6649424333333327</v>
      </c>
      <c r="K19" s="104">
        <f t="shared" si="4"/>
        <v>6.6649424333333327</v>
      </c>
      <c r="L19" s="104">
        <f t="shared" si="4"/>
        <v>7.8654685250000007</v>
      </c>
      <c r="M19" s="104">
        <f t="shared" si="4"/>
        <v>9.1206407375000005</v>
      </c>
      <c r="N19" s="104">
        <f t="shared" si="4"/>
        <v>10.212148154166666</v>
      </c>
      <c r="O19" s="104">
        <f t="shared" si="4"/>
        <v>11.145525783333333</v>
      </c>
      <c r="P19" s="104">
        <f t="shared" si="4"/>
        <v>11.145525783333333</v>
      </c>
      <c r="Q19" s="104">
        <f t="shared" si="4"/>
        <v>11.145525783333333</v>
      </c>
      <c r="R19" s="104">
        <f t="shared" si="4"/>
        <v>11.145525783333333</v>
      </c>
      <c r="S19" s="104">
        <f t="shared" si="4"/>
        <v>11.145525783333333</v>
      </c>
      <c r="T19" s="104">
        <f t="shared" si="4"/>
        <v>11.145525783333333</v>
      </c>
      <c r="U19" s="104">
        <f t="shared" si="4"/>
        <v>11.145525783333333</v>
      </c>
      <c r="V19" s="104">
        <f t="shared" si="4"/>
        <v>11.145525783333333</v>
      </c>
      <c r="W19" s="104">
        <f t="shared" si="4"/>
        <v>11.145525783333333</v>
      </c>
      <c r="X19" s="104">
        <f t="shared" si="4"/>
        <v>11.145525783333333</v>
      </c>
      <c r="Y19" s="104">
        <f t="shared" si="4"/>
        <v>11.211083029809522</v>
      </c>
      <c r="Z19" s="104">
        <f t="shared" si="4"/>
        <v>11.211083029809522</v>
      </c>
      <c r="AA19" s="104">
        <f t="shared" si="4"/>
        <v>11.211083029809522</v>
      </c>
      <c r="AB19" s="104">
        <f t="shared" si="4"/>
        <v>11.211083029809522</v>
      </c>
      <c r="AC19" s="104">
        <f t="shared" si="4"/>
        <v>11.211083029809522</v>
      </c>
      <c r="AD19" s="104">
        <f t="shared" si="4"/>
        <v>11.211083029809522</v>
      </c>
      <c r="AE19" s="104">
        <f t="shared" si="4"/>
        <v>11.211083029809522</v>
      </c>
      <c r="AF19" s="104">
        <f t="shared" si="4"/>
        <v>11.211083029809522</v>
      </c>
      <c r="AG19" s="104">
        <f t="shared" si="4"/>
        <v>11.211083029809522</v>
      </c>
      <c r="AH19" s="104">
        <f t="shared" si="4"/>
        <v>11.211083029809522</v>
      </c>
      <c r="AI19" s="104">
        <f t="shared" si="4"/>
        <v>11.211083029809522</v>
      </c>
      <c r="AJ19" s="100">
        <f>SUM(F19:AI19)</f>
        <v>295.16483844457139</v>
      </c>
    </row>
    <row r="20" spans="2:38" x14ac:dyDescent="0.25">
      <c r="B20" s="77" t="s">
        <v>157</v>
      </c>
      <c r="C20" s="78" t="s">
        <v>160</v>
      </c>
      <c r="D20" s="96" t="str">
        <f>VLOOKUP(B20,'Padrão Conserva'!$B$10:$G$66,3,FALSE)</f>
        <v>t/m³</v>
      </c>
      <c r="E20" s="97">
        <f>VLOOKUP(B20,'Padrão Conserva'!$B$10:$G$66,4,FALSE)</f>
        <v>5.6599999999999998E-2</v>
      </c>
      <c r="F20" s="98">
        <f>+$E20*F$12</f>
        <v>0</v>
      </c>
      <c r="G20" s="104">
        <f>+$E20*G$12*2.45</f>
        <v>81.741804900000005</v>
      </c>
      <c r="H20" s="104">
        <f t="shared" ref="H20:AI21" si="5">+$E20*H$12*2.45</f>
        <v>81.741804900000005</v>
      </c>
      <c r="I20" s="104">
        <f t="shared" si="5"/>
        <v>81.741804900000005</v>
      </c>
      <c r="J20" s="104">
        <f t="shared" si="5"/>
        <v>82.298709166799995</v>
      </c>
      <c r="K20" s="104">
        <f t="shared" si="5"/>
        <v>82.298709166799995</v>
      </c>
      <c r="L20" s="104">
        <f t="shared" si="5"/>
        <v>97.122805346700005</v>
      </c>
      <c r="M20" s="104">
        <f t="shared" si="5"/>
        <v>112.62167182665002</v>
      </c>
      <c r="N20" s="104">
        <f t="shared" si="5"/>
        <v>126.09960540765002</v>
      </c>
      <c r="O20" s="104">
        <f t="shared" si="5"/>
        <v>137.62495237260001</v>
      </c>
      <c r="P20" s="104">
        <f t="shared" si="5"/>
        <v>137.62495237260001</v>
      </c>
      <c r="Q20" s="104">
        <f t="shared" si="5"/>
        <v>137.62495237260001</v>
      </c>
      <c r="R20" s="104">
        <f t="shared" si="5"/>
        <v>137.62495237260001</v>
      </c>
      <c r="S20" s="104">
        <f t="shared" si="5"/>
        <v>137.62495237260001</v>
      </c>
      <c r="T20" s="104">
        <f t="shared" si="5"/>
        <v>137.62495237260001</v>
      </c>
      <c r="U20" s="104">
        <f t="shared" si="5"/>
        <v>137.62495237260001</v>
      </c>
      <c r="V20" s="104">
        <f t="shared" si="5"/>
        <v>137.62495237260001</v>
      </c>
      <c r="W20" s="104">
        <f t="shared" si="5"/>
        <v>137.62495237260001</v>
      </c>
      <c r="X20" s="104">
        <f t="shared" si="5"/>
        <v>137.62495237260001</v>
      </c>
      <c r="Y20" s="104">
        <f t="shared" si="5"/>
        <v>138.43445325208799</v>
      </c>
      <c r="Z20" s="104">
        <f t="shared" si="5"/>
        <v>138.43445325208799</v>
      </c>
      <c r="AA20" s="104">
        <f t="shared" si="5"/>
        <v>138.43445325208799</v>
      </c>
      <c r="AB20" s="104">
        <f t="shared" si="5"/>
        <v>138.43445325208799</v>
      </c>
      <c r="AC20" s="104">
        <f t="shared" si="5"/>
        <v>138.43445325208799</v>
      </c>
      <c r="AD20" s="104">
        <f t="shared" si="5"/>
        <v>138.43445325208799</v>
      </c>
      <c r="AE20" s="104">
        <f t="shared" si="5"/>
        <v>138.43445325208799</v>
      </c>
      <c r="AF20" s="104">
        <f t="shared" si="5"/>
        <v>138.43445325208799</v>
      </c>
      <c r="AG20" s="104">
        <f t="shared" si="5"/>
        <v>138.43445325208799</v>
      </c>
      <c r="AH20" s="104">
        <f t="shared" si="5"/>
        <v>138.43445325208799</v>
      </c>
      <c r="AI20" s="104">
        <f t="shared" si="5"/>
        <v>138.43445325208799</v>
      </c>
      <c r="AJ20" s="100">
        <f>SUM(F20:AI20)</f>
        <v>3644.6954251135699</v>
      </c>
    </row>
    <row r="21" spans="2:38" x14ac:dyDescent="0.25">
      <c r="B21" s="77" t="s">
        <v>161</v>
      </c>
      <c r="C21" s="78" t="s">
        <v>162</v>
      </c>
      <c r="D21" s="96" t="str">
        <f>VLOOKUP(B21,'Padrão Conserva'!$B$10:$G$66,3,FALSE)</f>
        <v>l/m³</v>
      </c>
      <c r="E21" s="97">
        <f>VLOOKUP(B21,'Padrão Conserva'!$B$10:$G$66,4,FALSE)</f>
        <v>8.16</v>
      </c>
      <c r="F21" s="98">
        <f>+$E21*F$12</f>
        <v>0</v>
      </c>
      <c r="G21" s="104">
        <f>+$E21*G$12*2.45</f>
        <v>11784.684240000001</v>
      </c>
      <c r="H21" s="104">
        <f t="shared" si="5"/>
        <v>11784.684240000001</v>
      </c>
      <c r="I21" s="104">
        <f t="shared" si="5"/>
        <v>11784.684240000001</v>
      </c>
      <c r="J21" s="104">
        <f t="shared" si="5"/>
        <v>11864.972911680001</v>
      </c>
      <c r="K21" s="104">
        <f t="shared" si="5"/>
        <v>11864.972911680001</v>
      </c>
      <c r="L21" s="104">
        <f t="shared" si="5"/>
        <v>14002.157095920002</v>
      </c>
      <c r="M21" s="104">
        <f t="shared" si="5"/>
        <v>16236.622652040003</v>
      </c>
      <c r="N21" s="104">
        <f t="shared" si="5"/>
        <v>18179.731097640004</v>
      </c>
      <c r="O21" s="104">
        <f t="shared" si="5"/>
        <v>19841.335889760005</v>
      </c>
      <c r="P21" s="104">
        <f t="shared" si="5"/>
        <v>19841.335889760005</v>
      </c>
      <c r="Q21" s="104">
        <f t="shared" si="5"/>
        <v>19841.335889760005</v>
      </c>
      <c r="R21" s="104">
        <f t="shared" si="5"/>
        <v>19841.335889760005</v>
      </c>
      <c r="S21" s="104">
        <f t="shared" si="5"/>
        <v>19841.335889760005</v>
      </c>
      <c r="T21" s="104">
        <f t="shared" si="5"/>
        <v>19841.335889760005</v>
      </c>
      <c r="U21" s="104">
        <f t="shared" si="5"/>
        <v>19841.335889760005</v>
      </c>
      <c r="V21" s="104">
        <f t="shared" si="5"/>
        <v>19841.335889760005</v>
      </c>
      <c r="W21" s="104">
        <f t="shared" si="5"/>
        <v>19841.335889760005</v>
      </c>
      <c r="X21" s="104">
        <f t="shared" si="5"/>
        <v>19841.335889760005</v>
      </c>
      <c r="Y21" s="104">
        <f t="shared" si="5"/>
        <v>19958.041316908799</v>
      </c>
      <c r="Z21" s="104">
        <f t="shared" si="5"/>
        <v>19958.041316908799</v>
      </c>
      <c r="AA21" s="104">
        <f t="shared" si="5"/>
        <v>19958.041316908799</v>
      </c>
      <c r="AB21" s="104">
        <f t="shared" si="5"/>
        <v>19958.041316908799</v>
      </c>
      <c r="AC21" s="104">
        <f t="shared" si="5"/>
        <v>19958.041316908799</v>
      </c>
      <c r="AD21" s="104">
        <f t="shared" si="5"/>
        <v>19958.041316908799</v>
      </c>
      <c r="AE21" s="104">
        <f t="shared" si="5"/>
        <v>19958.041316908799</v>
      </c>
      <c r="AF21" s="104">
        <f t="shared" si="5"/>
        <v>19958.041316908799</v>
      </c>
      <c r="AG21" s="104">
        <f t="shared" si="5"/>
        <v>19958.041316908799</v>
      </c>
      <c r="AH21" s="104">
        <f t="shared" si="5"/>
        <v>19958.041316908799</v>
      </c>
      <c r="AI21" s="104">
        <f t="shared" si="5"/>
        <v>19958.041316908799</v>
      </c>
      <c r="AJ21" s="100">
        <f>SUM(F21:AI21)</f>
        <v>525454.32277255668</v>
      </c>
    </row>
    <row r="22" spans="2:38" x14ac:dyDescent="0.25">
      <c r="B22" s="61"/>
      <c r="C22" s="66" t="s">
        <v>164</v>
      </c>
      <c r="D22" s="61"/>
      <c r="E22" s="92"/>
      <c r="F22" s="105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7"/>
    </row>
    <row r="23" spans="2:38" x14ac:dyDescent="0.25">
      <c r="B23" s="77"/>
      <c r="C23" s="68" t="s">
        <v>165</v>
      </c>
      <c r="D23" s="77"/>
      <c r="E23" s="84"/>
      <c r="F23" s="94"/>
      <c r="AJ23" s="95"/>
    </row>
    <row r="24" spans="2:38" x14ac:dyDescent="0.25">
      <c r="B24" s="77">
        <v>5214011</v>
      </c>
      <c r="C24" s="78" t="s">
        <v>166</v>
      </c>
      <c r="D24" s="96" t="str">
        <f>VLOOKUP(B24,'Padrão Conserva'!$B$10:$G$66,3,FALSE)</f>
        <v>m²/km eq.</v>
      </c>
      <c r="E24" s="97">
        <f>VLOOKUP(B24,'Padrão Conserva'!$B$10:$G$66,4,FALSE)</f>
        <v>19</v>
      </c>
      <c r="F24" s="98">
        <v>0</v>
      </c>
      <c r="G24" s="99">
        <f>$E24*'MS 112 Ext Equival'!E$302</f>
        <v>2222.208333333333</v>
      </c>
      <c r="H24" s="99">
        <f>$E24*'MS 112 Ext Equival'!F$302</f>
        <v>2222.208333333333</v>
      </c>
      <c r="I24" s="99">
        <f>$E24*'MS 112 Ext Equival'!G$302</f>
        <v>2222.208333333333</v>
      </c>
      <c r="J24" s="99">
        <f>$E24*'MS 112 Ext Equival'!H$302</f>
        <v>2237.3481666666667</v>
      </c>
      <c r="K24" s="99">
        <f>$E24*'MS 112 Ext Equival'!I$302</f>
        <v>2237.3481666666667</v>
      </c>
      <c r="L24" s="99">
        <f>$E24*'MS 112 Ext Equival'!J$302</f>
        <v>2640.3516250000002</v>
      </c>
      <c r="M24" s="99">
        <f>$E24*'MS 112 Ext Equival'!K$302</f>
        <v>3061.6991875000003</v>
      </c>
      <c r="N24" s="99">
        <f>$E24*'MS 112 Ext Equival'!L$302</f>
        <v>3428.1062708333334</v>
      </c>
      <c r="O24" s="99">
        <f>$E24*'MS 112 Ext Equival'!M$302</f>
        <v>3741.4309166666667</v>
      </c>
      <c r="P24" s="99">
        <f>$E24*'MS 112 Ext Equival'!N$302</f>
        <v>3741.4309166666667</v>
      </c>
      <c r="Q24" s="99">
        <f>$E24*'MS 112 Ext Equival'!O$302</f>
        <v>3741.4309166666667</v>
      </c>
      <c r="R24" s="99">
        <f>$E24*'MS 112 Ext Equival'!P$302</f>
        <v>3741.4309166666667</v>
      </c>
      <c r="S24" s="99">
        <f>$E24*'MS 112 Ext Equival'!Q$302</f>
        <v>3741.4309166666667</v>
      </c>
      <c r="T24" s="99">
        <f>$E24*'MS 112 Ext Equival'!R$302</f>
        <v>3741.4309166666667</v>
      </c>
      <c r="U24" s="99">
        <f>$E24*'MS 112 Ext Equival'!S$302</f>
        <v>3741.4309166666667</v>
      </c>
      <c r="V24" s="99">
        <f>$E24*'MS 112 Ext Equival'!T$302</f>
        <v>3741.4309166666667</v>
      </c>
      <c r="W24" s="99">
        <f>$E24*'MS 112 Ext Equival'!U$302</f>
        <v>3741.4309166666667</v>
      </c>
      <c r="X24" s="99">
        <f>$E24*'MS 112 Ext Equival'!V$302</f>
        <v>3741.4309166666667</v>
      </c>
      <c r="Y24" s="99">
        <f>$E24*'MS 112 Ext Equival'!W$302</f>
        <v>3763.4377661904759</v>
      </c>
      <c r="Z24" s="99">
        <f>$E24*'MS 112 Ext Equival'!X$302</f>
        <v>3763.4377661904759</v>
      </c>
      <c r="AA24" s="99">
        <f>$E24*'MS 112 Ext Equival'!Y$302</f>
        <v>3763.4377661904759</v>
      </c>
      <c r="AB24" s="99">
        <f>$E24*'MS 112 Ext Equival'!Z$302</f>
        <v>3763.4377661904759</v>
      </c>
      <c r="AC24" s="99">
        <f>$E24*'MS 112 Ext Equival'!AA$302</f>
        <v>3763.4377661904759</v>
      </c>
      <c r="AD24" s="99">
        <f>$E24*'MS 112 Ext Equival'!AB$302</f>
        <v>3763.4377661904759</v>
      </c>
      <c r="AE24" s="99">
        <f>$E24*'MS 112 Ext Equival'!AC$302</f>
        <v>3763.4377661904759</v>
      </c>
      <c r="AF24" s="99">
        <f>$E24*'MS 112 Ext Equival'!AD$302</f>
        <v>3763.4377661904759</v>
      </c>
      <c r="AG24" s="99">
        <f>$E24*'MS 112 Ext Equival'!AE$302</f>
        <v>3763.4377661904759</v>
      </c>
      <c r="AH24" s="99">
        <f>$E24*'MS 112 Ext Equival'!AF$302</f>
        <v>3763.4377661904759</v>
      </c>
      <c r="AI24" s="99">
        <f>$E24*'MS 112 Ext Equival'!AG$302</f>
        <v>3763.4377661904759</v>
      </c>
      <c r="AJ24" s="100">
        <f>SUM(F24:AI24)</f>
        <v>99083.603011428524</v>
      </c>
    </row>
    <row r="25" spans="2:38" x14ac:dyDescent="0.25">
      <c r="B25" s="77">
        <v>5213360</v>
      </c>
      <c r="C25" s="78" t="s">
        <v>167</v>
      </c>
      <c r="D25" s="96" t="str">
        <f>VLOOKUP(B25,'Padrão Conserva'!$B$10:$G$66,3,FALSE)</f>
        <v>ud/km eq.</v>
      </c>
      <c r="E25" s="97">
        <f>VLOOKUP(B25,'Padrão Conserva'!$B$10:$G$66,4,FALSE)</f>
        <v>12.5</v>
      </c>
      <c r="F25" s="98">
        <v>0</v>
      </c>
      <c r="G25" s="99">
        <f>$E25*'MS 112 Ext Equival'!E$302</f>
        <v>1461.9791666666665</v>
      </c>
      <c r="H25" s="99">
        <f>$E25*'MS 112 Ext Equival'!F$302</f>
        <v>1461.9791666666665</v>
      </c>
      <c r="I25" s="99">
        <f>$E25*'MS 112 Ext Equival'!G$302</f>
        <v>1461.9791666666665</v>
      </c>
      <c r="J25" s="99">
        <f>$E25*'MS 112 Ext Equival'!H$302</f>
        <v>1471.9395833333333</v>
      </c>
      <c r="K25" s="99">
        <f>$E25*'MS 112 Ext Equival'!I$302</f>
        <v>1471.9395833333333</v>
      </c>
      <c r="L25" s="99">
        <f>$E25*'MS 112 Ext Equival'!J$302</f>
        <v>1737.0734375000002</v>
      </c>
      <c r="M25" s="99">
        <f>$E25*'MS 112 Ext Equival'!K$302</f>
        <v>2014.2757812500001</v>
      </c>
      <c r="N25" s="99">
        <f>$E25*'MS 112 Ext Equival'!L$302</f>
        <v>2255.3330729166669</v>
      </c>
      <c r="O25" s="99">
        <f>$E25*'MS 112 Ext Equival'!M$302</f>
        <v>2461.4677083333336</v>
      </c>
      <c r="P25" s="99">
        <f>$E25*'MS 112 Ext Equival'!N$302</f>
        <v>2461.4677083333336</v>
      </c>
      <c r="Q25" s="99">
        <f>$E25*'MS 112 Ext Equival'!O$302</f>
        <v>2461.4677083333336</v>
      </c>
      <c r="R25" s="99">
        <f>$E25*'MS 112 Ext Equival'!P$302</f>
        <v>2461.4677083333336</v>
      </c>
      <c r="S25" s="99">
        <f>$E25*'MS 112 Ext Equival'!Q$302</f>
        <v>2461.4677083333336</v>
      </c>
      <c r="T25" s="99">
        <f>$E25*'MS 112 Ext Equival'!R$302</f>
        <v>2461.4677083333336</v>
      </c>
      <c r="U25" s="99">
        <f>$E25*'MS 112 Ext Equival'!S$302</f>
        <v>2461.4677083333336</v>
      </c>
      <c r="V25" s="99">
        <f>$E25*'MS 112 Ext Equival'!T$302</f>
        <v>2461.4677083333336</v>
      </c>
      <c r="W25" s="99">
        <f>$E25*'MS 112 Ext Equival'!U$302</f>
        <v>2461.4677083333336</v>
      </c>
      <c r="X25" s="99">
        <f>$E25*'MS 112 Ext Equival'!V$302</f>
        <v>2461.4677083333336</v>
      </c>
      <c r="Y25" s="99">
        <f>$E25*'MS 112 Ext Equival'!W$302</f>
        <v>2475.9458988095234</v>
      </c>
      <c r="Z25" s="99">
        <f>$E25*'MS 112 Ext Equival'!X$302</f>
        <v>2475.9458988095234</v>
      </c>
      <c r="AA25" s="99">
        <f>$E25*'MS 112 Ext Equival'!Y$302</f>
        <v>2475.9458988095234</v>
      </c>
      <c r="AB25" s="99">
        <f>$E25*'MS 112 Ext Equival'!Z$302</f>
        <v>2475.9458988095234</v>
      </c>
      <c r="AC25" s="99">
        <f>$E25*'MS 112 Ext Equival'!AA$302</f>
        <v>2475.9458988095234</v>
      </c>
      <c r="AD25" s="99">
        <f>$E25*'MS 112 Ext Equival'!AB$302</f>
        <v>2475.9458988095234</v>
      </c>
      <c r="AE25" s="99">
        <f>$E25*'MS 112 Ext Equival'!AC$302</f>
        <v>2475.9458988095234</v>
      </c>
      <c r="AF25" s="99">
        <f>$E25*'MS 112 Ext Equival'!AD$302</f>
        <v>2475.9458988095234</v>
      </c>
      <c r="AG25" s="99">
        <f>$E25*'MS 112 Ext Equival'!AE$302</f>
        <v>2475.9458988095234</v>
      </c>
      <c r="AH25" s="99">
        <f>$E25*'MS 112 Ext Equival'!AF$302</f>
        <v>2475.9458988095234</v>
      </c>
      <c r="AI25" s="99">
        <f>$E25*'MS 112 Ext Equival'!AG$302</f>
        <v>2475.9458988095234</v>
      </c>
      <c r="AJ25" s="100">
        <f>SUM(F25:AI25)</f>
        <v>65186.580928571399</v>
      </c>
    </row>
    <row r="26" spans="2:38" x14ac:dyDescent="0.25">
      <c r="B26" s="77">
        <v>5213477</v>
      </c>
      <c r="C26" s="78" t="s">
        <v>169</v>
      </c>
      <c r="D26" s="96" t="str">
        <f>VLOOKUP(B26,'Padrão Conserva'!$B$10:$G$66,3,FALSE)</f>
        <v>ud/km eq.</v>
      </c>
      <c r="E26" s="97">
        <f>VLOOKUP(B26,'Padrão Conserva'!$B$10:$G$66,4,FALSE)</f>
        <v>1</v>
      </c>
      <c r="F26" s="98">
        <v>0</v>
      </c>
      <c r="G26" s="99">
        <f>$E26*'MS 112 Ext Equival'!E$302</f>
        <v>116.95833333333333</v>
      </c>
      <c r="H26" s="99">
        <f>$E26*'MS 112 Ext Equival'!F$302</f>
        <v>116.95833333333333</v>
      </c>
      <c r="I26" s="99">
        <f>$E26*'MS 112 Ext Equival'!G$302</f>
        <v>116.95833333333333</v>
      </c>
      <c r="J26" s="99">
        <f>$E26*'MS 112 Ext Equival'!H$302</f>
        <v>117.75516666666667</v>
      </c>
      <c r="K26" s="99">
        <f>$E26*'MS 112 Ext Equival'!I$302</f>
        <v>117.75516666666667</v>
      </c>
      <c r="L26" s="99">
        <f>$E26*'MS 112 Ext Equival'!J$302</f>
        <v>138.96587500000001</v>
      </c>
      <c r="M26" s="99">
        <f>$E26*'MS 112 Ext Equival'!K$302</f>
        <v>161.14206250000001</v>
      </c>
      <c r="N26" s="99">
        <f>$E26*'MS 112 Ext Equival'!L$302</f>
        <v>180.42664583333334</v>
      </c>
      <c r="O26" s="99">
        <f>$E26*'MS 112 Ext Equival'!M$302</f>
        <v>196.91741666666667</v>
      </c>
      <c r="P26" s="99">
        <f>$E26*'MS 112 Ext Equival'!N$302</f>
        <v>196.91741666666667</v>
      </c>
      <c r="Q26" s="99">
        <f>$E26*'MS 112 Ext Equival'!O$302</f>
        <v>196.91741666666667</v>
      </c>
      <c r="R26" s="99">
        <f>$E26*'MS 112 Ext Equival'!P$302</f>
        <v>196.91741666666667</v>
      </c>
      <c r="S26" s="99">
        <f>$E26*'MS 112 Ext Equival'!Q$302</f>
        <v>196.91741666666667</v>
      </c>
      <c r="T26" s="99">
        <f>$E26*'MS 112 Ext Equival'!R$302</f>
        <v>196.91741666666667</v>
      </c>
      <c r="U26" s="99">
        <f>$E26*'MS 112 Ext Equival'!S$302</f>
        <v>196.91741666666667</v>
      </c>
      <c r="V26" s="99">
        <f>$E26*'MS 112 Ext Equival'!T$302</f>
        <v>196.91741666666667</v>
      </c>
      <c r="W26" s="99">
        <f>$E26*'MS 112 Ext Equival'!U$302</f>
        <v>196.91741666666667</v>
      </c>
      <c r="X26" s="99">
        <f>$E26*'MS 112 Ext Equival'!V$302</f>
        <v>196.91741666666667</v>
      </c>
      <c r="Y26" s="99">
        <f>$E26*'MS 112 Ext Equival'!W$302</f>
        <v>198.07567190476189</v>
      </c>
      <c r="Z26" s="99">
        <f>$E26*'MS 112 Ext Equival'!X$302</f>
        <v>198.07567190476189</v>
      </c>
      <c r="AA26" s="99">
        <f>$E26*'MS 112 Ext Equival'!Y$302</f>
        <v>198.07567190476189</v>
      </c>
      <c r="AB26" s="99">
        <f>$E26*'MS 112 Ext Equival'!Z$302</f>
        <v>198.07567190476189</v>
      </c>
      <c r="AC26" s="99">
        <f>$E26*'MS 112 Ext Equival'!AA$302</f>
        <v>198.07567190476189</v>
      </c>
      <c r="AD26" s="99">
        <f>$E26*'MS 112 Ext Equival'!AB$302</f>
        <v>198.07567190476189</v>
      </c>
      <c r="AE26" s="99">
        <f>$E26*'MS 112 Ext Equival'!AC$302</f>
        <v>198.07567190476189</v>
      </c>
      <c r="AF26" s="99">
        <f>$E26*'MS 112 Ext Equival'!AD$302</f>
        <v>198.07567190476189</v>
      </c>
      <c r="AG26" s="99">
        <f>$E26*'MS 112 Ext Equival'!AE$302</f>
        <v>198.07567190476189</v>
      </c>
      <c r="AH26" s="99">
        <f>$E26*'MS 112 Ext Equival'!AF$302</f>
        <v>198.07567190476189</v>
      </c>
      <c r="AI26" s="99">
        <f>$E26*'MS 112 Ext Equival'!AG$302</f>
        <v>198.07567190476189</v>
      </c>
      <c r="AJ26" s="100">
        <f>SUM(F26:AI26)</f>
        <v>5214.9264742857149</v>
      </c>
      <c r="AL26" s="108"/>
    </row>
    <row r="27" spans="2:38" x14ac:dyDescent="0.25">
      <c r="B27" s="77">
        <v>4915718</v>
      </c>
      <c r="C27" s="78" t="s">
        <v>170</v>
      </c>
      <c r="D27" s="96" t="str">
        <f>VLOOKUP(B27,'Padrão Conserva'!$B$10:$G$66,3,FALSE)</f>
        <v>ud/km eq.</v>
      </c>
      <c r="E27" s="97">
        <f>VLOOKUP(B27,'Padrão Conserva'!$B$10:$G$66,4,FALSE)</f>
        <v>2.2000000000000002</v>
      </c>
      <c r="F27" s="98">
        <v>0</v>
      </c>
      <c r="G27" s="99">
        <f>$E27*'MS 112 Ext Equival'!E302</f>
        <v>257.30833333333334</v>
      </c>
      <c r="H27" s="99">
        <f>$E27*'MS 112 Ext Equival'!F302</f>
        <v>257.30833333333334</v>
      </c>
      <c r="I27" s="99">
        <f>$E27*'MS 112 Ext Equival'!G302</f>
        <v>257.30833333333334</v>
      </c>
      <c r="J27" s="99">
        <f>$E27*'MS 112 Ext Equival'!H302</f>
        <v>259.06136666666669</v>
      </c>
      <c r="K27" s="99">
        <f>$E27*'MS 112 Ext Equival'!I302</f>
        <v>259.06136666666669</v>
      </c>
      <c r="L27" s="99">
        <f>$E27*'MS 112 Ext Equival'!J302</f>
        <v>305.72492500000004</v>
      </c>
      <c r="M27" s="99">
        <f>$E27*'MS 112 Ext Equival'!K302</f>
        <v>354.51253750000006</v>
      </c>
      <c r="N27" s="99">
        <f>$E27*'MS 112 Ext Equival'!L302</f>
        <v>396.9386208333334</v>
      </c>
      <c r="O27" s="99">
        <f>$E27*'MS 112 Ext Equival'!M302</f>
        <v>433.21831666666668</v>
      </c>
      <c r="P27" s="99">
        <f>$E27*'MS 112 Ext Equival'!N302</f>
        <v>433.21831666666668</v>
      </c>
      <c r="Q27" s="99">
        <f>$E27*'MS 112 Ext Equival'!O302</f>
        <v>433.21831666666668</v>
      </c>
      <c r="R27" s="99">
        <f>$E27*'MS 112 Ext Equival'!P302</f>
        <v>433.21831666666668</v>
      </c>
      <c r="S27" s="99">
        <f>$E27*'MS 112 Ext Equival'!Q302</f>
        <v>433.21831666666668</v>
      </c>
      <c r="T27" s="99">
        <f>$E27*'MS 112 Ext Equival'!R302</f>
        <v>433.21831666666668</v>
      </c>
      <c r="U27" s="99">
        <f>$E27*'MS 112 Ext Equival'!S302</f>
        <v>433.21831666666668</v>
      </c>
      <c r="V27" s="99">
        <f>$E27*'MS 112 Ext Equival'!T302</f>
        <v>433.21831666666668</v>
      </c>
      <c r="W27" s="99">
        <f>$E27*'MS 112 Ext Equival'!U302</f>
        <v>433.21831666666668</v>
      </c>
      <c r="X27" s="99">
        <f>$E27*'MS 112 Ext Equival'!V302</f>
        <v>433.21831666666668</v>
      </c>
      <c r="Y27" s="99">
        <f>$E27*'MS 112 Ext Equival'!W302</f>
        <v>435.76647819047622</v>
      </c>
      <c r="Z27" s="99">
        <f>$E27*'MS 112 Ext Equival'!X302</f>
        <v>435.76647819047622</v>
      </c>
      <c r="AA27" s="99">
        <f>$E27*'MS 112 Ext Equival'!Y302</f>
        <v>435.76647819047622</v>
      </c>
      <c r="AB27" s="99">
        <f>$E27*'MS 112 Ext Equival'!Z302</f>
        <v>435.76647819047622</v>
      </c>
      <c r="AC27" s="99">
        <f>$E27*'MS 112 Ext Equival'!AA302</f>
        <v>435.76647819047622</v>
      </c>
      <c r="AD27" s="99">
        <f>$E27*'MS 112 Ext Equival'!AB302</f>
        <v>435.76647819047622</v>
      </c>
      <c r="AE27" s="99">
        <f>$E27*'MS 112 Ext Equival'!AC302</f>
        <v>435.76647819047622</v>
      </c>
      <c r="AF27" s="99">
        <f>$E27*'MS 112 Ext Equival'!AD302</f>
        <v>435.76647819047622</v>
      </c>
      <c r="AG27" s="99">
        <f>$E27*'MS 112 Ext Equival'!AE302</f>
        <v>435.76647819047622</v>
      </c>
      <c r="AH27" s="99">
        <f>$E27*'MS 112 Ext Equival'!AF302</f>
        <v>435.76647819047622</v>
      </c>
      <c r="AI27" s="99">
        <f>$E27*'MS 112 Ext Equival'!AG302</f>
        <v>435.76647819047622</v>
      </c>
      <c r="AJ27" s="100">
        <f>SUM(F27:AI27)</f>
        <v>11472.838243428574</v>
      </c>
    </row>
    <row r="28" spans="2:38" x14ac:dyDescent="0.25">
      <c r="B28" s="77"/>
      <c r="C28" s="68" t="s">
        <v>171</v>
      </c>
      <c r="D28" s="77"/>
      <c r="E28" s="97"/>
      <c r="F28" s="94"/>
      <c r="AJ28" s="95"/>
    </row>
    <row r="29" spans="2:38" x14ac:dyDescent="0.25">
      <c r="B29" s="77">
        <v>5213440</v>
      </c>
      <c r="C29" s="78" t="s">
        <v>172</v>
      </c>
      <c r="D29" s="96" t="str">
        <f>VLOOKUP(B29,'Padrão Conserva'!$B$10:$G$66,3,FALSE)</f>
        <v>m²/km eq.</v>
      </c>
      <c r="E29" s="97">
        <f>VLOOKUP(B29,'Padrão Conserva'!$B$10:$G$66,4,FALSE)</f>
        <v>2</v>
      </c>
      <c r="F29" s="98">
        <v>0</v>
      </c>
      <c r="G29" s="99">
        <f>'MS 112 Ext Equival'!E$302*Quantidades!$E29</f>
        <v>233.91666666666666</v>
      </c>
      <c r="H29" s="99">
        <f>'MS 112 Ext Equival'!F$302*Quantidades!$E29</f>
        <v>233.91666666666666</v>
      </c>
      <c r="I29" s="99">
        <f>'MS 112 Ext Equival'!G$302*Quantidades!$E29</f>
        <v>233.91666666666666</v>
      </c>
      <c r="J29" s="99">
        <f>'MS 112 Ext Equival'!H$302*Quantidades!$E29</f>
        <v>235.51033333333334</v>
      </c>
      <c r="K29" s="99">
        <f>'MS 112 Ext Equival'!I$302*Quantidades!$E29</f>
        <v>235.51033333333334</v>
      </c>
      <c r="L29" s="99">
        <f>'MS 112 Ext Equival'!J$302*Quantidades!$E29</f>
        <v>277.93175000000002</v>
      </c>
      <c r="M29" s="99">
        <f>'MS 112 Ext Equival'!K$302*Quantidades!$E29</f>
        <v>322.28412500000002</v>
      </c>
      <c r="N29" s="99">
        <f>'MS 112 Ext Equival'!L$302*Quantidades!$E29</f>
        <v>360.85329166666668</v>
      </c>
      <c r="O29" s="99">
        <f>'MS 112 Ext Equival'!M$302*Quantidades!$E29</f>
        <v>393.83483333333334</v>
      </c>
      <c r="P29" s="99">
        <f>'MS 112 Ext Equival'!N$302*Quantidades!$E29</f>
        <v>393.83483333333334</v>
      </c>
      <c r="Q29" s="99">
        <f>'MS 112 Ext Equival'!O$302*Quantidades!$E29</f>
        <v>393.83483333333334</v>
      </c>
      <c r="R29" s="99">
        <f>'MS 112 Ext Equival'!P$302*Quantidades!$E29</f>
        <v>393.83483333333334</v>
      </c>
      <c r="S29" s="99">
        <f>'MS 112 Ext Equival'!Q$302*Quantidades!$E29</f>
        <v>393.83483333333334</v>
      </c>
      <c r="T29" s="99">
        <f>'MS 112 Ext Equival'!R$302*Quantidades!$E29</f>
        <v>393.83483333333334</v>
      </c>
      <c r="U29" s="99">
        <f>'MS 112 Ext Equival'!S$302*Quantidades!$E29</f>
        <v>393.83483333333334</v>
      </c>
      <c r="V29" s="99">
        <f>'MS 112 Ext Equival'!T$302*Quantidades!$E29</f>
        <v>393.83483333333334</v>
      </c>
      <c r="W29" s="99">
        <f>'MS 112 Ext Equival'!U$302*Quantidades!$E29</f>
        <v>393.83483333333334</v>
      </c>
      <c r="X29" s="99">
        <f>'MS 112 Ext Equival'!V$302*Quantidades!$E29</f>
        <v>393.83483333333334</v>
      </c>
      <c r="Y29" s="99">
        <f>'MS 112 Ext Equival'!W$302*Quantidades!$E29</f>
        <v>396.15134380952378</v>
      </c>
      <c r="Z29" s="99">
        <f>'MS 112 Ext Equival'!X$302*Quantidades!$E29</f>
        <v>396.15134380952378</v>
      </c>
      <c r="AA29" s="99">
        <f>'MS 112 Ext Equival'!Y$302*Quantidades!$E29</f>
        <v>396.15134380952378</v>
      </c>
      <c r="AB29" s="99">
        <f>'MS 112 Ext Equival'!Z$302*Quantidades!$E29</f>
        <v>396.15134380952378</v>
      </c>
      <c r="AC29" s="99">
        <f>'MS 112 Ext Equival'!AA$302*Quantidades!$E29</f>
        <v>396.15134380952378</v>
      </c>
      <c r="AD29" s="99">
        <f>'MS 112 Ext Equival'!AB$302*Quantidades!$E29</f>
        <v>396.15134380952378</v>
      </c>
      <c r="AE29" s="99">
        <f>'MS 112 Ext Equival'!AC$302*Quantidades!$E29</f>
        <v>396.15134380952378</v>
      </c>
      <c r="AF29" s="99">
        <f>'MS 112 Ext Equival'!AD$302*Quantidades!$E29</f>
        <v>396.15134380952378</v>
      </c>
      <c r="AG29" s="99">
        <f>'MS 112 Ext Equival'!AE$302*Quantidades!$E29</f>
        <v>396.15134380952378</v>
      </c>
      <c r="AH29" s="99">
        <f>'MS 112 Ext Equival'!AF$302*Quantidades!$E29</f>
        <v>396.15134380952378</v>
      </c>
      <c r="AI29" s="99">
        <f>'MS 112 Ext Equival'!AG$302*Quantidades!$E29</f>
        <v>396.15134380952378</v>
      </c>
      <c r="AJ29" s="100">
        <f>SUM(F29:AI29)</f>
        <v>10429.85294857143</v>
      </c>
      <c r="AK29" s="108"/>
      <c r="AL29" s="108"/>
    </row>
    <row r="30" spans="2:38" x14ac:dyDescent="0.25">
      <c r="B30" s="77">
        <v>4915718</v>
      </c>
      <c r="C30" s="78" t="s">
        <v>173</v>
      </c>
      <c r="D30" s="77" t="str">
        <f>'Padrão Conserva'!$D$31</f>
        <v>m²/km eq.</v>
      </c>
      <c r="E30" s="97">
        <f>VLOOKUP(B30,'Padrão Conserva'!$B$10:$G$66,4,FALSE)</f>
        <v>2.2000000000000002</v>
      </c>
      <c r="F30" s="98">
        <v>0</v>
      </c>
      <c r="G30" s="99">
        <f>'MS 112 Ext Equival'!E$302*Quantidades!$E30</f>
        <v>257.30833333333334</v>
      </c>
      <c r="H30" s="99">
        <f>'MS 112 Ext Equival'!F$302*Quantidades!$E30</f>
        <v>257.30833333333334</v>
      </c>
      <c r="I30" s="99">
        <f>'MS 112 Ext Equival'!G$302*Quantidades!$E30</f>
        <v>257.30833333333334</v>
      </c>
      <c r="J30" s="99">
        <f>'MS 112 Ext Equival'!H$302*Quantidades!$E30</f>
        <v>259.06136666666669</v>
      </c>
      <c r="K30" s="99">
        <f>'MS 112 Ext Equival'!I$302*Quantidades!$E30</f>
        <v>259.06136666666669</v>
      </c>
      <c r="L30" s="99">
        <f>'MS 112 Ext Equival'!J$302*Quantidades!$E30</f>
        <v>305.72492500000004</v>
      </c>
      <c r="M30" s="99">
        <f>'MS 112 Ext Equival'!K$302*Quantidades!$E30</f>
        <v>354.51253750000006</v>
      </c>
      <c r="N30" s="99">
        <f>'MS 112 Ext Equival'!L$302*Quantidades!$E30</f>
        <v>396.9386208333334</v>
      </c>
      <c r="O30" s="99">
        <f>'MS 112 Ext Equival'!M$302*Quantidades!$E30</f>
        <v>433.21831666666668</v>
      </c>
      <c r="P30" s="99">
        <f>'MS 112 Ext Equival'!N$302*Quantidades!$E30</f>
        <v>433.21831666666668</v>
      </c>
      <c r="Q30" s="99">
        <f>'MS 112 Ext Equival'!O$302*Quantidades!$E30</f>
        <v>433.21831666666668</v>
      </c>
      <c r="R30" s="99">
        <f>'MS 112 Ext Equival'!P$302*Quantidades!$E30</f>
        <v>433.21831666666668</v>
      </c>
      <c r="S30" s="99">
        <f>'MS 112 Ext Equival'!Q$302*Quantidades!$E30</f>
        <v>433.21831666666668</v>
      </c>
      <c r="T30" s="99">
        <f>'MS 112 Ext Equival'!R$302*Quantidades!$E30</f>
        <v>433.21831666666668</v>
      </c>
      <c r="U30" s="99">
        <f>'MS 112 Ext Equival'!S$302*Quantidades!$E30</f>
        <v>433.21831666666668</v>
      </c>
      <c r="V30" s="99">
        <f>'MS 112 Ext Equival'!T$302*Quantidades!$E30</f>
        <v>433.21831666666668</v>
      </c>
      <c r="W30" s="99">
        <f>'MS 112 Ext Equival'!U$302*Quantidades!$E30</f>
        <v>433.21831666666668</v>
      </c>
      <c r="X30" s="99">
        <f>'MS 112 Ext Equival'!V$302*Quantidades!$E30</f>
        <v>433.21831666666668</v>
      </c>
      <c r="Y30" s="99">
        <f>'MS 112 Ext Equival'!W$302*Quantidades!$E30</f>
        <v>435.76647819047622</v>
      </c>
      <c r="Z30" s="99">
        <f>'MS 112 Ext Equival'!X$302*Quantidades!$E30</f>
        <v>435.76647819047622</v>
      </c>
      <c r="AA30" s="99">
        <f>'MS 112 Ext Equival'!Y$302*Quantidades!$E30</f>
        <v>435.76647819047622</v>
      </c>
      <c r="AB30" s="99">
        <f>'MS 112 Ext Equival'!Z$302*Quantidades!$E30</f>
        <v>435.76647819047622</v>
      </c>
      <c r="AC30" s="99">
        <f>'MS 112 Ext Equival'!AA$302*Quantidades!$E30</f>
        <v>435.76647819047622</v>
      </c>
      <c r="AD30" s="99">
        <f>'MS 112 Ext Equival'!AB$302*Quantidades!$E30</f>
        <v>435.76647819047622</v>
      </c>
      <c r="AE30" s="99">
        <f>'MS 112 Ext Equival'!AC$302*Quantidades!$E30</f>
        <v>435.76647819047622</v>
      </c>
      <c r="AF30" s="99">
        <f>'MS 112 Ext Equival'!AD$302*Quantidades!$E30</f>
        <v>435.76647819047622</v>
      </c>
      <c r="AG30" s="99">
        <f>'MS 112 Ext Equival'!AE$302*Quantidades!$E30</f>
        <v>435.76647819047622</v>
      </c>
      <c r="AH30" s="99">
        <f>'MS 112 Ext Equival'!AF$302*Quantidades!$E30</f>
        <v>435.76647819047622</v>
      </c>
      <c r="AI30" s="99">
        <f>'MS 112 Ext Equival'!AG$302*Quantidades!$E30</f>
        <v>435.76647819047622</v>
      </c>
      <c r="AJ30" s="100">
        <f>SUM(F30:AI30)</f>
        <v>11472.838243428574</v>
      </c>
      <c r="AL30" s="108"/>
    </row>
    <row r="31" spans="2:38" x14ac:dyDescent="0.25">
      <c r="B31" s="77"/>
      <c r="C31" s="68" t="s">
        <v>174</v>
      </c>
      <c r="D31" s="77"/>
      <c r="E31" s="97"/>
      <c r="F31" s="94"/>
      <c r="AJ31" s="95"/>
    </row>
    <row r="32" spans="2:38" x14ac:dyDescent="0.25">
      <c r="B32" s="109">
        <v>4915721</v>
      </c>
      <c r="C32" s="110" t="s">
        <v>175</v>
      </c>
      <c r="D32" s="96" t="str">
        <f>VLOOKUP(B32,'Padrão Conserva'!$B$10:$G$66,3,FALSE)</f>
        <v>m/km</v>
      </c>
      <c r="E32" s="97">
        <f>VLOOKUP(B32,'Padrão Conserva'!$B$10:$G$66,4,FALSE)</f>
        <v>30</v>
      </c>
      <c r="F32" s="98">
        <v>0</v>
      </c>
      <c r="G32" s="102">
        <f>('Disp Segurança'!$C$25+(0.03*40)+$G$2*5%)*$E$32</f>
        <v>371.48999999999995</v>
      </c>
      <c r="H32" s="102">
        <f>('Disp Segurança'!$C$25+(0.03*40)+$G$2*5%)*$E$32</f>
        <v>371.48999999999995</v>
      </c>
      <c r="I32" s="102">
        <f>('Disp Segurança'!$C$25+(0.03*40)+$G$2*5%)*$E$32</f>
        <v>371.48999999999995</v>
      </c>
      <c r="J32" s="102">
        <f>('Disp Segurança'!$C$25+(0.03*40)+$G$2*5%)*$E$32</f>
        <v>371.48999999999995</v>
      </c>
      <c r="K32" s="102">
        <f>('Disp Segurança'!$C$25+(0.03*40)+$G$2*5%)*$E$32</f>
        <v>371.48999999999995</v>
      </c>
      <c r="L32" s="102">
        <f>('Disp Segurança'!$C$25+(0.03*40)+$G$2*5%)*$E$32</f>
        <v>371.48999999999995</v>
      </c>
      <c r="M32" s="102">
        <f>('Disp Segurança'!$C$25+(0.03*40)+$G$2*5%)*$E$32</f>
        <v>371.48999999999995</v>
      </c>
      <c r="N32" s="102">
        <f>('Disp Segurança'!$C$25+(0.03*40)+$G$2*5%)*$E$32</f>
        <v>371.48999999999995</v>
      </c>
      <c r="O32" s="102">
        <f>('Disp Segurança'!$C$25+(0.03*40)+$G$2*5%)*$E$32</f>
        <v>371.48999999999995</v>
      </c>
      <c r="P32" s="102">
        <f>('Disp Segurança'!$C$25+(0.03*40)+$G$2*5%)*$E$32</f>
        <v>371.48999999999995</v>
      </c>
      <c r="Q32" s="102">
        <f>('Disp Segurança'!$C$25+(0.03*40)+$G$2*5%)*$E$32</f>
        <v>371.48999999999995</v>
      </c>
      <c r="R32" s="102">
        <f>('Disp Segurança'!$C$25+(0.03*40)+$G$2*5%)*$E$32</f>
        <v>371.48999999999995</v>
      </c>
      <c r="S32" s="102">
        <f>('Disp Segurança'!$C$25+(0.03*40)+$G$2*5%)*$E$32</f>
        <v>371.48999999999995</v>
      </c>
      <c r="T32" s="102">
        <f>('Disp Segurança'!$C$25+(0.03*40)+$G$2*5%)*$E$32</f>
        <v>371.48999999999995</v>
      </c>
      <c r="U32" s="102">
        <f>('Disp Segurança'!$C$25+(0.03*40)+$G$2*5%)*$E$32</f>
        <v>371.48999999999995</v>
      </c>
      <c r="V32" s="102">
        <f>('Disp Segurança'!$C$25+(0.03*40)+$G$2*5%)*$E$32</f>
        <v>371.48999999999995</v>
      </c>
      <c r="W32" s="102">
        <f>('Disp Segurança'!$C$25+(0.03*40)+$G$2*5%)*$E$32</f>
        <v>371.48999999999995</v>
      </c>
      <c r="X32" s="102">
        <f>('Disp Segurança'!$C$25+(0.03*40)+$G$2*5%)*$E$32</f>
        <v>371.48999999999995</v>
      </c>
      <c r="Y32" s="102">
        <f>('Disp Segurança'!$C$25+(0.03*40)+$G$2*5%)*$E$32</f>
        <v>371.48999999999995</v>
      </c>
      <c r="Z32" s="102">
        <f>('Disp Segurança'!$C$25+(0.03*40)+$G$2*5%)*$E$32</f>
        <v>371.48999999999995</v>
      </c>
      <c r="AA32" s="102">
        <f>('Disp Segurança'!$C$25+(0.03*40)+$G$2*5%)*$E$32</f>
        <v>371.48999999999995</v>
      </c>
      <c r="AB32" s="102">
        <f>('Disp Segurança'!$C$25+(0.03*40)+$G$2*5%)*$E$32</f>
        <v>371.48999999999995</v>
      </c>
      <c r="AC32" s="102">
        <f>('Disp Segurança'!$C$25+(0.03*40)+$G$2*5%)*$E$32</f>
        <v>371.48999999999995</v>
      </c>
      <c r="AD32" s="102">
        <f>('Disp Segurança'!$C$25+(0.03*40)+$G$2*5%)*$E$32</f>
        <v>371.48999999999995</v>
      </c>
      <c r="AE32" s="102">
        <f>('Disp Segurança'!$C$25+(0.03*40)+$G$2*5%)*$E$32</f>
        <v>371.48999999999995</v>
      </c>
      <c r="AF32" s="102">
        <f>('Disp Segurança'!$C$25+(0.03*40)+$G$2*5%)*$E$32</f>
        <v>371.48999999999995</v>
      </c>
      <c r="AG32" s="102">
        <f>('Disp Segurança'!$C$25+(0.03*40)+$G$2*5%)*$E$32</f>
        <v>371.48999999999995</v>
      </c>
      <c r="AH32" s="102">
        <f>('Disp Segurança'!$C$25+(0.03*40)+$G$2*5%)*$E$32</f>
        <v>371.48999999999995</v>
      </c>
      <c r="AI32" s="102">
        <f>('Disp Segurança'!$C$25+(0.03*40)+$G$2*5%)*$E$32</f>
        <v>371.48999999999995</v>
      </c>
      <c r="AJ32" s="100">
        <f>SUM(F32:AI32)</f>
        <v>10773.209999999995</v>
      </c>
    </row>
    <row r="33" spans="2:37" x14ac:dyDescent="0.25">
      <c r="B33" s="109" t="s">
        <v>351</v>
      </c>
      <c r="C33" s="110" t="s">
        <v>177</v>
      </c>
      <c r="D33" s="96" t="str">
        <f>VLOOKUP(B33,'Padrão Conserva'!$B$10:$G$66,3,FALSE)</f>
        <v>m³/km</v>
      </c>
      <c r="E33" s="97">
        <f>VLOOKUP(B33,'Padrão Conserva'!$B$10:$G$66,4,FALSE)</f>
        <v>0.2</v>
      </c>
      <c r="F33" s="98">
        <v>0</v>
      </c>
      <c r="G33" s="102">
        <f>'Disp Segurança'!$E$25*$E33</f>
        <v>0</v>
      </c>
      <c r="H33" s="102">
        <f>'Disp Segurança'!$E$25*$E33</f>
        <v>0</v>
      </c>
      <c r="I33" s="102">
        <f>'Disp Segurança'!$E$25*$E33</f>
        <v>0</v>
      </c>
      <c r="J33" s="102">
        <f>'Disp Segurança'!$E$25*$E33</f>
        <v>0</v>
      </c>
      <c r="K33" s="102">
        <f>'Disp Segurança'!$E$25*$E33</f>
        <v>0</v>
      </c>
      <c r="L33" s="102">
        <f>'Disp Segurança'!$E$25*$E33</f>
        <v>0</v>
      </c>
      <c r="M33" s="102">
        <f>'Disp Segurança'!$E$25*$E33</f>
        <v>0</v>
      </c>
      <c r="N33" s="102">
        <f>'Disp Segurança'!$E$25*$E33</f>
        <v>0</v>
      </c>
      <c r="O33" s="102">
        <f>'Disp Segurança'!$E$25*$E33</f>
        <v>0</v>
      </c>
      <c r="P33" s="102">
        <f>'Disp Segurança'!$E$25*$E33</f>
        <v>0</v>
      </c>
      <c r="Q33" s="102">
        <f>'Disp Segurança'!$E$25*$E33</f>
        <v>0</v>
      </c>
      <c r="R33" s="102">
        <f>'Disp Segurança'!$E$25*$E33</f>
        <v>0</v>
      </c>
      <c r="S33" s="102">
        <f>'Disp Segurança'!$E$25*$E33</f>
        <v>0</v>
      </c>
      <c r="T33" s="102">
        <f>'Disp Segurança'!$E$25*$E33</f>
        <v>0</v>
      </c>
      <c r="U33" s="102">
        <f>'Disp Segurança'!$E$25*$E33</f>
        <v>0</v>
      </c>
      <c r="V33" s="102">
        <f>'Disp Segurança'!$E$25*$E33</f>
        <v>0</v>
      </c>
      <c r="W33" s="102">
        <f>'Disp Segurança'!$E$25*$E33</f>
        <v>0</v>
      </c>
      <c r="X33" s="102">
        <f>'Disp Segurança'!$E$25*$E33</f>
        <v>0</v>
      </c>
      <c r="Y33" s="102">
        <f>'Disp Segurança'!$E$25*$E33</f>
        <v>0</v>
      </c>
      <c r="Z33" s="102">
        <f>'Disp Segurança'!$E$25*$E33</f>
        <v>0</v>
      </c>
      <c r="AA33" s="102">
        <f>'Disp Segurança'!$E$25*$E33</f>
        <v>0</v>
      </c>
      <c r="AB33" s="102">
        <f>'Disp Segurança'!$E$25*$E33</f>
        <v>0</v>
      </c>
      <c r="AC33" s="102">
        <f>'Disp Segurança'!$E$25*$E33</f>
        <v>0</v>
      </c>
      <c r="AD33" s="102">
        <f>'Disp Segurança'!$E$25*$E33</f>
        <v>0</v>
      </c>
      <c r="AE33" s="102">
        <f>'Disp Segurança'!$E$25*$E33</f>
        <v>0</v>
      </c>
      <c r="AF33" s="102">
        <f>'Disp Segurança'!$E$25*$E33</f>
        <v>0</v>
      </c>
      <c r="AG33" s="102">
        <f>'Disp Segurança'!$E$25*$E33</f>
        <v>0</v>
      </c>
      <c r="AH33" s="102">
        <f>'Disp Segurança'!$E$25*$E33</f>
        <v>0</v>
      </c>
      <c r="AI33" s="102">
        <f>'Disp Segurança'!$E$25*$E33</f>
        <v>0</v>
      </c>
      <c r="AJ33" s="100">
        <f>SUM(F33:AI33)</f>
        <v>0</v>
      </c>
    </row>
    <row r="34" spans="2:37" x14ac:dyDescent="0.25">
      <c r="B34" s="109">
        <v>3713823</v>
      </c>
      <c r="C34" s="110" t="s">
        <v>179</v>
      </c>
      <c r="D34" s="96" t="str">
        <f>VLOOKUP(B34,'Padrão Conserva'!$B$10:$G$66,3,FALSE)</f>
        <v>m/km</v>
      </c>
      <c r="E34" s="97">
        <f>VLOOKUP(B34,'Padrão Conserva'!$B$10:$G$66,4,FALSE)</f>
        <v>15</v>
      </c>
      <c r="F34" s="111">
        <v>0</v>
      </c>
      <c r="G34" s="102">
        <f>'Disp Segurança'!$E$25/1000*$E34</f>
        <v>0</v>
      </c>
      <c r="H34" s="102">
        <f>'Disp Segurança'!$E$25/1000*$E34</f>
        <v>0</v>
      </c>
      <c r="I34" s="102">
        <f>'Disp Segurança'!$E$25/1000*$E34</f>
        <v>0</v>
      </c>
      <c r="J34" s="102">
        <f>'Disp Segurança'!$E$25/1000*$E34</f>
        <v>0</v>
      </c>
      <c r="K34" s="102">
        <f>'Disp Segurança'!$E$25/1000*$E34</f>
        <v>0</v>
      </c>
      <c r="L34" s="102">
        <f>'Disp Segurança'!$E$25/1000*$E34</f>
        <v>0</v>
      </c>
      <c r="M34" s="102">
        <f>'Disp Segurança'!$E$25/1000*$E34</f>
        <v>0</v>
      </c>
      <c r="N34" s="102">
        <f>'Disp Segurança'!$E$25/1000*$E34</f>
        <v>0</v>
      </c>
      <c r="O34" s="102">
        <f>'Disp Segurança'!$E$25/1000*$E34</f>
        <v>0</v>
      </c>
      <c r="P34" s="102">
        <f>'Disp Segurança'!$E$25/1000*$E34</f>
        <v>0</v>
      </c>
      <c r="Q34" s="102">
        <f>'Disp Segurança'!$E$25/1000*$E34</f>
        <v>0</v>
      </c>
      <c r="R34" s="102">
        <f>'Disp Segurança'!$E$25/1000*$E34</f>
        <v>0</v>
      </c>
      <c r="S34" s="102">
        <f>'Disp Segurança'!$E$25/1000*$E34</f>
        <v>0</v>
      </c>
      <c r="T34" s="102">
        <f>'Disp Segurança'!$E$25/1000*$E34</f>
        <v>0</v>
      </c>
      <c r="U34" s="102">
        <f>'Disp Segurança'!$E$25/1000*$E34</f>
        <v>0</v>
      </c>
      <c r="V34" s="102">
        <f>'Disp Segurança'!$E$25/1000*$E34</f>
        <v>0</v>
      </c>
      <c r="W34" s="102">
        <f>'Disp Segurança'!$E$25/1000*$E34</f>
        <v>0</v>
      </c>
      <c r="X34" s="102">
        <f>'Disp Segurança'!$E$25/1000*$E34</f>
        <v>0</v>
      </c>
      <c r="Y34" s="102">
        <f>'Disp Segurança'!$E$25/1000*$E34</f>
        <v>0</v>
      </c>
      <c r="Z34" s="102">
        <f>'Disp Segurança'!$E$25/1000*$E34</f>
        <v>0</v>
      </c>
      <c r="AA34" s="102">
        <f>'Disp Segurança'!$E$25/1000*$E34</f>
        <v>0</v>
      </c>
      <c r="AB34" s="102">
        <f>'Disp Segurança'!$E$25/1000*$E34</f>
        <v>0</v>
      </c>
      <c r="AC34" s="102">
        <f>'Disp Segurança'!$E$25/1000*$E34</f>
        <v>0</v>
      </c>
      <c r="AD34" s="102">
        <f>'Disp Segurança'!$E$25/1000*$E34</f>
        <v>0</v>
      </c>
      <c r="AE34" s="102">
        <f>'Disp Segurança'!$E$25/1000*$E34</f>
        <v>0</v>
      </c>
      <c r="AF34" s="102">
        <f>'Disp Segurança'!$E$25/1000*$E34</f>
        <v>0</v>
      </c>
      <c r="AG34" s="102">
        <f>'Disp Segurança'!$E$25/1000*$E34</f>
        <v>0</v>
      </c>
      <c r="AH34" s="102">
        <f>'Disp Segurança'!$E$25/1000*$E34</f>
        <v>0</v>
      </c>
      <c r="AI34" s="102">
        <f>'Disp Segurança'!$E$25/1000*$E34</f>
        <v>0</v>
      </c>
      <c r="AJ34" s="100">
        <f>SUM(F34:AI34)</f>
        <v>0</v>
      </c>
    </row>
    <row r="35" spans="2:37" x14ac:dyDescent="0.25">
      <c r="B35" s="61"/>
      <c r="C35" s="66" t="s">
        <v>180</v>
      </c>
      <c r="D35" s="61"/>
      <c r="E35" s="92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7"/>
    </row>
    <row r="36" spans="2:37" x14ac:dyDescent="0.25">
      <c r="B36" s="77"/>
      <c r="C36" s="68" t="s">
        <v>181</v>
      </c>
      <c r="D36" s="77"/>
      <c r="E36" s="97"/>
      <c r="F36" s="94"/>
      <c r="K36" s="14"/>
      <c r="AJ36" s="95"/>
    </row>
    <row r="37" spans="2:37" x14ac:dyDescent="0.25">
      <c r="B37" s="77">
        <v>4816118</v>
      </c>
      <c r="C37" s="84" t="s">
        <v>182</v>
      </c>
      <c r="D37" s="96" t="str">
        <f>VLOOKUP(B37,'Padrão Conserva'!$B$10:$G$66,3,FALSE)</f>
        <v>m/m</v>
      </c>
      <c r="E37" s="97">
        <f>VLOOKUP(B37,'Padrão Conserva'!$B$10:$G$66,4,FALSE)</f>
        <v>0.02</v>
      </c>
      <c r="F37" s="98">
        <v>0</v>
      </c>
      <c r="G37" s="99">
        <f>'Lista OAEs'!$E$10*$E$37</f>
        <v>27.94</v>
      </c>
      <c r="H37" s="99">
        <f>'Lista OAEs'!$E$10*$E$37</f>
        <v>27.94</v>
      </c>
      <c r="I37" s="99">
        <f>'Lista OAEs'!$E$10*$E$37</f>
        <v>27.94</v>
      </c>
      <c r="J37" s="99">
        <f>'Lista OAEs'!$E$10*$E$37</f>
        <v>27.94</v>
      </c>
      <c r="K37" s="99">
        <f>'Lista OAEs'!$E$10*$E$37</f>
        <v>27.94</v>
      </c>
      <c r="L37" s="99">
        <f>'Lista OAEs'!$E$10*$E$37</f>
        <v>27.94</v>
      </c>
      <c r="M37" s="99">
        <f>'Lista OAEs'!$E$10*$E$37</f>
        <v>27.94</v>
      </c>
      <c r="N37" s="99">
        <f>'Lista OAEs'!$E$10*$E$37</f>
        <v>27.94</v>
      </c>
      <c r="O37" s="99">
        <f>'Lista OAEs'!$E$10*$E$37</f>
        <v>27.94</v>
      </c>
      <c r="P37" s="99">
        <f>'Lista OAEs'!$E$10*$E$37</f>
        <v>27.94</v>
      </c>
      <c r="Q37" s="99">
        <f>'Lista OAEs'!$E$10*$E$37</f>
        <v>27.94</v>
      </c>
      <c r="R37" s="99">
        <f>'Lista OAEs'!$E$10*$E$37</f>
        <v>27.94</v>
      </c>
      <c r="S37" s="99">
        <f>'Lista OAEs'!$E$10*$E$37</f>
        <v>27.94</v>
      </c>
      <c r="T37" s="99">
        <f>'Lista OAEs'!$E$10*$E$37</f>
        <v>27.94</v>
      </c>
      <c r="U37" s="99">
        <f>'Lista OAEs'!$E$10*$E$37</f>
        <v>27.94</v>
      </c>
      <c r="V37" s="99">
        <f>'Lista OAEs'!$E$10*$E$37</f>
        <v>27.94</v>
      </c>
      <c r="W37" s="99">
        <f>'Lista OAEs'!$E$10*$E$37</f>
        <v>27.94</v>
      </c>
      <c r="X37" s="99">
        <f>'Lista OAEs'!$E$10*$E$37</f>
        <v>27.94</v>
      </c>
      <c r="Y37" s="99">
        <f>'Lista OAEs'!$E$10*$E$37</f>
        <v>27.94</v>
      </c>
      <c r="Z37" s="99">
        <f>'Lista OAEs'!$E$10*$E$37</f>
        <v>27.94</v>
      </c>
      <c r="AA37" s="99">
        <f>'Lista OAEs'!$E$10*$E$37</f>
        <v>27.94</v>
      </c>
      <c r="AB37" s="99">
        <f>'Lista OAEs'!$E$10*$E$37</f>
        <v>27.94</v>
      </c>
      <c r="AC37" s="99">
        <f>'Lista OAEs'!$E$10*$E$37</f>
        <v>27.94</v>
      </c>
      <c r="AD37" s="99">
        <f>'Lista OAEs'!$E$10*$E$37</f>
        <v>27.94</v>
      </c>
      <c r="AE37" s="99">
        <f>'Lista OAEs'!$E$10*$E$37</f>
        <v>27.94</v>
      </c>
      <c r="AF37" s="99">
        <f>'Lista OAEs'!$E$10*$E$37</f>
        <v>27.94</v>
      </c>
      <c r="AG37" s="99">
        <f>'Lista OAEs'!$E$10*$E$37</f>
        <v>27.94</v>
      </c>
      <c r="AH37" s="99">
        <f>'Lista OAEs'!$E$10*$E$37</f>
        <v>27.94</v>
      </c>
      <c r="AI37" s="99">
        <f>'Lista OAEs'!$E$10*$E$37</f>
        <v>27.94</v>
      </c>
      <c r="AJ37" s="100">
        <f>SUM(F37:AI37)</f>
        <v>810.26000000000056</v>
      </c>
    </row>
    <row r="38" spans="2:37" x14ac:dyDescent="0.25">
      <c r="B38" s="77">
        <v>4915723</v>
      </c>
      <c r="C38" s="112" t="s">
        <v>184</v>
      </c>
      <c r="D38" s="96" t="str">
        <f>VLOOKUP(B38,'Padrão Conserva'!$B$10:$G$66,3,FALSE)</f>
        <v>m²/m²</v>
      </c>
      <c r="E38" s="97">
        <f>VLOOKUP(B38,'Padrão Conserva'!$B$10:$G$66,4,FALSE)</f>
        <v>1</v>
      </c>
      <c r="F38" s="98">
        <v>0</v>
      </c>
      <c r="G38" s="102">
        <f>'Lista OAEs'!$D$10*2*1.2*Quantidades!$E$38</f>
        <v>225.6</v>
      </c>
      <c r="H38" s="102">
        <f>'Lista OAEs'!$D$10*2*1.2*Quantidades!$E$38</f>
        <v>225.6</v>
      </c>
      <c r="I38" s="102">
        <f>'Lista OAEs'!$D$10*2*1.2*Quantidades!$E$38</f>
        <v>225.6</v>
      </c>
      <c r="J38" s="102">
        <f>'Lista OAEs'!$D$10*2*1.2*Quantidades!$E$38</f>
        <v>225.6</v>
      </c>
      <c r="K38" s="102">
        <f>'Lista OAEs'!$D$10*2*1.2*Quantidades!$E$38</f>
        <v>225.6</v>
      </c>
      <c r="L38" s="102">
        <f>'Lista OAEs'!$D$10*2*1.2*Quantidades!$E$38</f>
        <v>225.6</v>
      </c>
      <c r="M38" s="102">
        <f>'Lista OAEs'!$D$10*2*1.2*Quantidades!$E$38</f>
        <v>225.6</v>
      </c>
      <c r="N38" s="102">
        <f>'Lista OAEs'!$D$10*2*1.2*Quantidades!$E$38</f>
        <v>225.6</v>
      </c>
      <c r="O38" s="102">
        <f>'Lista OAEs'!$D$10*2*1.2*Quantidades!$E$38</f>
        <v>225.6</v>
      </c>
      <c r="P38" s="102">
        <f>'Lista OAEs'!$D$10*2*1.2*Quantidades!$E$38</f>
        <v>225.6</v>
      </c>
      <c r="Q38" s="102">
        <f>'Lista OAEs'!$D$10*2*1.2*Quantidades!$E$38</f>
        <v>225.6</v>
      </c>
      <c r="R38" s="102">
        <f>'Lista OAEs'!$D$10*2*1.2*Quantidades!$E$38</f>
        <v>225.6</v>
      </c>
      <c r="S38" s="102">
        <f>'Lista OAEs'!$D$10*2*1.2*Quantidades!$E$38</f>
        <v>225.6</v>
      </c>
      <c r="T38" s="102">
        <f>'Lista OAEs'!$D$10*2*1.2*Quantidades!$E$38</f>
        <v>225.6</v>
      </c>
      <c r="U38" s="102">
        <f>'Lista OAEs'!$D$10*2*1.2*Quantidades!$E$38</f>
        <v>225.6</v>
      </c>
      <c r="V38" s="102">
        <f>'Lista OAEs'!$D$10*2*1.2*Quantidades!$E$38</f>
        <v>225.6</v>
      </c>
      <c r="W38" s="102">
        <f>'Lista OAEs'!$D$10*2*1.2*Quantidades!$E$38</f>
        <v>225.6</v>
      </c>
      <c r="X38" s="102">
        <f>'Lista OAEs'!$D$10*2*1.2*Quantidades!$E$38</f>
        <v>225.6</v>
      </c>
      <c r="Y38" s="102">
        <f>'Lista OAEs'!$D$10*2*1.2*Quantidades!$E$38</f>
        <v>225.6</v>
      </c>
      <c r="Z38" s="102">
        <f>'Lista OAEs'!$D$10*2*1.2*Quantidades!$E$38</f>
        <v>225.6</v>
      </c>
      <c r="AA38" s="102">
        <f>'Lista OAEs'!$D$10*2*1.2*Quantidades!$E$38</f>
        <v>225.6</v>
      </c>
      <c r="AB38" s="102">
        <f>'Lista OAEs'!$D$10*2*1.2*Quantidades!$E$38</f>
        <v>225.6</v>
      </c>
      <c r="AC38" s="102">
        <f>'Lista OAEs'!$D$10*2*1.2*Quantidades!$E$38</f>
        <v>225.6</v>
      </c>
      <c r="AD38" s="102">
        <f>'Lista OAEs'!$D$10*2*1.2*Quantidades!$E$38</f>
        <v>225.6</v>
      </c>
      <c r="AE38" s="102">
        <f>'Lista OAEs'!$D$10*2*1.2*Quantidades!$E$38</f>
        <v>225.6</v>
      </c>
      <c r="AF38" s="102">
        <f>'Lista OAEs'!$D$10*2*1.2*Quantidades!$E$38</f>
        <v>225.6</v>
      </c>
      <c r="AG38" s="102">
        <f>'Lista OAEs'!$D$10*2*1.2*Quantidades!$E$38</f>
        <v>225.6</v>
      </c>
      <c r="AH38" s="102">
        <f>'Lista OAEs'!$D$10*2*1.2*Quantidades!$E$38</f>
        <v>225.6</v>
      </c>
      <c r="AI38" s="102">
        <f>'Lista OAEs'!$D$10*2*1.2*Quantidades!$E$38</f>
        <v>225.6</v>
      </c>
      <c r="AJ38" s="100">
        <f>SUM(F38:AI38)</f>
        <v>6542.4000000000024</v>
      </c>
    </row>
    <row r="39" spans="2:37" s="229" customFormat="1" x14ac:dyDescent="0.25">
      <c r="B39" s="77">
        <v>3806406</v>
      </c>
      <c r="C39" s="112" t="s">
        <v>837</v>
      </c>
      <c r="D39" s="96" t="s">
        <v>183</v>
      </c>
      <c r="E39" s="97">
        <v>0.01</v>
      </c>
      <c r="F39" s="98">
        <v>0</v>
      </c>
      <c r="G39" s="102">
        <f>$E$39*'Lista OAEs'!$D$17</f>
        <v>0.4386666666666667</v>
      </c>
      <c r="H39" s="102">
        <f>$E$39*'Lista OAEs'!$D$17</f>
        <v>0.4386666666666667</v>
      </c>
      <c r="I39" s="102">
        <f>$E$39*'Lista OAEs'!$D$17</f>
        <v>0.4386666666666667</v>
      </c>
      <c r="J39" s="102">
        <f>$E$39*'Lista OAEs'!$D$17</f>
        <v>0.4386666666666667</v>
      </c>
      <c r="K39" s="102">
        <f>$E$39*'Lista OAEs'!$D$17</f>
        <v>0.4386666666666667</v>
      </c>
      <c r="L39" s="102">
        <f>$E$39*'Lista OAEs'!$D$17</f>
        <v>0.4386666666666667</v>
      </c>
      <c r="M39" s="102">
        <f>$E$39*'Lista OAEs'!$D$17</f>
        <v>0.4386666666666667</v>
      </c>
      <c r="N39" s="102">
        <f>$E$39*'Lista OAEs'!$D$17</f>
        <v>0.4386666666666667</v>
      </c>
      <c r="O39" s="102">
        <f>$E$39*'Lista OAEs'!$D$17</f>
        <v>0.4386666666666667</v>
      </c>
      <c r="P39" s="102">
        <f>$E$39*'Lista OAEs'!$D$17</f>
        <v>0.4386666666666667</v>
      </c>
      <c r="Q39" s="102">
        <f>$E$39*'Lista OAEs'!$D$17</f>
        <v>0.4386666666666667</v>
      </c>
      <c r="R39" s="102">
        <f>$E$39*'Lista OAEs'!$D$17</f>
        <v>0.4386666666666667</v>
      </c>
      <c r="S39" s="102">
        <f>$E$39*'Lista OAEs'!$D$17</f>
        <v>0.4386666666666667</v>
      </c>
      <c r="T39" s="102">
        <f>$E$39*'Lista OAEs'!$D$17</f>
        <v>0.4386666666666667</v>
      </c>
      <c r="U39" s="102">
        <f>$E$39*'Lista OAEs'!$D$17</f>
        <v>0.4386666666666667</v>
      </c>
      <c r="V39" s="102">
        <f>$E$39*'Lista OAEs'!$D$17</f>
        <v>0.4386666666666667</v>
      </c>
      <c r="W39" s="102">
        <f>$E$39*'Lista OAEs'!$D$17</f>
        <v>0.4386666666666667</v>
      </c>
      <c r="X39" s="102">
        <f>$E$39*'Lista OAEs'!$D$17</f>
        <v>0.4386666666666667</v>
      </c>
      <c r="Y39" s="102">
        <f>$E$39*'Lista OAEs'!$D$17</f>
        <v>0.4386666666666667</v>
      </c>
      <c r="Z39" s="102">
        <f>$E$39*'Lista OAEs'!$D$17</f>
        <v>0.4386666666666667</v>
      </c>
      <c r="AA39" s="102">
        <f>$E$39*'Lista OAEs'!$D$17</f>
        <v>0.4386666666666667</v>
      </c>
      <c r="AB39" s="102">
        <f>$E$39*'Lista OAEs'!$D$17</f>
        <v>0.4386666666666667</v>
      </c>
      <c r="AC39" s="102">
        <f>$E$39*'Lista OAEs'!$D$17</f>
        <v>0.4386666666666667</v>
      </c>
      <c r="AD39" s="102">
        <f>$E$39*'Lista OAEs'!$D$17</f>
        <v>0.4386666666666667</v>
      </c>
      <c r="AE39" s="102">
        <f>$E$39*'Lista OAEs'!$D$17</f>
        <v>0.4386666666666667</v>
      </c>
      <c r="AF39" s="102">
        <f>$E$39*'Lista OAEs'!$D$17</f>
        <v>0.4386666666666667</v>
      </c>
      <c r="AG39" s="102">
        <f>$E$39*'Lista OAEs'!$D$17</f>
        <v>0.4386666666666667</v>
      </c>
      <c r="AH39" s="102">
        <f>$E$39*'Lista OAEs'!$D$17</f>
        <v>0.4386666666666667</v>
      </c>
      <c r="AI39" s="102">
        <f>$E$39*'Lista OAEs'!$D$17</f>
        <v>0.4386666666666667</v>
      </c>
      <c r="AJ39" s="100">
        <f t="shared" ref="AJ39:AJ41" si="6">SUM(F39:AI39)</f>
        <v>12.721333333333327</v>
      </c>
    </row>
    <row r="40" spans="2:37" s="229" customFormat="1" x14ac:dyDescent="0.25">
      <c r="B40" s="77">
        <v>4915686</v>
      </c>
      <c r="C40" s="112" t="s">
        <v>838</v>
      </c>
      <c r="D40" s="96" t="s">
        <v>183</v>
      </c>
      <c r="E40" s="97">
        <v>1</v>
      </c>
      <c r="F40" s="98">
        <v>0</v>
      </c>
      <c r="G40" s="102">
        <f>$E$40*'Lista OAEs'!$D$17</f>
        <v>43.866666666666667</v>
      </c>
      <c r="H40" s="102">
        <f>$E$40*'Lista OAEs'!$D$17</f>
        <v>43.866666666666667</v>
      </c>
      <c r="I40" s="102">
        <f>$E$40*'Lista OAEs'!$D$17</f>
        <v>43.866666666666667</v>
      </c>
      <c r="J40" s="102">
        <f>$E$40*'Lista OAEs'!$D$17</f>
        <v>43.866666666666667</v>
      </c>
      <c r="K40" s="102">
        <f>$E$40*'Lista OAEs'!$D$17</f>
        <v>43.866666666666667</v>
      </c>
      <c r="L40" s="102">
        <f>$E$40*'Lista OAEs'!$D$17</f>
        <v>43.866666666666667</v>
      </c>
      <c r="M40" s="102">
        <f>$E$40*'Lista OAEs'!$D$17</f>
        <v>43.866666666666667</v>
      </c>
      <c r="N40" s="102">
        <f>$E$40*'Lista OAEs'!$D$17</f>
        <v>43.866666666666667</v>
      </c>
      <c r="O40" s="102">
        <f>$E$40*'Lista OAEs'!$D$17</f>
        <v>43.866666666666667</v>
      </c>
      <c r="P40" s="102">
        <f>$E$40*'Lista OAEs'!$D$17</f>
        <v>43.866666666666667</v>
      </c>
      <c r="Q40" s="102">
        <f>$E$40*'Lista OAEs'!$D$17</f>
        <v>43.866666666666667</v>
      </c>
      <c r="R40" s="102">
        <f>$E$40*'Lista OAEs'!$D$17</f>
        <v>43.866666666666667</v>
      </c>
      <c r="S40" s="102">
        <f>$E$40*'Lista OAEs'!$D$17</f>
        <v>43.866666666666667</v>
      </c>
      <c r="T40" s="102">
        <f>$E$40*'Lista OAEs'!$D$17</f>
        <v>43.866666666666667</v>
      </c>
      <c r="U40" s="102">
        <f>$E$40*'Lista OAEs'!$D$17</f>
        <v>43.866666666666667</v>
      </c>
      <c r="V40" s="102">
        <f>$E$40*'Lista OAEs'!$D$17</f>
        <v>43.866666666666667</v>
      </c>
      <c r="W40" s="102">
        <f>$E$40*'Lista OAEs'!$D$17</f>
        <v>43.866666666666667</v>
      </c>
      <c r="X40" s="102">
        <f>$E$40*'Lista OAEs'!$D$17</f>
        <v>43.866666666666667</v>
      </c>
      <c r="Y40" s="102">
        <f>$E$40*'Lista OAEs'!$D$17</f>
        <v>43.866666666666667</v>
      </c>
      <c r="Z40" s="102">
        <f>$E$40*'Lista OAEs'!$D$17</f>
        <v>43.866666666666667</v>
      </c>
      <c r="AA40" s="102">
        <f>$E$40*'Lista OAEs'!$D$17</f>
        <v>43.866666666666667</v>
      </c>
      <c r="AB40" s="102">
        <f>$E$40*'Lista OAEs'!$D$17</f>
        <v>43.866666666666667</v>
      </c>
      <c r="AC40" s="102">
        <f>$E$40*'Lista OAEs'!$D$17</f>
        <v>43.866666666666667</v>
      </c>
      <c r="AD40" s="102">
        <f>$E$40*'Lista OAEs'!$D$17</f>
        <v>43.866666666666667</v>
      </c>
      <c r="AE40" s="102">
        <f>$E$40*'Lista OAEs'!$D$17</f>
        <v>43.866666666666667</v>
      </c>
      <c r="AF40" s="102">
        <f>$E$40*'Lista OAEs'!$D$17</f>
        <v>43.866666666666667</v>
      </c>
      <c r="AG40" s="102">
        <f>$E$40*'Lista OAEs'!$D$17</f>
        <v>43.866666666666667</v>
      </c>
      <c r="AH40" s="102">
        <f>$E$40*'Lista OAEs'!$D$17</f>
        <v>43.866666666666667</v>
      </c>
      <c r="AI40" s="102">
        <f>$E$40*'Lista OAEs'!$D$17</f>
        <v>43.866666666666667</v>
      </c>
      <c r="AJ40" s="100">
        <f t="shared" si="6"/>
        <v>1272.1333333333328</v>
      </c>
    </row>
    <row r="41" spans="2:37" s="229" customFormat="1" x14ac:dyDescent="0.25">
      <c r="B41" s="77">
        <v>4915672</v>
      </c>
      <c r="C41" s="112" t="s">
        <v>839</v>
      </c>
      <c r="D41" s="96" t="s">
        <v>856</v>
      </c>
      <c r="E41" s="97">
        <v>0.2</v>
      </c>
      <c r="F41" s="98">
        <v>0</v>
      </c>
      <c r="G41" s="102">
        <f>$E$41*'Lista OAEs'!$D$10</f>
        <v>18.8</v>
      </c>
      <c r="H41" s="102">
        <f>$E$41*'Lista OAEs'!$D$10</f>
        <v>18.8</v>
      </c>
      <c r="I41" s="102">
        <f>$E$41*'Lista OAEs'!$D$10</f>
        <v>18.8</v>
      </c>
      <c r="J41" s="102">
        <f>$E$41*'Lista OAEs'!$D$10</f>
        <v>18.8</v>
      </c>
      <c r="K41" s="102">
        <f>$E$41*'Lista OAEs'!$D$10</f>
        <v>18.8</v>
      </c>
      <c r="L41" s="102">
        <f>$E$41*'Lista OAEs'!$D$10</f>
        <v>18.8</v>
      </c>
      <c r="M41" s="102">
        <f>$E$41*'Lista OAEs'!$D$10</f>
        <v>18.8</v>
      </c>
      <c r="N41" s="102">
        <f>$E$41*'Lista OAEs'!$D$10</f>
        <v>18.8</v>
      </c>
      <c r="O41" s="102">
        <f>$E$41*'Lista OAEs'!$D$10</f>
        <v>18.8</v>
      </c>
      <c r="P41" s="102">
        <f>$E$41*'Lista OAEs'!$D$10</f>
        <v>18.8</v>
      </c>
      <c r="Q41" s="102">
        <f>$E$41*'Lista OAEs'!$D$10</f>
        <v>18.8</v>
      </c>
      <c r="R41" s="102">
        <f>$E$41*'Lista OAEs'!$D$10</f>
        <v>18.8</v>
      </c>
      <c r="S41" s="102">
        <f>$E$41*'Lista OAEs'!$D$10</f>
        <v>18.8</v>
      </c>
      <c r="T41" s="102">
        <f>$E$41*'Lista OAEs'!$D$10</f>
        <v>18.8</v>
      </c>
      <c r="U41" s="102">
        <f>$E$41*'Lista OAEs'!$D$10</f>
        <v>18.8</v>
      </c>
      <c r="V41" s="102">
        <f>$E$41*'Lista OAEs'!$D$10</f>
        <v>18.8</v>
      </c>
      <c r="W41" s="102">
        <f>$E$41*'Lista OAEs'!$D$10</f>
        <v>18.8</v>
      </c>
      <c r="X41" s="102">
        <f>$E$41*'Lista OAEs'!$D$10</f>
        <v>18.8</v>
      </c>
      <c r="Y41" s="102">
        <f>$E$41*'Lista OAEs'!$D$10</f>
        <v>18.8</v>
      </c>
      <c r="Z41" s="102">
        <f>$E$41*'Lista OAEs'!$D$10</f>
        <v>18.8</v>
      </c>
      <c r="AA41" s="102">
        <f>$E$41*'Lista OAEs'!$D$10</f>
        <v>18.8</v>
      </c>
      <c r="AB41" s="102">
        <f>$E$41*'Lista OAEs'!$D$10</f>
        <v>18.8</v>
      </c>
      <c r="AC41" s="102">
        <f>$E$41*'Lista OAEs'!$D$10</f>
        <v>18.8</v>
      </c>
      <c r="AD41" s="102">
        <f>$E$41*'Lista OAEs'!$D$10</f>
        <v>18.8</v>
      </c>
      <c r="AE41" s="102">
        <f>$E$41*'Lista OAEs'!$D$10</f>
        <v>18.8</v>
      </c>
      <c r="AF41" s="102">
        <f>$E$41*'Lista OAEs'!$D$10</f>
        <v>18.8</v>
      </c>
      <c r="AG41" s="102">
        <f>$E$41*'Lista OAEs'!$D$10</f>
        <v>18.8</v>
      </c>
      <c r="AH41" s="102">
        <f>$E$41*'Lista OAEs'!$D$10</f>
        <v>18.8</v>
      </c>
      <c r="AI41" s="102">
        <f>$E$41*'Lista OAEs'!$D$10</f>
        <v>18.8</v>
      </c>
      <c r="AJ41" s="100">
        <f t="shared" si="6"/>
        <v>545.20000000000016</v>
      </c>
    </row>
    <row r="42" spans="2:37" x14ac:dyDescent="0.25">
      <c r="B42" s="85">
        <v>4915672</v>
      </c>
      <c r="C42" s="112" t="s">
        <v>185</v>
      </c>
      <c r="D42" s="96" t="str">
        <f>VLOOKUP(B42,'Padrão Conserva'!$B$10:$G$66,3,FALSE)</f>
        <v>m/m</v>
      </c>
      <c r="E42" s="97">
        <f>VLOOKUP(B42,'Padrão Conserva'!$B$10:$G$66,4,FALSE)</f>
        <v>1</v>
      </c>
      <c r="F42" s="111">
        <v>0</v>
      </c>
      <c r="G42" s="102">
        <f>'Lista OAEs'!$E$10*$E42</f>
        <v>1397</v>
      </c>
      <c r="H42" s="102">
        <f>'Lista OAEs'!$E$10*$E42</f>
        <v>1397</v>
      </c>
      <c r="I42" s="102">
        <f>'Lista OAEs'!$E$10*$E42</f>
        <v>1397</v>
      </c>
      <c r="J42" s="102">
        <f>'Lista OAEs'!$E$10*$E42</f>
        <v>1397</v>
      </c>
      <c r="K42" s="102">
        <f>'Lista OAEs'!$E$10*$E42</f>
        <v>1397</v>
      </c>
      <c r="L42" s="102">
        <f>'Lista OAEs'!$E$10*$E42</f>
        <v>1397</v>
      </c>
      <c r="M42" s="102">
        <f>'Lista OAEs'!$E$10*$E42</f>
        <v>1397</v>
      </c>
      <c r="N42" s="102">
        <f>'Lista OAEs'!$E$10*$E42</f>
        <v>1397</v>
      </c>
      <c r="O42" s="102">
        <f>'Lista OAEs'!$E$10*$E42</f>
        <v>1397</v>
      </c>
      <c r="P42" s="102">
        <f>'Lista OAEs'!$E$10*$E42</f>
        <v>1397</v>
      </c>
      <c r="Q42" s="102">
        <f>'Lista OAEs'!$E$10*$E42</f>
        <v>1397</v>
      </c>
      <c r="R42" s="102">
        <f>'Lista OAEs'!$E$10*$E42</f>
        <v>1397</v>
      </c>
      <c r="S42" s="102">
        <f>'Lista OAEs'!$E$10*$E42</f>
        <v>1397</v>
      </c>
      <c r="T42" s="102">
        <f>'Lista OAEs'!$E$10*$E42</f>
        <v>1397</v>
      </c>
      <c r="U42" s="102">
        <f>'Lista OAEs'!$E$10*$E42</f>
        <v>1397</v>
      </c>
      <c r="V42" s="102">
        <f>'Lista OAEs'!$E$10*$E42</f>
        <v>1397</v>
      </c>
      <c r="W42" s="102">
        <f>'Lista OAEs'!$E$10*$E42</f>
        <v>1397</v>
      </c>
      <c r="X42" s="102">
        <f>'Lista OAEs'!$E$10*$E42</f>
        <v>1397</v>
      </c>
      <c r="Y42" s="102">
        <f>'Lista OAEs'!$E$10*$E42</f>
        <v>1397</v>
      </c>
      <c r="Z42" s="102">
        <f>'Lista OAEs'!$E$10*$E42</f>
        <v>1397</v>
      </c>
      <c r="AA42" s="102">
        <f>'Lista OAEs'!$E$10*$E42</f>
        <v>1397</v>
      </c>
      <c r="AB42" s="102">
        <f>'Lista OAEs'!$E$10*$E42</f>
        <v>1397</v>
      </c>
      <c r="AC42" s="102">
        <f>'Lista OAEs'!$E$10*$E42</f>
        <v>1397</v>
      </c>
      <c r="AD42" s="102">
        <f>'Lista OAEs'!$E$10*$E42</f>
        <v>1397</v>
      </c>
      <c r="AE42" s="102">
        <f>'Lista OAEs'!$E$10*$E42</f>
        <v>1397</v>
      </c>
      <c r="AF42" s="102">
        <f>'Lista OAEs'!$E$10*$E42</f>
        <v>1397</v>
      </c>
      <c r="AG42" s="102">
        <f>'Lista OAEs'!$E$10*$E42</f>
        <v>1397</v>
      </c>
      <c r="AH42" s="102">
        <f>'Lista OAEs'!$E$10*$E42</f>
        <v>1397</v>
      </c>
      <c r="AI42" s="102">
        <f>'Lista OAEs'!$E$10*$E42</f>
        <v>1397</v>
      </c>
      <c r="AJ42" s="100">
        <f>SUM(F42:AI42)</f>
        <v>40513</v>
      </c>
    </row>
    <row r="43" spans="2:37" x14ac:dyDescent="0.25">
      <c r="B43" s="61"/>
      <c r="C43" s="66" t="s">
        <v>186</v>
      </c>
      <c r="D43" s="61"/>
      <c r="E43" s="92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7"/>
    </row>
    <row r="44" spans="2:37" x14ac:dyDescent="0.25">
      <c r="B44" s="77"/>
      <c r="C44" s="68" t="s">
        <v>187</v>
      </c>
      <c r="D44" s="77"/>
      <c r="E44" s="104"/>
      <c r="F44" s="94"/>
      <c r="AJ44" s="95"/>
    </row>
    <row r="45" spans="2:37" x14ac:dyDescent="0.25">
      <c r="B45" s="77">
        <v>4915708</v>
      </c>
      <c r="C45" s="84" t="s">
        <v>188</v>
      </c>
      <c r="D45" s="96" t="str">
        <f>VLOOKUP(B45,'Padrão Conserva'!$B$10:$G$66,3,FALSE)</f>
        <v>m/m</v>
      </c>
      <c r="E45" s="97">
        <f>VLOOKUP(B45,'Padrão Conserva'!$B$10:$G$66,4,FALSE)</f>
        <v>2</v>
      </c>
      <c r="F45" s="98">
        <v>0</v>
      </c>
      <c r="G45" s="102">
        <f>$E45*'MS 112 Ext Equival'!E$302*0.2*1000</f>
        <v>46783.333333333328</v>
      </c>
      <c r="H45" s="102">
        <f>$E45*'MS 112 Ext Equival'!F$302*0.2*1000</f>
        <v>46783.333333333328</v>
      </c>
      <c r="I45" s="102">
        <f>$E45*'MS 112 Ext Equival'!G$302*0.2*1000</f>
        <v>46783.333333333328</v>
      </c>
      <c r="J45" s="102">
        <f>$E45*'MS 112 Ext Equival'!H$302*0.2*1000</f>
        <v>47102.066666666673</v>
      </c>
      <c r="K45" s="102">
        <f>$E45*'MS 112 Ext Equival'!I$302*0.2*1000</f>
        <v>47102.066666666673</v>
      </c>
      <c r="L45" s="102">
        <f>$E45*'MS 112 Ext Equival'!J$302*0.2*1000</f>
        <v>55586.350000000013</v>
      </c>
      <c r="M45" s="102">
        <f>$E45*'MS 112 Ext Equival'!K$302*0.2*1000</f>
        <v>64456.825000000012</v>
      </c>
      <c r="N45" s="102">
        <f>$E45*'MS 112 Ext Equival'!L$302*0.2*1000</f>
        <v>72170.65833333334</v>
      </c>
      <c r="O45" s="102">
        <f>$E45*'MS 112 Ext Equival'!M$302*0.2*1000</f>
        <v>78766.966666666674</v>
      </c>
      <c r="P45" s="102">
        <f>$E45*'MS 112 Ext Equival'!N$302*0.2*1000</f>
        <v>78766.966666666674</v>
      </c>
      <c r="Q45" s="102">
        <f>$E45*'MS 112 Ext Equival'!O$302*0.2*1000</f>
        <v>78766.966666666674</v>
      </c>
      <c r="R45" s="102">
        <f>$E45*'MS 112 Ext Equival'!P$302*0.2*1000</f>
        <v>78766.966666666674</v>
      </c>
      <c r="S45" s="102">
        <f>$E45*'MS 112 Ext Equival'!Q$302*0.2*1000</f>
        <v>78766.966666666674</v>
      </c>
      <c r="T45" s="102">
        <f>$E45*'MS 112 Ext Equival'!R$302*0.2*1000</f>
        <v>78766.966666666674</v>
      </c>
      <c r="U45" s="102">
        <f>$E45*'MS 112 Ext Equival'!S$302*0.2*1000</f>
        <v>78766.966666666674</v>
      </c>
      <c r="V45" s="102">
        <f>$E45*'MS 112 Ext Equival'!T$302*0.2*1000</f>
        <v>78766.966666666674</v>
      </c>
      <c r="W45" s="102">
        <f>$E45*'MS 112 Ext Equival'!U$302*0.2*1000</f>
        <v>78766.966666666674</v>
      </c>
      <c r="X45" s="102">
        <f>$E45*'MS 112 Ext Equival'!V$302*0.2*1000</f>
        <v>78766.966666666674</v>
      </c>
      <c r="Y45" s="102">
        <f>$E45*'MS 112 Ext Equival'!W$302*0.2*1000</f>
        <v>79230.268761904765</v>
      </c>
      <c r="Z45" s="102">
        <f>$E45*'MS 112 Ext Equival'!X$302*0.2*1000</f>
        <v>79230.268761904765</v>
      </c>
      <c r="AA45" s="102">
        <f>$E45*'MS 112 Ext Equival'!Y$302*0.2*1000</f>
        <v>79230.268761904765</v>
      </c>
      <c r="AB45" s="102">
        <f>$E45*'MS 112 Ext Equival'!Z$302*0.2*1000</f>
        <v>79230.268761904765</v>
      </c>
      <c r="AC45" s="102">
        <f>$E45*'MS 112 Ext Equival'!AA$302*0.2*1000</f>
        <v>79230.268761904765</v>
      </c>
      <c r="AD45" s="102">
        <f>$E45*'MS 112 Ext Equival'!AB$302*0.2*1000</f>
        <v>79230.268761904765</v>
      </c>
      <c r="AE45" s="102">
        <f>$E45*'MS 112 Ext Equival'!AC$302*0.2*1000</f>
        <v>79230.268761904765</v>
      </c>
      <c r="AF45" s="102">
        <f>$E45*'MS 112 Ext Equival'!AD$302*0.2*1000</f>
        <v>79230.268761904765</v>
      </c>
      <c r="AG45" s="102">
        <f>$E45*'MS 112 Ext Equival'!AE$302*0.2*1000</f>
        <v>79230.268761904765</v>
      </c>
      <c r="AH45" s="102">
        <f>$E45*'MS 112 Ext Equival'!AF$302*0.2*1000</f>
        <v>79230.268761904765</v>
      </c>
      <c r="AI45" s="102">
        <f>$E45*'MS 112 Ext Equival'!AG$302*0.2*1000</f>
        <v>79230.268761904765</v>
      </c>
      <c r="AJ45" s="100">
        <f>SUM(F45:AI45)</f>
        <v>2085970.5897142852</v>
      </c>
      <c r="AK45" s="14"/>
    </row>
    <row r="46" spans="2:37" x14ac:dyDescent="0.25">
      <c r="B46" s="77">
        <v>4915723</v>
      </c>
      <c r="C46" s="84" t="s">
        <v>189</v>
      </c>
      <c r="D46" s="96" t="str">
        <f>VLOOKUP(B46,'Padrão Conserva'!$B$10:$G$66,3,FALSE)</f>
        <v>m²/m²</v>
      </c>
      <c r="E46" s="97">
        <f>VLOOKUP(B46,'Padrão Conserva'!$B$10:$G$66,4,FALSE)</f>
        <v>1</v>
      </c>
      <c r="F46" s="98">
        <v>0</v>
      </c>
      <c r="G46" s="102">
        <f>$E46*'MS 112 Ext Equival'!E$302*0.5*0.25*1000</f>
        <v>14619.791666666666</v>
      </c>
      <c r="H46" s="102">
        <f>$E46*'MS 112 Ext Equival'!F$302*0.5*0.25*1000</f>
        <v>14619.791666666666</v>
      </c>
      <c r="I46" s="102">
        <f>$E46*'MS 112 Ext Equival'!G$302*0.5*0.25*1000</f>
        <v>14619.791666666666</v>
      </c>
      <c r="J46" s="102">
        <f>$E46*'MS 112 Ext Equival'!H$302*0.5*0.25*1000</f>
        <v>14719.395833333334</v>
      </c>
      <c r="K46" s="102">
        <f>$E46*'MS 112 Ext Equival'!I$302*0.5*0.25*1000</f>
        <v>14719.395833333334</v>
      </c>
      <c r="L46" s="102">
        <f>$E46*'MS 112 Ext Equival'!J$302*0.5*0.25*1000</f>
        <v>17370.734375</v>
      </c>
      <c r="M46" s="102">
        <f>$E46*'MS 112 Ext Equival'!K$302*0.5*0.25*1000</f>
        <v>20142.7578125</v>
      </c>
      <c r="N46" s="102">
        <f>$E46*'MS 112 Ext Equival'!L$302*0.5*0.25*1000</f>
        <v>22553.330729166668</v>
      </c>
      <c r="O46" s="102">
        <f>$E46*'MS 112 Ext Equival'!M$302*0.5*0.25*1000</f>
        <v>24614.677083333332</v>
      </c>
      <c r="P46" s="102">
        <f>$E46*'MS 112 Ext Equival'!N$302*0.5*0.25*1000</f>
        <v>24614.677083333332</v>
      </c>
      <c r="Q46" s="102">
        <f>$E46*'MS 112 Ext Equival'!O$302*0.5*0.25*1000</f>
        <v>24614.677083333332</v>
      </c>
      <c r="R46" s="102">
        <f>$E46*'MS 112 Ext Equival'!P$302*0.5*0.25*1000</f>
        <v>24614.677083333332</v>
      </c>
      <c r="S46" s="102">
        <f>$E46*'MS 112 Ext Equival'!Q$302*0.5*0.25*1000</f>
        <v>24614.677083333332</v>
      </c>
      <c r="T46" s="102">
        <f>$E46*'MS 112 Ext Equival'!R$302*0.5*0.25*1000</f>
        <v>24614.677083333332</v>
      </c>
      <c r="U46" s="102">
        <f>$E46*'MS 112 Ext Equival'!S$302*0.5*0.25*1000</f>
        <v>24614.677083333332</v>
      </c>
      <c r="V46" s="102">
        <f>$E46*'MS 112 Ext Equival'!T$302*0.5*0.25*1000</f>
        <v>24614.677083333332</v>
      </c>
      <c r="W46" s="102">
        <f>$E46*'MS 112 Ext Equival'!U$302*0.5*0.25*1000</f>
        <v>24614.677083333332</v>
      </c>
      <c r="X46" s="102">
        <f>$E46*'MS 112 Ext Equival'!V$302*0.5*0.25*1000</f>
        <v>24614.677083333332</v>
      </c>
      <c r="Y46" s="102">
        <f>$E46*'MS 112 Ext Equival'!W$302*0.5*0.25*1000</f>
        <v>24759.458988095237</v>
      </c>
      <c r="Z46" s="102">
        <f>$E46*'MS 112 Ext Equival'!X$302*0.5*0.25*1000</f>
        <v>24759.458988095237</v>
      </c>
      <c r="AA46" s="102">
        <f>$E46*'MS 112 Ext Equival'!Y$302*0.5*0.25*1000</f>
        <v>24759.458988095237</v>
      </c>
      <c r="AB46" s="102">
        <f>$E46*'MS 112 Ext Equival'!Z$302*0.5*0.25*1000</f>
        <v>24759.458988095237</v>
      </c>
      <c r="AC46" s="102">
        <f>$E46*'MS 112 Ext Equival'!AA$302*0.5*0.25*1000</f>
        <v>24759.458988095237</v>
      </c>
      <c r="AD46" s="102">
        <f>$E46*'MS 112 Ext Equival'!AB$302*0.5*0.25*1000</f>
        <v>24759.458988095237</v>
      </c>
      <c r="AE46" s="102">
        <f>$E46*'MS 112 Ext Equival'!AC$302*0.5*0.25*1000</f>
        <v>24759.458988095237</v>
      </c>
      <c r="AF46" s="102">
        <f>$E46*'MS 112 Ext Equival'!AD$302*0.5*0.25*1000</f>
        <v>24759.458988095237</v>
      </c>
      <c r="AG46" s="102">
        <f>$E46*'MS 112 Ext Equival'!AE$302*0.5*0.25*1000</f>
        <v>24759.458988095237</v>
      </c>
      <c r="AH46" s="102">
        <f>$E46*'MS 112 Ext Equival'!AF$302*0.5*0.25*1000</f>
        <v>24759.458988095237</v>
      </c>
      <c r="AI46" s="102">
        <f>$E46*'MS 112 Ext Equival'!AG$302*0.5*0.25*1000</f>
        <v>24759.458988095237</v>
      </c>
      <c r="AJ46" s="100">
        <f>SUM(F46:AI46)</f>
        <v>651865.80928571441</v>
      </c>
      <c r="AK46" s="14"/>
    </row>
    <row r="47" spans="2:37" x14ac:dyDescent="0.25">
      <c r="B47" s="77">
        <v>4915710</v>
      </c>
      <c r="C47" s="84" t="s">
        <v>190</v>
      </c>
      <c r="D47" s="96" t="str">
        <f>VLOOKUP(B47,'Padrão Conserva'!$B$10:$G$66,3,FALSE)</f>
        <v>m/m</v>
      </c>
      <c r="E47" s="97">
        <f>VLOOKUP(B47,'Padrão Conserva'!$B$10:$G$66,4,FALSE)</f>
        <v>2</v>
      </c>
      <c r="F47" s="98">
        <v>0</v>
      </c>
      <c r="G47" s="102">
        <f>$E47*'MS 112 Ext Equival'!E$302*0.1*0.3*1000</f>
        <v>7017.4999999999991</v>
      </c>
      <c r="H47" s="102">
        <f>$E47*'MS 112 Ext Equival'!F$302*0.1*0.3*1000</f>
        <v>7017.4999999999991</v>
      </c>
      <c r="I47" s="102">
        <f>$E47*'MS 112 Ext Equival'!G$302*0.1*0.3*1000</f>
        <v>7017.4999999999991</v>
      </c>
      <c r="J47" s="102">
        <f>$E47*'MS 112 Ext Equival'!H$302*0.1*0.3*1000</f>
        <v>7065.3100000000013</v>
      </c>
      <c r="K47" s="102">
        <f>$E47*'MS 112 Ext Equival'!I$302*0.1*0.3*1000</f>
        <v>7065.3100000000013</v>
      </c>
      <c r="L47" s="102">
        <f>$E47*'MS 112 Ext Equival'!J$302*0.1*0.3*1000</f>
        <v>8337.9525000000012</v>
      </c>
      <c r="M47" s="102">
        <f>$E47*'MS 112 Ext Equival'!K$302*0.1*0.3*1000</f>
        <v>9668.5237500000003</v>
      </c>
      <c r="N47" s="102">
        <f>$E47*'MS 112 Ext Equival'!L$302*0.1*0.3*1000</f>
        <v>10825.598749999999</v>
      </c>
      <c r="O47" s="102">
        <f>$E47*'MS 112 Ext Equival'!M$302*0.1*0.3*1000</f>
        <v>11815.045000000002</v>
      </c>
      <c r="P47" s="102">
        <f>$E47*'MS 112 Ext Equival'!N$302*0.1*0.3*1000</f>
        <v>11815.045000000002</v>
      </c>
      <c r="Q47" s="102">
        <f>$E47*'MS 112 Ext Equival'!O$302*0.1*0.3*1000</f>
        <v>11815.045000000002</v>
      </c>
      <c r="R47" s="102">
        <f>$E47*'MS 112 Ext Equival'!P$302*0.1*0.3*1000</f>
        <v>11815.045000000002</v>
      </c>
      <c r="S47" s="102">
        <f>$E47*'MS 112 Ext Equival'!Q$302*0.1*0.3*1000</f>
        <v>11815.045000000002</v>
      </c>
      <c r="T47" s="102">
        <f>$E47*'MS 112 Ext Equival'!R$302*0.1*0.3*1000</f>
        <v>11815.045000000002</v>
      </c>
      <c r="U47" s="102">
        <f>$E47*'MS 112 Ext Equival'!S$302*0.1*0.3*1000</f>
        <v>11815.045000000002</v>
      </c>
      <c r="V47" s="102">
        <f>$E47*'MS 112 Ext Equival'!T$302*0.1*0.3*1000</f>
        <v>11815.045000000002</v>
      </c>
      <c r="W47" s="102">
        <f>$E47*'MS 112 Ext Equival'!U$302*0.1*0.3*1000</f>
        <v>11815.045000000002</v>
      </c>
      <c r="X47" s="102">
        <f>$E47*'MS 112 Ext Equival'!V$302*0.1*0.3*1000</f>
        <v>11815.045000000002</v>
      </c>
      <c r="Y47" s="102">
        <f>$E47*'MS 112 Ext Equival'!W$302*0.1*0.3*1000</f>
        <v>11884.540314285716</v>
      </c>
      <c r="Z47" s="102">
        <f>$E47*'MS 112 Ext Equival'!X$302*0.1*0.3*1000</f>
        <v>11884.540314285716</v>
      </c>
      <c r="AA47" s="102">
        <f>$E47*'MS 112 Ext Equival'!Y$302*0.1*0.3*1000</f>
        <v>11884.540314285716</v>
      </c>
      <c r="AB47" s="102">
        <f>$E47*'MS 112 Ext Equival'!Z$302*0.1*0.3*1000</f>
        <v>11884.540314285716</v>
      </c>
      <c r="AC47" s="102">
        <f>$E47*'MS 112 Ext Equival'!AA$302*0.1*0.3*1000</f>
        <v>11884.540314285716</v>
      </c>
      <c r="AD47" s="102">
        <f>$E47*'MS 112 Ext Equival'!AB$302*0.1*0.3*1000</f>
        <v>11884.540314285716</v>
      </c>
      <c r="AE47" s="102">
        <f>$E47*'MS 112 Ext Equival'!AC$302*0.1*0.3*1000</f>
        <v>11884.540314285716</v>
      </c>
      <c r="AF47" s="102">
        <f>$E47*'MS 112 Ext Equival'!AD$302*0.1*0.3*1000</f>
        <v>11884.540314285716</v>
      </c>
      <c r="AG47" s="102">
        <f>$E47*'MS 112 Ext Equival'!AE$302*0.1*0.3*1000</f>
        <v>11884.540314285716</v>
      </c>
      <c r="AH47" s="102">
        <f>$E47*'MS 112 Ext Equival'!AF$302*0.1*0.3*1000</f>
        <v>11884.540314285716</v>
      </c>
      <c r="AI47" s="102">
        <f>$E47*'MS 112 Ext Equival'!AG$302*0.1*0.3*1000</f>
        <v>11884.540314285716</v>
      </c>
      <c r="AJ47" s="100">
        <f>SUM(F47:AI47)</f>
        <v>312895.58845714299</v>
      </c>
    </row>
    <row r="48" spans="2:37" x14ac:dyDescent="0.25">
      <c r="B48" s="276">
        <v>4915712</v>
      </c>
      <c r="C48" s="277" t="s">
        <v>191</v>
      </c>
      <c r="D48" s="278" t="str">
        <f>VLOOKUP(B48,'Padrão Conserva'!$B$10:$G$66,3,FALSE)</f>
        <v>m³/m</v>
      </c>
      <c r="E48" s="97">
        <f>VLOOKUP(B48,'Padrão Conserva'!$B$10:$G$66,4,FALSE)</f>
        <v>0.5</v>
      </c>
      <c r="F48" s="98">
        <v>0</v>
      </c>
      <c r="G48" s="99">
        <f>($G$2*11.6849)*$E$48</f>
        <v>1171.4112250000001</v>
      </c>
      <c r="H48" s="99">
        <f t="shared" ref="H48:AI48" si="7">($G$2*11.6849)*$E$48</f>
        <v>1171.4112250000001</v>
      </c>
      <c r="I48" s="99">
        <f t="shared" si="7"/>
        <v>1171.4112250000001</v>
      </c>
      <c r="J48" s="99">
        <f t="shared" si="7"/>
        <v>1171.4112250000001</v>
      </c>
      <c r="K48" s="99">
        <f t="shared" si="7"/>
        <v>1171.4112250000001</v>
      </c>
      <c r="L48" s="99">
        <f t="shared" si="7"/>
        <v>1171.4112250000001</v>
      </c>
      <c r="M48" s="99">
        <f t="shared" si="7"/>
        <v>1171.4112250000001</v>
      </c>
      <c r="N48" s="99">
        <f t="shared" si="7"/>
        <v>1171.4112250000001</v>
      </c>
      <c r="O48" s="99">
        <f t="shared" si="7"/>
        <v>1171.4112250000001</v>
      </c>
      <c r="P48" s="99">
        <f t="shared" si="7"/>
        <v>1171.4112250000001</v>
      </c>
      <c r="Q48" s="99">
        <f t="shared" si="7"/>
        <v>1171.4112250000001</v>
      </c>
      <c r="R48" s="99">
        <f t="shared" si="7"/>
        <v>1171.4112250000001</v>
      </c>
      <c r="S48" s="99">
        <f t="shared" si="7"/>
        <v>1171.4112250000001</v>
      </c>
      <c r="T48" s="99">
        <f t="shared" si="7"/>
        <v>1171.4112250000001</v>
      </c>
      <c r="U48" s="99">
        <f t="shared" si="7"/>
        <v>1171.4112250000001</v>
      </c>
      <c r="V48" s="99">
        <f t="shared" si="7"/>
        <v>1171.4112250000001</v>
      </c>
      <c r="W48" s="99">
        <f t="shared" si="7"/>
        <v>1171.4112250000001</v>
      </c>
      <c r="X48" s="99">
        <f t="shared" si="7"/>
        <v>1171.4112250000001</v>
      </c>
      <c r="Y48" s="99">
        <f t="shared" si="7"/>
        <v>1171.4112250000001</v>
      </c>
      <c r="Z48" s="99">
        <f t="shared" si="7"/>
        <v>1171.4112250000001</v>
      </c>
      <c r="AA48" s="99">
        <f t="shared" si="7"/>
        <v>1171.4112250000001</v>
      </c>
      <c r="AB48" s="99">
        <f t="shared" si="7"/>
        <v>1171.4112250000001</v>
      </c>
      <c r="AC48" s="99">
        <f t="shared" si="7"/>
        <v>1171.4112250000001</v>
      </c>
      <c r="AD48" s="99">
        <f t="shared" si="7"/>
        <v>1171.4112250000001</v>
      </c>
      <c r="AE48" s="99">
        <f t="shared" si="7"/>
        <v>1171.4112250000001</v>
      </c>
      <c r="AF48" s="99">
        <f t="shared" si="7"/>
        <v>1171.4112250000001</v>
      </c>
      <c r="AG48" s="99">
        <f t="shared" si="7"/>
        <v>1171.4112250000001</v>
      </c>
      <c r="AH48" s="99">
        <f t="shared" si="7"/>
        <v>1171.4112250000001</v>
      </c>
      <c r="AI48" s="99">
        <f t="shared" si="7"/>
        <v>1171.4112250000001</v>
      </c>
      <c r="AJ48" s="100">
        <f>SUM(F48:AI48)</f>
        <v>33970.925525000006</v>
      </c>
    </row>
    <row r="49" spans="2:39" x14ac:dyDescent="0.25">
      <c r="B49" s="109" t="s">
        <v>350</v>
      </c>
      <c r="C49" s="113" t="s">
        <v>193</v>
      </c>
      <c r="D49" s="96" t="str">
        <f>VLOOKUP(B49,'Padrão Conserva'!$B$10:$G$66,3,FALSE)</f>
        <v>m³/km</v>
      </c>
      <c r="E49" s="97">
        <f>VLOOKUP(B49,'Padrão Conserva'!$B$10:$G$66,4,FALSE)</f>
        <v>0.2</v>
      </c>
      <c r="F49" s="111">
        <v>0</v>
      </c>
      <c r="G49" s="102">
        <f>$E49*'MS 112 Ext Equival'!E$302</f>
        <v>23.391666666666666</v>
      </c>
      <c r="H49" s="102">
        <f>$E49*'MS 112 Ext Equival'!F$302</f>
        <v>23.391666666666666</v>
      </c>
      <c r="I49" s="102">
        <f>$E49*'MS 112 Ext Equival'!G$302</f>
        <v>23.391666666666666</v>
      </c>
      <c r="J49" s="102">
        <f>$E49*'MS 112 Ext Equival'!H$302</f>
        <v>23.551033333333336</v>
      </c>
      <c r="K49" s="102">
        <f>$E49*'MS 112 Ext Equival'!I$302</f>
        <v>23.551033333333336</v>
      </c>
      <c r="L49" s="102">
        <f>$E49*'MS 112 Ext Equival'!J$302</f>
        <v>27.793175000000005</v>
      </c>
      <c r="M49" s="102">
        <f>$E49*'MS 112 Ext Equival'!K$302</f>
        <v>32.228412500000005</v>
      </c>
      <c r="N49" s="102">
        <f>$E49*'MS 112 Ext Equival'!L$302</f>
        <v>36.085329166666668</v>
      </c>
      <c r="O49" s="102">
        <f>$E49*'MS 112 Ext Equival'!M$302</f>
        <v>39.383483333333338</v>
      </c>
      <c r="P49" s="102">
        <f>$E49*'MS 112 Ext Equival'!N$302</f>
        <v>39.383483333333338</v>
      </c>
      <c r="Q49" s="102">
        <f>$E49*'MS 112 Ext Equival'!O$302</f>
        <v>39.383483333333338</v>
      </c>
      <c r="R49" s="102">
        <f>$E49*'MS 112 Ext Equival'!P$302</f>
        <v>39.383483333333338</v>
      </c>
      <c r="S49" s="102">
        <f>$E49*'MS 112 Ext Equival'!Q$302</f>
        <v>39.383483333333338</v>
      </c>
      <c r="T49" s="102">
        <f>$E49*'MS 112 Ext Equival'!R$302</f>
        <v>39.383483333333338</v>
      </c>
      <c r="U49" s="102">
        <f>$E49*'MS 112 Ext Equival'!S$302</f>
        <v>39.383483333333338</v>
      </c>
      <c r="V49" s="102">
        <f>$E49*'MS 112 Ext Equival'!T$302</f>
        <v>39.383483333333338</v>
      </c>
      <c r="W49" s="102">
        <f>$E49*'MS 112 Ext Equival'!U$302</f>
        <v>39.383483333333338</v>
      </c>
      <c r="X49" s="102">
        <f>$E49*'MS 112 Ext Equival'!V$302</f>
        <v>39.383483333333338</v>
      </c>
      <c r="Y49" s="102">
        <f>$E49*'MS 112 Ext Equival'!W$302</f>
        <v>39.615134380952384</v>
      </c>
      <c r="Z49" s="102">
        <f>$E49*'MS 112 Ext Equival'!X$302</f>
        <v>39.615134380952384</v>
      </c>
      <c r="AA49" s="102">
        <f>$E49*'MS 112 Ext Equival'!Y$302</f>
        <v>39.615134380952384</v>
      </c>
      <c r="AB49" s="102">
        <f>$E49*'MS 112 Ext Equival'!Z$302</f>
        <v>39.615134380952384</v>
      </c>
      <c r="AC49" s="102">
        <f>$E49*'MS 112 Ext Equival'!AA$302</f>
        <v>39.615134380952384</v>
      </c>
      <c r="AD49" s="102">
        <f>$E49*'MS 112 Ext Equival'!AB$302</f>
        <v>39.615134380952384</v>
      </c>
      <c r="AE49" s="102">
        <f>$E49*'MS 112 Ext Equival'!AC$302</f>
        <v>39.615134380952384</v>
      </c>
      <c r="AF49" s="102">
        <f>$E49*'MS 112 Ext Equival'!AD$302</f>
        <v>39.615134380952384</v>
      </c>
      <c r="AG49" s="102">
        <f>$E49*'MS 112 Ext Equival'!AE$302</f>
        <v>39.615134380952384</v>
      </c>
      <c r="AH49" s="102">
        <f>$E49*'MS 112 Ext Equival'!AF$302</f>
        <v>39.615134380952384</v>
      </c>
      <c r="AI49" s="102">
        <f>$E49*'MS 112 Ext Equival'!AG$302</f>
        <v>39.615134380952384</v>
      </c>
      <c r="AJ49" s="100">
        <f>SUM(F49:AI49)</f>
        <v>1042.9852948571433</v>
      </c>
      <c r="AM49" s="101"/>
    </row>
    <row r="50" spans="2:39" x14ac:dyDescent="0.25">
      <c r="B50" s="61"/>
      <c r="C50" s="66" t="s">
        <v>194</v>
      </c>
      <c r="D50" s="61"/>
      <c r="E50" s="92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7"/>
    </row>
    <row r="51" spans="2:39" x14ac:dyDescent="0.25">
      <c r="B51" s="77"/>
      <c r="C51" s="68" t="s">
        <v>195</v>
      </c>
      <c r="D51" s="77"/>
      <c r="E51" s="104"/>
      <c r="F51" s="94"/>
      <c r="AJ51" s="95"/>
    </row>
    <row r="52" spans="2:39" x14ac:dyDescent="0.25">
      <c r="B52" s="109">
        <v>4915733</v>
      </c>
      <c r="C52" s="113" t="s">
        <v>196</v>
      </c>
      <c r="D52" s="96" t="str">
        <f>VLOOKUP(B52,'Padrão Conserva'!$B$10:$G$66,3,FALSE)</f>
        <v>m³/km.eq</v>
      </c>
      <c r="E52" s="97">
        <f>VLOOKUP(B52,'Padrão Conserva'!$B$10:$G$66,4,FALSE)</f>
        <v>4</v>
      </c>
      <c r="F52" s="98">
        <v>0</v>
      </c>
      <c r="G52" s="102">
        <f>$E52*'MS 112 Ext Equival'!E$302</f>
        <v>467.83333333333331</v>
      </c>
      <c r="H52" s="102">
        <f>$E52*'MS 112 Ext Equival'!F$302</f>
        <v>467.83333333333331</v>
      </c>
      <c r="I52" s="102">
        <f>$E52*'MS 112 Ext Equival'!G$302</f>
        <v>467.83333333333331</v>
      </c>
      <c r="J52" s="102">
        <f>$E52*'MS 112 Ext Equival'!H$302</f>
        <v>471.02066666666667</v>
      </c>
      <c r="K52" s="102">
        <f>$E52*'MS 112 Ext Equival'!I$302</f>
        <v>471.02066666666667</v>
      </c>
      <c r="L52" s="102">
        <f>$E52*'MS 112 Ext Equival'!J$302</f>
        <v>555.86350000000004</v>
      </c>
      <c r="M52" s="102">
        <f>$E52*'MS 112 Ext Equival'!K$302</f>
        <v>644.56825000000003</v>
      </c>
      <c r="N52" s="102">
        <f>$E52*'MS 112 Ext Equival'!L$302</f>
        <v>721.70658333333336</v>
      </c>
      <c r="O52" s="102">
        <f>$E52*'MS 112 Ext Equival'!M$302</f>
        <v>787.66966666666667</v>
      </c>
      <c r="P52" s="102">
        <f>$E52*'MS 112 Ext Equival'!N$302</f>
        <v>787.66966666666667</v>
      </c>
      <c r="Q52" s="102">
        <f>$E52*'MS 112 Ext Equival'!O$302</f>
        <v>787.66966666666667</v>
      </c>
      <c r="R52" s="102">
        <f>$E52*'MS 112 Ext Equival'!P$302</f>
        <v>787.66966666666667</v>
      </c>
      <c r="S52" s="102">
        <f>$E52*'MS 112 Ext Equival'!Q$302</f>
        <v>787.66966666666667</v>
      </c>
      <c r="T52" s="102">
        <f>$E52*'MS 112 Ext Equival'!R$302</f>
        <v>787.66966666666667</v>
      </c>
      <c r="U52" s="102">
        <f>$E52*'MS 112 Ext Equival'!S$302</f>
        <v>787.66966666666667</v>
      </c>
      <c r="V52" s="102">
        <f>$E52*'MS 112 Ext Equival'!T$302</f>
        <v>787.66966666666667</v>
      </c>
      <c r="W52" s="102">
        <f>$E52*'MS 112 Ext Equival'!U$302</f>
        <v>787.66966666666667</v>
      </c>
      <c r="X52" s="102">
        <f>$E52*'MS 112 Ext Equival'!V$302</f>
        <v>787.66966666666667</v>
      </c>
      <c r="Y52" s="102">
        <f>$E52*'MS 112 Ext Equival'!W$302</f>
        <v>792.30268761904756</v>
      </c>
      <c r="Z52" s="102">
        <f>$E52*'MS 112 Ext Equival'!X$302</f>
        <v>792.30268761904756</v>
      </c>
      <c r="AA52" s="102">
        <f>$E52*'MS 112 Ext Equival'!Y$302</f>
        <v>792.30268761904756</v>
      </c>
      <c r="AB52" s="102">
        <f>$E52*'MS 112 Ext Equival'!Z$302</f>
        <v>792.30268761904756</v>
      </c>
      <c r="AC52" s="102">
        <f>$E52*'MS 112 Ext Equival'!AA$302</f>
        <v>792.30268761904756</v>
      </c>
      <c r="AD52" s="102">
        <f>$E52*'MS 112 Ext Equival'!AB$302</f>
        <v>792.30268761904756</v>
      </c>
      <c r="AE52" s="102">
        <f>$E52*'MS 112 Ext Equival'!AC$302</f>
        <v>792.30268761904756</v>
      </c>
      <c r="AF52" s="102">
        <f>$E52*'MS 112 Ext Equival'!AD$302</f>
        <v>792.30268761904756</v>
      </c>
      <c r="AG52" s="102">
        <f>$E52*'MS 112 Ext Equival'!AE$302</f>
        <v>792.30268761904756</v>
      </c>
      <c r="AH52" s="102">
        <f>$E52*'MS 112 Ext Equival'!AF$302</f>
        <v>792.30268761904756</v>
      </c>
      <c r="AI52" s="102">
        <f>$E52*'MS 112 Ext Equival'!AG$302</f>
        <v>792.30268761904756</v>
      </c>
      <c r="AJ52" s="100">
        <f>SUM(F52:AI52)</f>
        <v>20859.70589714286</v>
      </c>
      <c r="AK52" s="14"/>
    </row>
    <row r="53" spans="2:39" x14ac:dyDescent="0.25">
      <c r="B53" s="109">
        <v>4915734</v>
      </c>
      <c r="C53" s="113" t="s">
        <v>198</v>
      </c>
      <c r="D53" s="96" t="str">
        <f>VLOOKUP(B53,'Padrão Conserva'!$B$10:$G$66,3,FALSE)</f>
        <v>m³/km.eq</v>
      </c>
      <c r="E53" s="97">
        <f>VLOOKUP(B53,'Padrão Conserva'!$B$10:$G$66,4,FALSE)</f>
        <v>4</v>
      </c>
      <c r="F53" s="98">
        <v>0</v>
      </c>
      <c r="G53" s="102">
        <f>$E53*'MS 112 Ext Equival'!E$302</f>
        <v>467.83333333333331</v>
      </c>
      <c r="H53" s="102">
        <f>$E53*'MS 112 Ext Equival'!F$302</f>
        <v>467.83333333333331</v>
      </c>
      <c r="I53" s="102">
        <f>$E53*'MS 112 Ext Equival'!G$302</f>
        <v>467.83333333333331</v>
      </c>
      <c r="J53" s="102">
        <f>$E53*'MS 112 Ext Equival'!H$302</f>
        <v>471.02066666666667</v>
      </c>
      <c r="K53" s="102">
        <f>$E53*'MS 112 Ext Equival'!I$302</f>
        <v>471.02066666666667</v>
      </c>
      <c r="L53" s="102">
        <f>$E53*'MS 112 Ext Equival'!J$302</f>
        <v>555.86350000000004</v>
      </c>
      <c r="M53" s="102">
        <f>$E53*'MS 112 Ext Equival'!K$302</f>
        <v>644.56825000000003</v>
      </c>
      <c r="N53" s="102">
        <f>$E53*'MS 112 Ext Equival'!L$302</f>
        <v>721.70658333333336</v>
      </c>
      <c r="O53" s="102">
        <f>$E53*'MS 112 Ext Equival'!M$302</f>
        <v>787.66966666666667</v>
      </c>
      <c r="P53" s="102">
        <f>$E53*'MS 112 Ext Equival'!N$302</f>
        <v>787.66966666666667</v>
      </c>
      <c r="Q53" s="102">
        <f>$E53*'MS 112 Ext Equival'!O$302</f>
        <v>787.66966666666667</v>
      </c>
      <c r="R53" s="102">
        <f>$E53*'MS 112 Ext Equival'!P$302</f>
        <v>787.66966666666667</v>
      </c>
      <c r="S53" s="102">
        <f>$E53*'MS 112 Ext Equival'!Q$302</f>
        <v>787.66966666666667</v>
      </c>
      <c r="T53" s="102">
        <f>$E53*'MS 112 Ext Equival'!R$302</f>
        <v>787.66966666666667</v>
      </c>
      <c r="U53" s="102">
        <f>$E53*'MS 112 Ext Equival'!S$302</f>
        <v>787.66966666666667</v>
      </c>
      <c r="V53" s="102">
        <f>$E53*'MS 112 Ext Equival'!T$302</f>
        <v>787.66966666666667</v>
      </c>
      <c r="W53" s="102">
        <f>$E53*'MS 112 Ext Equival'!U$302</f>
        <v>787.66966666666667</v>
      </c>
      <c r="X53" s="102">
        <f>$E53*'MS 112 Ext Equival'!V$302</f>
        <v>787.66966666666667</v>
      </c>
      <c r="Y53" s="102">
        <f>$E53*'MS 112 Ext Equival'!W$302</f>
        <v>792.30268761904756</v>
      </c>
      <c r="Z53" s="102">
        <f>$E53*'MS 112 Ext Equival'!X$302</f>
        <v>792.30268761904756</v>
      </c>
      <c r="AA53" s="102">
        <f>$E53*'MS 112 Ext Equival'!Y$302</f>
        <v>792.30268761904756</v>
      </c>
      <c r="AB53" s="102">
        <f>$E53*'MS 112 Ext Equival'!Z$302</f>
        <v>792.30268761904756</v>
      </c>
      <c r="AC53" s="102">
        <f>$E53*'MS 112 Ext Equival'!AA$302</f>
        <v>792.30268761904756</v>
      </c>
      <c r="AD53" s="102">
        <f>$E53*'MS 112 Ext Equival'!AB$302</f>
        <v>792.30268761904756</v>
      </c>
      <c r="AE53" s="102">
        <f>$E53*'MS 112 Ext Equival'!AC$302</f>
        <v>792.30268761904756</v>
      </c>
      <c r="AF53" s="102">
        <f>$E53*'MS 112 Ext Equival'!AD$302</f>
        <v>792.30268761904756</v>
      </c>
      <c r="AG53" s="102">
        <f>$E53*'MS 112 Ext Equival'!AE$302</f>
        <v>792.30268761904756</v>
      </c>
      <c r="AH53" s="102">
        <f>$E53*'MS 112 Ext Equival'!AF$302</f>
        <v>792.30268761904756</v>
      </c>
      <c r="AI53" s="102">
        <f>$E53*'MS 112 Ext Equival'!AG$302</f>
        <v>792.30268761904756</v>
      </c>
      <c r="AJ53" s="100">
        <f>SUM(F53:AI53)</f>
        <v>20859.70589714286</v>
      </c>
    </row>
    <row r="54" spans="2:39" x14ac:dyDescent="0.25">
      <c r="B54" s="109">
        <v>4915774</v>
      </c>
      <c r="C54" s="113" t="s">
        <v>199</v>
      </c>
      <c r="D54" s="96" t="str">
        <f>VLOOKUP(B54,'Padrão Conserva'!$B$10:$G$66,3,FALSE)</f>
        <v>m³/km.eq</v>
      </c>
      <c r="E54" s="97">
        <f>VLOOKUP(B54,'Padrão Conserva'!$B$10:$G$66,4,FALSE)</f>
        <v>4</v>
      </c>
      <c r="F54" s="111">
        <v>0</v>
      </c>
      <c r="G54" s="102">
        <f>$E54*'MS 112 Ext Equival'!E$302</f>
        <v>467.83333333333331</v>
      </c>
      <c r="H54" s="102">
        <f>$E54*'MS 112 Ext Equival'!F$302</f>
        <v>467.83333333333331</v>
      </c>
      <c r="I54" s="102">
        <f>$E54*'MS 112 Ext Equival'!G$302</f>
        <v>467.83333333333331</v>
      </c>
      <c r="J54" s="102">
        <f>$E54*'MS 112 Ext Equival'!H$302</f>
        <v>471.02066666666667</v>
      </c>
      <c r="K54" s="102">
        <f>$E54*'MS 112 Ext Equival'!I$302</f>
        <v>471.02066666666667</v>
      </c>
      <c r="L54" s="102">
        <f>$E54*'MS 112 Ext Equival'!J$302</f>
        <v>555.86350000000004</v>
      </c>
      <c r="M54" s="102">
        <f>$E54*'MS 112 Ext Equival'!K$302</f>
        <v>644.56825000000003</v>
      </c>
      <c r="N54" s="102">
        <f>$E54*'MS 112 Ext Equival'!L$302</f>
        <v>721.70658333333336</v>
      </c>
      <c r="O54" s="102">
        <f>$E54*'MS 112 Ext Equival'!M$302</f>
        <v>787.66966666666667</v>
      </c>
      <c r="P54" s="102">
        <f>$E54*'MS 112 Ext Equival'!N$302</f>
        <v>787.66966666666667</v>
      </c>
      <c r="Q54" s="102">
        <f>$E54*'MS 112 Ext Equival'!O$302</f>
        <v>787.66966666666667</v>
      </c>
      <c r="R54" s="102">
        <f>$E54*'MS 112 Ext Equival'!P$302</f>
        <v>787.66966666666667</v>
      </c>
      <c r="S54" s="102">
        <f>$E54*'MS 112 Ext Equival'!Q$302</f>
        <v>787.66966666666667</v>
      </c>
      <c r="T54" s="102">
        <f>$E54*'MS 112 Ext Equival'!R$302</f>
        <v>787.66966666666667</v>
      </c>
      <c r="U54" s="102">
        <f>$E54*'MS 112 Ext Equival'!S$302</f>
        <v>787.66966666666667</v>
      </c>
      <c r="V54" s="102">
        <f>$E54*'MS 112 Ext Equival'!T$302</f>
        <v>787.66966666666667</v>
      </c>
      <c r="W54" s="102">
        <f>$E54*'MS 112 Ext Equival'!U$302</f>
        <v>787.66966666666667</v>
      </c>
      <c r="X54" s="102">
        <f>$E54*'MS 112 Ext Equival'!V$302</f>
        <v>787.66966666666667</v>
      </c>
      <c r="Y54" s="102">
        <f>$E54*'MS 112 Ext Equival'!W$302</f>
        <v>792.30268761904756</v>
      </c>
      <c r="Z54" s="102">
        <f>$E54*'MS 112 Ext Equival'!X$302</f>
        <v>792.30268761904756</v>
      </c>
      <c r="AA54" s="102">
        <f>$E54*'MS 112 Ext Equival'!Y$302</f>
        <v>792.30268761904756</v>
      </c>
      <c r="AB54" s="102">
        <f>$E54*'MS 112 Ext Equival'!Z$302</f>
        <v>792.30268761904756</v>
      </c>
      <c r="AC54" s="102">
        <f>$E54*'MS 112 Ext Equival'!AA$302</f>
        <v>792.30268761904756</v>
      </c>
      <c r="AD54" s="102">
        <f>$E54*'MS 112 Ext Equival'!AB$302</f>
        <v>792.30268761904756</v>
      </c>
      <c r="AE54" s="102">
        <f>$E54*'MS 112 Ext Equival'!AC$302</f>
        <v>792.30268761904756</v>
      </c>
      <c r="AF54" s="102">
        <f>$E54*'MS 112 Ext Equival'!AD$302</f>
        <v>792.30268761904756</v>
      </c>
      <c r="AG54" s="102">
        <f>$E54*'MS 112 Ext Equival'!AE$302</f>
        <v>792.30268761904756</v>
      </c>
      <c r="AH54" s="102">
        <f>$E54*'MS 112 Ext Equival'!AF$302</f>
        <v>792.30268761904756</v>
      </c>
      <c r="AI54" s="102">
        <f>$E54*'MS 112 Ext Equival'!AG$302</f>
        <v>792.30268761904756</v>
      </c>
      <c r="AJ54" s="100">
        <f>SUM(F54:AI54)</f>
        <v>20859.70589714286</v>
      </c>
      <c r="AK54" s="14"/>
    </row>
    <row r="55" spans="2:39" x14ac:dyDescent="0.25">
      <c r="B55" s="61"/>
      <c r="C55" s="66" t="s">
        <v>200</v>
      </c>
      <c r="D55" s="61"/>
      <c r="E55" s="92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7"/>
    </row>
    <row r="56" spans="2:39" x14ac:dyDescent="0.25">
      <c r="B56" s="77"/>
      <c r="C56" s="68" t="s">
        <v>201</v>
      </c>
      <c r="D56" s="77"/>
      <c r="E56" s="104"/>
      <c r="F56" s="114"/>
      <c r="AJ56" s="95"/>
    </row>
    <row r="57" spans="2:39" x14ac:dyDescent="0.25">
      <c r="B57" s="77"/>
      <c r="C57" s="68" t="s">
        <v>253</v>
      </c>
      <c r="D57" s="115" t="s">
        <v>254</v>
      </c>
      <c r="E57" s="116"/>
      <c r="F57" s="117"/>
      <c r="G57" s="118">
        <f>((219500*4*2/10000)+(('MS 112 Ext Equival'!$AH$97+'MS 112 Ext Equival'!$AH$110)*8/10000))</f>
        <v>175.61031199999999</v>
      </c>
      <c r="H57" s="118">
        <f>((219500*4*2/10000)+(('MS 112 Ext Equival'!$AH$97+'MS 112 Ext Equival'!$AH$110)*8/10000))</f>
        <v>175.61031199999999</v>
      </c>
      <c r="I57" s="118">
        <f>((219500*4*2/10000)+(('MS 112 Ext Equival'!$AH$97+'MS 112 Ext Equival'!$AH$110)*8/10000))</f>
        <v>175.61031199999999</v>
      </c>
      <c r="J57" s="118">
        <f>((219500*4*2/10000)+(('MS 112 Ext Equival'!$AH$97+'MS 112 Ext Equival'!$AH$110)*8/10000))</f>
        <v>175.61031199999999</v>
      </c>
      <c r="K57" s="118">
        <f>((219500*4*2/10000)+(('MS 112 Ext Equival'!$AH$97+'MS 112 Ext Equival'!$AH$110)*8/10000))</f>
        <v>175.61031199999999</v>
      </c>
      <c r="L57" s="118">
        <f>((219500*4*2/10000)+(('MS 112 Ext Equival'!$AH$97+'MS 112 Ext Equival'!$AH$110)*8/10000))</f>
        <v>175.61031199999999</v>
      </c>
      <c r="M57" s="118">
        <f>((219500*4*2/10000)+(('MS 112 Ext Equival'!$AH$97+'MS 112 Ext Equival'!$AH$110)*8/10000))</f>
        <v>175.61031199999999</v>
      </c>
      <c r="N57" s="118">
        <f>((219500*4*2/10000)+(('MS 112 Ext Equival'!$AH$97+'MS 112 Ext Equival'!$AH$110)*8/10000))</f>
        <v>175.61031199999999</v>
      </c>
      <c r="O57" s="118">
        <f>((219500*4*2/10000)+(('MS 112 Ext Equival'!$AH$97+'MS 112 Ext Equival'!$AH$110)*8/10000))</f>
        <v>175.61031199999999</v>
      </c>
      <c r="P57" s="118">
        <f>((219500*4*2/10000)+(('MS 112 Ext Equival'!$AH$97+'MS 112 Ext Equival'!$AH$110)*8/10000))</f>
        <v>175.61031199999999</v>
      </c>
      <c r="Q57" s="118">
        <f>((219500*4*2/10000)+(('MS 112 Ext Equival'!$AH$97+'MS 112 Ext Equival'!$AH$110)*8/10000))</f>
        <v>175.61031199999999</v>
      </c>
      <c r="R57" s="118">
        <f>((219500*4*2/10000)+(('MS 112 Ext Equival'!$AH$97+'MS 112 Ext Equival'!$AH$110)*8/10000))</f>
        <v>175.61031199999999</v>
      </c>
      <c r="S57" s="118">
        <f>((219500*4*2/10000)+(('MS 112 Ext Equival'!$AH$97+'MS 112 Ext Equival'!$AH$110)*8/10000))</f>
        <v>175.61031199999999</v>
      </c>
      <c r="T57" s="118">
        <f>((219500*4*2/10000)+(('MS 112 Ext Equival'!$AH$97+'MS 112 Ext Equival'!$AH$110)*8/10000))</f>
        <v>175.61031199999999</v>
      </c>
      <c r="U57" s="118">
        <f>((219500*4*2/10000)+(('MS 112 Ext Equival'!$AH$97+'MS 112 Ext Equival'!$AH$110)*8/10000))</f>
        <v>175.61031199999999</v>
      </c>
      <c r="V57" s="118">
        <f>((219500*4*2/10000)+(('MS 112 Ext Equival'!$AH$97+'MS 112 Ext Equival'!$AH$110)*8/10000))</f>
        <v>175.61031199999999</v>
      </c>
      <c r="W57" s="118">
        <f>((219500*4*2/10000)+(('MS 112 Ext Equival'!$AH$97+'MS 112 Ext Equival'!$AH$110)*8/10000))</f>
        <v>175.61031199999999</v>
      </c>
      <c r="X57" s="118">
        <f>((219500*4*2/10000)+(('MS 112 Ext Equival'!$AH$97+'MS 112 Ext Equival'!$AH$110)*8/10000))</f>
        <v>175.61031199999999</v>
      </c>
      <c r="Y57" s="118">
        <f>((219500*4*2/10000)+(('MS 112 Ext Equival'!$AH$97+'MS 112 Ext Equival'!$AH$110)*8/10000))</f>
        <v>175.61031199999999</v>
      </c>
      <c r="Z57" s="118">
        <f>((219500*4*2/10000)+(('MS 112 Ext Equival'!$AH$97+'MS 112 Ext Equival'!$AH$110)*8/10000))</f>
        <v>175.61031199999999</v>
      </c>
      <c r="AA57" s="118">
        <f>((219500*4*2/10000)+(('MS 112 Ext Equival'!$AH$97+'MS 112 Ext Equival'!$AH$110)*8/10000))</f>
        <v>175.61031199999999</v>
      </c>
      <c r="AB57" s="118">
        <f>((219500*4*2/10000)+(('MS 112 Ext Equival'!$AH$97+'MS 112 Ext Equival'!$AH$110)*8/10000))</f>
        <v>175.61031199999999</v>
      </c>
      <c r="AC57" s="118">
        <f>((219500*4*2/10000)+(('MS 112 Ext Equival'!$AH$97+'MS 112 Ext Equival'!$AH$110)*8/10000))</f>
        <v>175.61031199999999</v>
      </c>
      <c r="AD57" s="118">
        <f>((219500*4*2/10000)+(('MS 112 Ext Equival'!$AH$97+'MS 112 Ext Equival'!$AH$110)*8/10000))</f>
        <v>175.61031199999999</v>
      </c>
      <c r="AE57" s="118">
        <f>((219500*4*2/10000)+(('MS 112 Ext Equival'!$AH$97+'MS 112 Ext Equival'!$AH$110)*8/10000))</f>
        <v>175.61031199999999</v>
      </c>
      <c r="AF57" s="118">
        <f>((219500*4*2/10000)+(('MS 112 Ext Equival'!$AH$97+'MS 112 Ext Equival'!$AH$110)*8/10000))</f>
        <v>175.61031199999999</v>
      </c>
      <c r="AG57" s="118">
        <f>((219500*4*2/10000)+(('MS 112 Ext Equival'!$AH$97+'MS 112 Ext Equival'!$AH$110)*8/10000))</f>
        <v>175.61031199999999</v>
      </c>
      <c r="AH57" s="118">
        <f>((219500*4*2/10000)+(('MS 112 Ext Equival'!$AH$97+'MS 112 Ext Equival'!$AH$110)*8/10000))</f>
        <v>175.61031199999999</v>
      </c>
      <c r="AI57" s="118">
        <f>((219500*4*2/10000)+(('MS 112 Ext Equival'!$AH$97+'MS 112 Ext Equival'!$AH$110)*8/10000))</f>
        <v>175.61031199999999</v>
      </c>
      <c r="AJ57" s="119"/>
    </row>
    <row r="58" spans="2:39" x14ac:dyDescent="0.25">
      <c r="B58" s="77">
        <v>4915740</v>
      </c>
      <c r="C58" s="84" t="s">
        <v>461</v>
      </c>
      <c r="D58" s="96" t="str">
        <f>VLOOKUP(B58,'Padrão Conserva'!$B$10:$G$66,3,FALSE)</f>
        <v>ha/km</v>
      </c>
      <c r="E58" s="97">
        <f>VLOOKUP(B58,'Padrão Conserva'!$B$10:$G$66,4,FALSE)</f>
        <v>4</v>
      </c>
      <c r="F58" s="98">
        <v>0</v>
      </c>
      <c r="G58" s="102">
        <f>(G57*20%*$E58)</f>
        <v>140.48824959999999</v>
      </c>
      <c r="H58" s="102">
        <f t="shared" ref="H58:AI58" si="8">(H57*20%*$E58)</f>
        <v>140.48824959999999</v>
      </c>
      <c r="I58" s="102">
        <f t="shared" si="8"/>
        <v>140.48824959999999</v>
      </c>
      <c r="J58" s="102">
        <f t="shared" si="8"/>
        <v>140.48824959999999</v>
      </c>
      <c r="K58" s="102">
        <f t="shared" si="8"/>
        <v>140.48824959999999</v>
      </c>
      <c r="L58" s="102">
        <f t="shared" si="8"/>
        <v>140.48824959999999</v>
      </c>
      <c r="M58" s="102">
        <f t="shared" si="8"/>
        <v>140.48824959999999</v>
      </c>
      <c r="N58" s="102">
        <f t="shared" si="8"/>
        <v>140.48824959999999</v>
      </c>
      <c r="O58" s="102">
        <f t="shared" si="8"/>
        <v>140.48824959999999</v>
      </c>
      <c r="P58" s="102">
        <f t="shared" si="8"/>
        <v>140.48824959999999</v>
      </c>
      <c r="Q58" s="102">
        <f t="shared" si="8"/>
        <v>140.48824959999999</v>
      </c>
      <c r="R58" s="102">
        <f t="shared" si="8"/>
        <v>140.48824959999999</v>
      </c>
      <c r="S58" s="102">
        <f t="shared" si="8"/>
        <v>140.48824959999999</v>
      </c>
      <c r="T58" s="102">
        <f t="shared" si="8"/>
        <v>140.48824959999999</v>
      </c>
      <c r="U58" s="102">
        <f t="shared" si="8"/>
        <v>140.48824959999999</v>
      </c>
      <c r="V58" s="102">
        <f t="shared" si="8"/>
        <v>140.48824959999999</v>
      </c>
      <c r="W58" s="102">
        <f t="shared" si="8"/>
        <v>140.48824959999999</v>
      </c>
      <c r="X58" s="102">
        <f t="shared" si="8"/>
        <v>140.48824959999999</v>
      </c>
      <c r="Y58" s="102">
        <f t="shared" si="8"/>
        <v>140.48824959999999</v>
      </c>
      <c r="Z58" s="102">
        <f t="shared" si="8"/>
        <v>140.48824959999999</v>
      </c>
      <c r="AA58" s="102">
        <f t="shared" si="8"/>
        <v>140.48824959999999</v>
      </c>
      <c r="AB58" s="102">
        <f t="shared" si="8"/>
        <v>140.48824959999999</v>
      </c>
      <c r="AC58" s="102">
        <f t="shared" si="8"/>
        <v>140.48824959999999</v>
      </c>
      <c r="AD58" s="102">
        <f t="shared" si="8"/>
        <v>140.48824959999999</v>
      </c>
      <c r="AE58" s="102">
        <f t="shared" si="8"/>
        <v>140.48824959999999</v>
      </c>
      <c r="AF58" s="102">
        <f t="shared" si="8"/>
        <v>140.48824959999999</v>
      </c>
      <c r="AG58" s="102">
        <f t="shared" si="8"/>
        <v>140.48824959999999</v>
      </c>
      <c r="AH58" s="102">
        <f t="shared" si="8"/>
        <v>140.48824959999999</v>
      </c>
      <c r="AI58" s="102">
        <f t="shared" si="8"/>
        <v>140.48824959999999</v>
      </c>
      <c r="AJ58" s="100">
        <f t="shared" ref="AJ58:AJ63" si="9">SUM(F58:AI58)</f>
        <v>4074.1592384</v>
      </c>
    </row>
    <row r="59" spans="2:39" x14ac:dyDescent="0.25">
      <c r="B59" s="77">
        <v>4915742</v>
      </c>
      <c r="C59" s="84" t="s">
        <v>462</v>
      </c>
      <c r="D59" s="96" t="str">
        <f>VLOOKUP(B59,'Padrão Conserva'!$B$10:$G$66,3,FALSE)</f>
        <v>ha/km</v>
      </c>
      <c r="E59" s="97">
        <f>VLOOKUP(B59,'Padrão Conserva'!$B$10:$G$66,4,FALSE)</f>
        <v>4</v>
      </c>
      <c r="F59" s="98">
        <v>0</v>
      </c>
      <c r="G59" s="102">
        <f>(G$57*80%*$E59)</f>
        <v>561.95299839999996</v>
      </c>
      <c r="H59" s="102">
        <f t="shared" ref="H59:AI59" si="10">(H$57*80%*$E59)</f>
        <v>561.95299839999996</v>
      </c>
      <c r="I59" s="102">
        <f t="shared" si="10"/>
        <v>561.95299839999996</v>
      </c>
      <c r="J59" s="102">
        <f t="shared" si="10"/>
        <v>561.95299839999996</v>
      </c>
      <c r="K59" s="102">
        <f t="shared" si="10"/>
        <v>561.95299839999996</v>
      </c>
      <c r="L59" s="102">
        <f t="shared" si="10"/>
        <v>561.95299839999996</v>
      </c>
      <c r="M59" s="102">
        <f t="shared" si="10"/>
        <v>561.95299839999996</v>
      </c>
      <c r="N59" s="102">
        <f t="shared" si="10"/>
        <v>561.95299839999996</v>
      </c>
      <c r="O59" s="102">
        <f t="shared" si="10"/>
        <v>561.95299839999996</v>
      </c>
      <c r="P59" s="102">
        <f t="shared" si="10"/>
        <v>561.95299839999996</v>
      </c>
      <c r="Q59" s="102">
        <f t="shared" si="10"/>
        <v>561.95299839999996</v>
      </c>
      <c r="R59" s="102">
        <f t="shared" si="10"/>
        <v>561.95299839999996</v>
      </c>
      <c r="S59" s="102">
        <f t="shared" si="10"/>
        <v>561.95299839999996</v>
      </c>
      <c r="T59" s="102">
        <f t="shared" si="10"/>
        <v>561.95299839999996</v>
      </c>
      <c r="U59" s="102">
        <f t="shared" si="10"/>
        <v>561.95299839999996</v>
      </c>
      <c r="V59" s="102">
        <f t="shared" si="10"/>
        <v>561.95299839999996</v>
      </c>
      <c r="W59" s="102">
        <f t="shared" si="10"/>
        <v>561.95299839999996</v>
      </c>
      <c r="X59" s="102">
        <f t="shared" si="10"/>
        <v>561.95299839999996</v>
      </c>
      <c r="Y59" s="102">
        <f t="shared" si="10"/>
        <v>561.95299839999996</v>
      </c>
      <c r="Z59" s="102">
        <f t="shared" si="10"/>
        <v>561.95299839999996</v>
      </c>
      <c r="AA59" s="102">
        <f t="shared" si="10"/>
        <v>561.95299839999996</v>
      </c>
      <c r="AB59" s="102">
        <f t="shared" si="10"/>
        <v>561.95299839999996</v>
      </c>
      <c r="AC59" s="102">
        <f t="shared" si="10"/>
        <v>561.95299839999996</v>
      </c>
      <c r="AD59" s="102">
        <f t="shared" si="10"/>
        <v>561.95299839999996</v>
      </c>
      <c r="AE59" s="102">
        <f t="shared" si="10"/>
        <v>561.95299839999996</v>
      </c>
      <c r="AF59" s="102">
        <f t="shared" si="10"/>
        <v>561.95299839999996</v>
      </c>
      <c r="AG59" s="102">
        <f t="shared" si="10"/>
        <v>561.95299839999996</v>
      </c>
      <c r="AH59" s="102">
        <f t="shared" si="10"/>
        <v>561.95299839999996</v>
      </c>
      <c r="AI59" s="102">
        <f t="shared" si="10"/>
        <v>561.95299839999996</v>
      </c>
      <c r="AJ59" s="100">
        <f t="shared" si="9"/>
        <v>16296.6369536</v>
      </c>
    </row>
    <row r="60" spans="2:39" s="229" customFormat="1" x14ac:dyDescent="0.25">
      <c r="B60" s="77">
        <v>4915744</v>
      </c>
      <c r="C60" s="84" t="s">
        <v>205</v>
      </c>
      <c r="D60" s="96" t="str">
        <f>VLOOKUP(B60,'Padrão Conserva'!$B$10:$G$66,3,FALSE)</f>
        <v>m²/km</v>
      </c>
      <c r="E60" s="97">
        <f>VLOOKUP(B60,'Padrão Conserva'!$B$10:$G$66,4,FALSE)</f>
        <v>3</v>
      </c>
      <c r="F60" s="98">
        <v>0</v>
      </c>
      <c r="G60" s="102">
        <f>$G$2*2*2*$E$60</f>
        <v>2406</v>
      </c>
      <c r="H60" s="102">
        <f t="shared" ref="H60:AI60" si="11">$G$2*2*2*$E$60</f>
        <v>2406</v>
      </c>
      <c r="I60" s="102">
        <f t="shared" si="11"/>
        <v>2406</v>
      </c>
      <c r="J60" s="102">
        <f t="shared" si="11"/>
        <v>2406</v>
      </c>
      <c r="K60" s="102">
        <f t="shared" si="11"/>
        <v>2406</v>
      </c>
      <c r="L60" s="102">
        <f t="shared" si="11"/>
        <v>2406</v>
      </c>
      <c r="M60" s="102">
        <f t="shared" si="11"/>
        <v>2406</v>
      </c>
      <c r="N60" s="102">
        <f t="shared" si="11"/>
        <v>2406</v>
      </c>
      <c r="O60" s="102">
        <f t="shared" si="11"/>
        <v>2406</v>
      </c>
      <c r="P60" s="102">
        <f t="shared" si="11"/>
        <v>2406</v>
      </c>
      <c r="Q60" s="102">
        <f t="shared" si="11"/>
        <v>2406</v>
      </c>
      <c r="R60" s="102">
        <f t="shared" si="11"/>
        <v>2406</v>
      </c>
      <c r="S60" s="102">
        <f t="shared" si="11"/>
        <v>2406</v>
      </c>
      <c r="T60" s="102">
        <f t="shared" si="11"/>
        <v>2406</v>
      </c>
      <c r="U60" s="102">
        <f t="shared" si="11"/>
        <v>2406</v>
      </c>
      <c r="V60" s="102">
        <f t="shared" si="11"/>
        <v>2406</v>
      </c>
      <c r="W60" s="102">
        <f t="shared" si="11"/>
        <v>2406</v>
      </c>
      <c r="X60" s="102">
        <f t="shared" si="11"/>
        <v>2406</v>
      </c>
      <c r="Y60" s="102">
        <f t="shared" si="11"/>
        <v>2406</v>
      </c>
      <c r="Z60" s="102">
        <f t="shared" si="11"/>
        <v>2406</v>
      </c>
      <c r="AA60" s="102">
        <f t="shared" si="11"/>
        <v>2406</v>
      </c>
      <c r="AB60" s="102">
        <f t="shared" si="11"/>
        <v>2406</v>
      </c>
      <c r="AC60" s="102">
        <f t="shared" si="11"/>
        <v>2406</v>
      </c>
      <c r="AD60" s="102">
        <f t="shared" si="11"/>
        <v>2406</v>
      </c>
      <c r="AE60" s="102">
        <f t="shared" si="11"/>
        <v>2406</v>
      </c>
      <c r="AF60" s="102">
        <f t="shared" si="11"/>
        <v>2406</v>
      </c>
      <c r="AG60" s="102">
        <f t="shared" si="11"/>
        <v>2406</v>
      </c>
      <c r="AH60" s="102">
        <f t="shared" si="11"/>
        <v>2406</v>
      </c>
      <c r="AI60" s="102">
        <f t="shared" si="11"/>
        <v>2406</v>
      </c>
      <c r="AJ60" s="100">
        <f t="shared" si="9"/>
        <v>69774</v>
      </c>
    </row>
    <row r="61" spans="2:39" s="229" customFormat="1" x14ac:dyDescent="0.25">
      <c r="B61" s="77">
        <v>4413905</v>
      </c>
      <c r="C61" s="84" t="s">
        <v>255</v>
      </c>
      <c r="D61" s="96" t="str">
        <f>VLOOKUP(B61,'Padrão Conserva'!$B$10:$G$66,3,FALSE)</f>
        <v>m²/km</v>
      </c>
      <c r="E61" s="97">
        <f>VLOOKUP(B61,'Padrão Conserva'!$B$10:$G$66,4,FALSE)</f>
        <v>300</v>
      </c>
      <c r="F61" s="98">
        <v>0</v>
      </c>
      <c r="G61" s="102">
        <f>$E61*'MS 112 Ext Equival'!E175</f>
        <v>120300</v>
      </c>
      <c r="H61" s="102">
        <f>$E61*'MS 112 Ext Equival'!F175</f>
        <v>120300</v>
      </c>
      <c r="I61" s="102">
        <f>$E61*'MS 112 Ext Equival'!G175</f>
        <v>120300</v>
      </c>
      <c r="J61" s="102">
        <f>$E61*'MS 112 Ext Equival'!H175</f>
        <v>119550</v>
      </c>
      <c r="K61" s="102">
        <f>$E61*'MS 112 Ext Equival'!I175</f>
        <v>119550</v>
      </c>
      <c r="L61" s="102">
        <f>$E61*'MS 112 Ext Equival'!J175</f>
        <v>120345.3</v>
      </c>
      <c r="M61" s="102">
        <f>$E61*'MS 112 Ext Equival'!K175</f>
        <v>121522.94999999998</v>
      </c>
      <c r="N61" s="102">
        <f>$E61*'MS 112 Ext Equival'!L175</f>
        <v>122854.95</v>
      </c>
      <c r="O61" s="102">
        <f>$E61*'MS 112 Ext Equival'!M175</f>
        <v>123447.6</v>
      </c>
      <c r="P61" s="102">
        <f>$E61*'MS 112 Ext Equival'!N175</f>
        <v>123447.6</v>
      </c>
      <c r="Q61" s="102">
        <f>$E61*'MS 112 Ext Equival'!O175</f>
        <v>123447.6</v>
      </c>
      <c r="R61" s="102">
        <f>$E61*'MS 112 Ext Equival'!P175</f>
        <v>123447.6</v>
      </c>
      <c r="S61" s="102">
        <f>$E61*'MS 112 Ext Equival'!Q175</f>
        <v>123447.6</v>
      </c>
      <c r="T61" s="102">
        <f>$E61*'MS 112 Ext Equival'!R175</f>
        <v>123447.6</v>
      </c>
      <c r="U61" s="102">
        <f>$E61*'MS 112 Ext Equival'!S175</f>
        <v>123447.6</v>
      </c>
      <c r="V61" s="102">
        <f>$E61*'MS 112 Ext Equival'!T175</f>
        <v>123447.6</v>
      </c>
      <c r="W61" s="102">
        <f>$E61*'MS 112 Ext Equival'!U175</f>
        <v>123447.6</v>
      </c>
      <c r="X61" s="102">
        <f>$E61*'MS 112 Ext Equival'!V175</f>
        <v>123447.6</v>
      </c>
      <c r="Y61" s="102">
        <f>$E61*'MS 112 Ext Equival'!W175</f>
        <v>124130.18742857143</v>
      </c>
      <c r="Z61" s="102">
        <f>$E61*'MS 112 Ext Equival'!X175</f>
        <v>124130.18742857143</v>
      </c>
      <c r="AA61" s="102">
        <f>$E61*'MS 112 Ext Equival'!Y175</f>
        <v>124130.18742857143</v>
      </c>
      <c r="AB61" s="102">
        <f>$E61*'MS 112 Ext Equival'!Z175</f>
        <v>124130.18742857143</v>
      </c>
      <c r="AC61" s="102">
        <f>$E61*'MS 112 Ext Equival'!AA175</f>
        <v>124130.18742857143</v>
      </c>
      <c r="AD61" s="102">
        <f>$E61*'MS 112 Ext Equival'!AB175</f>
        <v>124130.18742857143</v>
      </c>
      <c r="AE61" s="102">
        <f>$E61*'MS 112 Ext Equival'!AC175</f>
        <v>124130.18742857143</v>
      </c>
      <c r="AF61" s="102">
        <f>$E61*'MS 112 Ext Equival'!AD175</f>
        <v>124130.18742857143</v>
      </c>
      <c r="AG61" s="102">
        <f>$E61*'MS 112 Ext Equival'!AE175</f>
        <v>124130.18742857143</v>
      </c>
      <c r="AH61" s="102">
        <f>$E61*'MS 112 Ext Equival'!AF175</f>
        <v>124130.18742857143</v>
      </c>
      <c r="AI61" s="102">
        <f>$E61*'MS 112 Ext Equival'!AG175</f>
        <v>124130.18742857143</v>
      </c>
      <c r="AJ61" s="100">
        <f t="shared" si="9"/>
        <v>3564631.2617142848</v>
      </c>
    </row>
    <row r="62" spans="2:39" x14ac:dyDescent="0.25">
      <c r="B62" s="77">
        <v>4915698</v>
      </c>
      <c r="C62" s="84" t="s">
        <v>208</v>
      </c>
      <c r="D62" s="96" t="str">
        <f>'Padrão Conserva'!$D$59</f>
        <v>m³/km</v>
      </c>
      <c r="E62" s="97">
        <f>'Padrão Conserva'!E59</f>
        <v>15</v>
      </c>
      <c r="F62" s="98">
        <v>0</v>
      </c>
      <c r="G62" s="99">
        <f>$E62*'MS 112 Ext Equival'!E175</f>
        <v>6015</v>
      </c>
      <c r="H62" s="99">
        <f>$E62*'MS 112 Ext Equival'!F175</f>
        <v>6015</v>
      </c>
      <c r="I62" s="99">
        <f>$E62*'MS 112 Ext Equival'!G175</f>
        <v>6015</v>
      </c>
      <c r="J62" s="99">
        <f>$E62*'MS 112 Ext Equival'!H175</f>
        <v>5977.5</v>
      </c>
      <c r="K62" s="99">
        <f>$E62*'MS 112 Ext Equival'!I175</f>
        <v>5977.5</v>
      </c>
      <c r="L62" s="99">
        <f>$E62*'MS 112 Ext Equival'!J175</f>
        <v>6017.2650000000003</v>
      </c>
      <c r="M62" s="99">
        <f>$E62*'MS 112 Ext Equival'!K175</f>
        <v>6076.1474999999991</v>
      </c>
      <c r="N62" s="99">
        <f>$E62*'MS 112 Ext Equival'!L175</f>
        <v>6142.7475000000004</v>
      </c>
      <c r="O62" s="99">
        <f>$E62*'MS 112 Ext Equival'!M175</f>
        <v>6172.38</v>
      </c>
      <c r="P62" s="99">
        <f>$E62*'MS 112 Ext Equival'!N175</f>
        <v>6172.38</v>
      </c>
      <c r="Q62" s="99">
        <f>$E62*'MS 112 Ext Equival'!O175</f>
        <v>6172.38</v>
      </c>
      <c r="R62" s="99">
        <f>$E62*'MS 112 Ext Equival'!P175</f>
        <v>6172.38</v>
      </c>
      <c r="S62" s="99">
        <f>$E62*'MS 112 Ext Equival'!Q175</f>
        <v>6172.38</v>
      </c>
      <c r="T62" s="99">
        <f>$E62*'MS 112 Ext Equival'!R175</f>
        <v>6172.38</v>
      </c>
      <c r="U62" s="99">
        <f>$E62*'MS 112 Ext Equival'!S175</f>
        <v>6172.38</v>
      </c>
      <c r="V62" s="99">
        <f>$E62*'MS 112 Ext Equival'!T175</f>
        <v>6172.38</v>
      </c>
      <c r="W62" s="99">
        <f>$E62*'MS 112 Ext Equival'!U175</f>
        <v>6172.38</v>
      </c>
      <c r="X62" s="99">
        <f>$E62*'MS 112 Ext Equival'!V175</f>
        <v>6172.38</v>
      </c>
      <c r="Y62" s="99">
        <f>$E62*'MS 112 Ext Equival'!W175</f>
        <v>6206.5093714285713</v>
      </c>
      <c r="Z62" s="99">
        <f>$E62*'MS 112 Ext Equival'!X175</f>
        <v>6206.5093714285713</v>
      </c>
      <c r="AA62" s="99">
        <f>$E62*'MS 112 Ext Equival'!Y175</f>
        <v>6206.5093714285713</v>
      </c>
      <c r="AB62" s="99">
        <f>$E62*'MS 112 Ext Equival'!Z175</f>
        <v>6206.5093714285713</v>
      </c>
      <c r="AC62" s="99">
        <f>$E62*'MS 112 Ext Equival'!AA175</f>
        <v>6206.5093714285713</v>
      </c>
      <c r="AD62" s="99">
        <f>$E62*'MS 112 Ext Equival'!AB175</f>
        <v>6206.5093714285713</v>
      </c>
      <c r="AE62" s="99">
        <f>$E62*'MS 112 Ext Equival'!AC175</f>
        <v>6206.5093714285713</v>
      </c>
      <c r="AF62" s="99">
        <f>$E62*'MS 112 Ext Equival'!AD175</f>
        <v>6206.5093714285713</v>
      </c>
      <c r="AG62" s="99">
        <f>$E62*'MS 112 Ext Equival'!AE175</f>
        <v>6206.5093714285713</v>
      </c>
      <c r="AH62" s="99">
        <f>$E62*'MS 112 Ext Equival'!AF175</f>
        <v>6206.5093714285713</v>
      </c>
      <c r="AI62" s="99">
        <f>$E62*'MS 112 Ext Equival'!AG175</f>
        <v>6206.5093714285713</v>
      </c>
      <c r="AJ62" s="100">
        <f t="shared" si="9"/>
        <v>178231.56308571436</v>
      </c>
    </row>
    <row r="63" spans="2:39" x14ac:dyDescent="0.25">
      <c r="B63" s="77">
        <v>4915725</v>
      </c>
      <c r="C63" s="84" t="s">
        <v>209</v>
      </c>
      <c r="D63" s="96" t="str">
        <f>VLOOKUP(B63,'Padrão Conserva'!$B$10:$G$66,3,FALSE)</f>
        <v>m/km</v>
      </c>
      <c r="E63" s="97">
        <f>VLOOKUP(B63,'Padrão Conserva'!$B$10:$G$66,4,FALSE)</f>
        <v>45</v>
      </c>
      <c r="F63" s="98">
        <v>0</v>
      </c>
      <c r="G63" s="99">
        <f>5370/'MS 112 Ext Equival'!E175*$E63</f>
        <v>602.61845386533662</v>
      </c>
      <c r="H63" s="99">
        <f>5370/'MS 112 Ext Equival'!F175*$E63</f>
        <v>602.61845386533662</v>
      </c>
      <c r="I63" s="99">
        <f>5370/'MS 112 Ext Equival'!G175*$E63</f>
        <v>602.61845386533662</v>
      </c>
      <c r="J63" s="99">
        <f>5370/'MS 112 Ext Equival'!H175*$E63</f>
        <v>606.39899623588451</v>
      </c>
      <c r="K63" s="99">
        <f>5370/'MS 112 Ext Equival'!I175*$E63</f>
        <v>606.39899623588451</v>
      </c>
      <c r="L63" s="99">
        <f>5370/'MS 112 Ext Equival'!J175*$E63</f>
        <v>602.39161811886288</v>
      </c>
      <c r="M63" s="99">
        <f>5370/'MS 112 Ext Equival'!K175*$E63</f>
        <v>596.55398424741998</v>
      </c>
      <c r="N63" s="99">
        <f>5370/'MS 112 Ext Equival'!L175*$E63</f>
        <v>590.08611374633256</v>
      </c>
      <c r="O63" s="99">
        <f>5370/'MS 112 Ext Equival'!M175*$E63</f>
        <v>587.25321512933419</v>
      </c>
      <c r="P63" s="99">
        <f>5370/'MS 112 Ext Equival'!N175*$E63</f>
        <v>587.25321512933419</v>
      </c>
      <c r="Q63" s="99">
        <f>5370/'MS 112 Ext Equival'!O175*$E63</f>
        <v>587.25321512933419</v>
      </c>
      <c r="R63" s="99">
        <f>5370/'MS 112 Ext Equival'!P175*$E63</f>
        <v>587.25321512933419</v>
      </c>
      <c r="S63" s="99">
        <f>5370/'MS 112 Ext Equival'!Q175*$E63</f>
        <v>587.25321512933419</v>
      </c>
      <c r="T63" s="99">
        <f>5370/'MS 112 Ext Equival'!R175*$E63</f>
        <v>587.25321512933419</v>
      </c>
      <c r="U63" s="99">
        <f>5370/'MS 112 Ext Equival'!S175*$E63</f>
        <v>587.25321512933419</v>
      </c>
      <c r="V63" s="99">
        <f>5370/'MS 112 Ext Equival'!T175*$E63</f>
        <v>587.25321512933419</v>
      </c>
      <c r="W63" s="99">
        <f>5370/'MS 112 Ext Equival'!U175*$E63</f>
        <v>587.25321512933419</v>
      </c>
      <c r="X63" s="99">
        <f>5370/'MS 112 Ext Equival'!V175*$E63</f>
        <v>587.25321512933419</v>
      </c>
      <c r="Y63" s="99">
        <f>5370/'MS 112 Ext Equival'!W175*$E63</f>
        <v>584.02393085659355</v>
      </c>
      <c r="Z63" s="99">
        <f>5370/'MS 112 Ext Equival'!X175*$E63</f>
        <v>584.02393085659355</v>
      </c>
      <c r="AA63" s="99">
        <f>5370/'MS 112 Ext Equival'!Y175*$E63</f>
        <v>584.02393085659355</v>
      </c>
      <c r="AB63" s="99">
        <f>5370/'MS 112 Ext Equival'!Z175*$E63</f>
        <v>584.02393085659355</v>
      </c>
      <c r="AC63" s="99">
        <f>5370/'MS 112 Ext Equival'!AA175*$E63</f>
        <v>584.02393085659355</v>
      </c>
      <c r="AD63" s="99">
        <f>5370/'MS 112 Ext Equival'!AB175*$E63</f>
        <v>584.02393085659355</v>
      </c>
      <c r="AE63" s="99">
        <f>5370/'MS 112 Ext Equival'!AC175*$E63</f>
        <v>584.02393085659355</v>
      </c>
      <c r="AF63" s="99">
        <f>5370/'MS 112 Ext Equival'!AD175*$E63</f>
        <v>584.02393085659355</v>
      </c>
      <c r="AG63" s="99">
        <f>5370/'MS 112 Ext Equival'!AE175*$E63</f>
        <v>584.02393085659355</v>
      </c>
      <c r="AH63" s="99">
        <f>5370/'MS 112 Ext Equival'!AF175*$E63</f>
        <v>584.02393085659355</v>
      </c>
      <c r="AI63" s="99">
        <f>5370/'MS 112 Ext Equival'!AG175*$E63</f>
        <v>584.02393085659355</v>
      </c>
      <c r="AJ63" s="100">
        <f t="shared" si="9"/>
        <v>17106.480460896273</v>
      </c>
    </row>
    <row r="64" spans="2:39" x14ac:dyDescent="0.25">
      <c r="B64" s="61"/>
      <c r="C64" s="66" t="s">
        <v>210</v>
      </c>
      <c r="D64" s="61"/>
      <c r="E64" s="92"/>
      <c r="F64" s="105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7"/>
    </row>
    <row r="65" spans="2:36" x14ac:dyDescent="0.25">
      <c r="B65" s="77"/>
      <c r="C65" s="68" t="s">
        <v>211</v>
      </c>
      <c r="D65" s="77"/>
      <c r="E65" s="104"/>
      <c r="F65" s="94"/>
      <c r="AJ65" s="95"/>
    </row>
    <row r="66" spans="2:36" x14ac:dyDescent="0.25">
      <c r="B66" s="77" t="s">
        <v>212</v>
      </c>
      <c r="C66" s="84" t="s">
        <v>213</v>
      </c>
      <c r="D66" s="96" t="str">
        <f>VLOOKUP(B66,'Padrão Conserva'!$B$10:$G$66,3,FALSE)</f>
        <v>equipe.mês</v>
      </c>
      <c r="E66" s="97">
        <f>ROUND($G$2/(200.9+194.9+18.1),6)</f>
        <v>0.48441699999999999</v>
      </c>
      <c r="F66" s="98">
        <v>0</v>
      </c>
      <c r="G66" s="104">
        <f>+$E66*12</f>
        <v>5.8130039999999994</v>
      </c>
      <c r="H66" s="104">
        <f t="shared" ref="H66:AI66" si="12">+$E66*12</f>
        <v>5.8130039999999994</v>
      </c>
      <c r="I66" s="104">
        <f t="shared" si="12"/>
        <v>5.8130039999999994</v>
      </c>
      <c r="J66" s="104">
        <f t="shared" si="12"/>
        <v>5.8130039999999994</v>
      </c>
      <c r="K66" s="104">
        <f t="shared" si="12"/>
        <v>5.8130039999999994</v>
      </c>
      <c r="L66" s="104">
        <f t="shared" si="12"/>
        <v>5.8130039999999994</v>
      </c>
      <c r="M66" s="104">
        <f t="shared" si="12"/>
        <v>5.8130039999999994</v>
      </c>
      <c r="N66" s="104">
        <f t="shared" si="12"/>
        <v>5.8130039999999994</v>
      </c>
      <c r="O66" s="104">
        <f t="shared" si="12"/>
        <v>5.8130039999999994</v>
      </c>
      <c r="P66" s="104">
        <f t="shared" si="12"/>
        <v>5.8130039999999994</v>
      </c>
      <c r="Q66" s="104">
        <f t="shared" si="12"/>
        <v>5.8130039999999994</v>
      </c>
      <c r="R66" s="104">
        <f t="shared" si="12"/>
        <v>5.8130039999999994</v>
      </c>
      <c r="S66" s="104">
        <f t="shared" si="12"/>
        <v>5.8130039999999994</v>
      </c>
      <c r="T66" s="104">
        <f t="shared" si="12"/>
        <v>5.8130039999999994</v>
      </c>
      <c r="U66" s="104">
        <f t="shared" si="12"/>
        <v>5.8130039999999994</v>
      </c>
      <c r="V66" s="104">
        <f t="shared" si="12"/>
        <v>5.8130039999999994</v>
      </c>
      <c r="W66" s="104">
        <f t="shared" si="12"/>
        <v>5.8130039999999994</v>
      </c>
      <c r="X66" s="104">
        <f t="shared" si="12"/>
        <v>5.8130039999999994</v>
      </c>
      <c r="Y66" s="104">
        <f t="shared" si="12"/>
        <v>5.8130039999999994</v>
      </c>
      <c r="Z66" s="104">
        <f t="shared" si="12"/>
        <v>5.8130039999999994</v>
      </c>
      <c r="AA66" s="104">
        <f t="shared" si="12"/>
        <v>5.8130039999999994</v>
      </c>
      <c r="AB66" s="104">
        <f t="shared" si="12"/>
        <v>5.8130039999999994</v>
      </c>
      <c r="AC66" s="104">
        <f t="shared" si="12"/>
        <v>5.8130039999999994</v>
      </c>
      <c r="AD66" s="104">
        <f t="shared" si="12"/>
        <v>5.8130039999999994</v>
      </c>
      <c r="AE66" s="104">
        <f t="shared" si="12"/>
        <v>5.8130039999999994</v>
      </c>
      <c r="AF66" s="104">
        <f t="shared" si="12"/>
        <v>5.8130039999999994</v>
      </c>
      <c r="AG66" s="104">
        <f t="shared" si="12"/>
        <v>5.8130039999999994</v>
      </c>
      <c r="AH66" s="104">
        <f t="shared" si="12"/>
        <v>5.8130039999999994</v>
      </c>
      <c r="AI66" s="104">
        <f t="shared" si="12"/>
        <v>5.8130039999999994</v>
      </c>
      <c r="AJ66" s="100">
        <f>SUM(F66:AI66)</f>
        <v>168.5771160000001</v>
      </c>
    </row>
    <row r="67" spans="2:36" x14ac:dyDescent="0.25">
      <c r="B67" s="61"/>
      <c r="C67" s="66" t="s">
        <v>215</v>
      </c>
      <c r="D67" s="61"/>
      <c r="E67" s="92"/>
      <c r="F67" s="105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7"/>
    </row>
    <row r="68" spans="2:36" x14ac:dyDescent="0.25">
      <c r="B68" s="77"/>
      <c r="C68" s="68" t="s">
        <v>216</v>
      </c>
      <c r="D68" s="77"/>
      <c r="E68" s="104"/>
      <c r="F68" s="94"/>
      <c r="AJ68" s="95"/>
    </row>
    <row r="69" spans="2:36" x14ac:dyDescent="0.25">
      <c r="B69" s="77" t="s">
        <v>217</v>
      </c>
      <c r="C69" s="84" t="s">
        <v>218</v>
      </c>
      <c r="D69" s="96" t="str">
        <f>VLOOKUP(B69,'Padrão Conserva'!$B$10:$G$66,3,FALSE)</f>
        <v>equipe.mês</v>
      </c>
      <c r="E69" s="97">
        <f>ROUND($G$2/(200.9+194.9+18.1),6)</f>
        <v>0.48441699999999999</v>
      </c>
      <c r="F69" s="98">
        <v>0</v>
      </c>
      <c r="G69" s="104">
        <f>+$E69*12</f>
        <v>5.8130039999999994</v>
      </c>
      <c r="H69" s="104">
        <f t="shared" ref="H69:AI69" si="13">+$E69*12</f>
        <v>5.8130039999999994</v>
      </c>
      <c r="I69" s="104">
        <f t="shared" si="13"/>
        <v>5.8130039999999994</v>
      </c>
      <c r="J69" s="104">
        <f t="shared" si="13"/>
        <v>5.8130039999999994</v>
      </c>
      <c r="K69" s="104">
        <f t="shared" si="13"/>
        <v>5.8130039999999994</v>
      </c>
      <c r="L69" s="104">
        <f t="shared" si="13"/>
        <v>5.8130039999999994</v>
      </c>
      <c r="M69" s="104">
        <f t="shared" si="13"/>
        <v>5.8130039999999994</v>
      </c>
      <c r="N69" s="104">
        <f t="shared" si="13"/>
        <v>5.8130039999999994</v>
      </c>
      <c r="O69" s="104">
        <f t="shared" si="13"/>
        <v>5.8130039999999994</v>
      </c>
      <c r="P69" s="104">
        <f t="shared" si="13"/>
        <v>5.8130039999999994</v>
      </c>
      <c r="Q69" s="104">
        <f t="shared" si="13"/>
        <v>5.8130039999999994</v>
      </c>
      <c r="R69" s="104">
        <f t="shared" si="13"/>
        <v>5.8130039999999994</v>
      </c>
      <c r="S69" s="104">
        <f t="shared" si="13"/>
        <v>5.8130039999999994</v>
      </c>
      <c r="T69" s="104">
        <f t="shared" si="13"/>
        <v>5.8130039999999994</v>
      </c>
      <c r="U69" s="104">
        <f t="shared" si="13"/>
        <v>5.8130039999999994</v>
      </c>
      <c r="V69" s="104">
        <f t="shared" si="13"/>
        <v>5.8130039999999994</v>
      </c>
      <c r="W69" s="104">
        <f t="shared" si="13"/>
        <v>5.8130039999999994</v>
      </c>
      <c r="X69" s="104">
        <f t="shared" si="13"/>
        <v>5.8130039999999994</v>
      </c>
      <c r="Y69" s="104">
        <f t="shared" si="13"/>
        <v>5.8130039999999994</v>
      </c>
      <c r="Z69" s="104">
        <f t="shared" si="13"/>
        <v>5.8130039999999994</v>
      </c>
      <c r="AA69" s="104">
        <f t="shared" si="13"/>
        <v>5.8130039999999994</v>
      </c>
      <c r="AB69" s="104">
        <f t="shared" si="13"/>
        <v>5.8130039999999994</v>
      </c>
      <c r="AC69" s="104">
        <f t="shared" si="13"/>
        <v>5.8130039999999994</v>
      </c>
      <c r="AD69" s="104">
        <f t="shared" si="13"/>
        <v>5.8130039999999994</v>
      </c>
      <c r="AE69" s="104">
        <f t="shared" si="13"/>
        <v>5.8130039999999994</v>
      </c>
      <c r="AF69" s="104">
        <f t="shared" si="13"/>
        <v>5.8130039999999994</v>
      </c>
      <c r="AG69" s="104">
        <f t="shared" si="13"/>
        <v>5.8130039999999994</v>
      </c>
      <c r="AH69" s="104">
        <f t="shared" si="13"/>
        <v>5.8130039999999994</v>
      </c>
      <c r="AI69" s="104">
        <f t="shared" si="13"/>
        <v>5.8130039999999994</v>
      </c>
      <c r="AJ69" s="100">
        <f>SUM(F69:AI69)</f>
        <v>168.5771160000001</v>
      </c>
    </row>
    <row r="70" spans="2:36" x14ac:dyDescent="0.25">
      <c r="B70" s="94"/>
      <c r="C70" s="94"/>
      <c r="D70" s="120"/>
      <c r="E70" s="94"/>
      <c r="F70" s="94"/>
    </row>
  </sheetData>
  <mergeCells count="33">
    <mergeCell ref="AD5:AD6"/>
    <mergeCell ref="AF5:AF6"/>
    <mergeCell ref="AG5:AG6"/>
    <mergeCell ref="AH5:AH6"/>
    <mergeCell ref="AI5:AI6"/>
    <mergeCell ref="F5:F6"/>
    <mergeCell ref="G5:G6"/>
    <mergeCell ref="H5:H6"/>
    <mergeCell ref="I5:I6"/>
    <mergeCell ref="J5:J6"/>
    <mergeCell ref="B4:C4"/>
    <mergeCell ref="F4:AJ4"/>
    <mergeCell ref="L5:L6"/>
    <mergeCell ref="M5:M6"/>
    <mergeCell ref="N5:N6"/>
    <mergeCell ref="O5:O6"/>
    <mergeCell ref="P5:P6"/>
    <mergeCell ref="Q5:Q6"/>
    <mergeCell ref="R5:R6"/>
    <mergeCell ref="AE5:AE6"/>
    <mergeCell ref="T5:T6"/>
    <mergeCell ref="U5:U6"/>
    <mergeCell ref="AB5:AB6"/>
    <mergeCell ref="W5:W6"/>
    <mergeCell ref="AJ5:AJ6"/>
    <mergeCell ref="K5:K6"/>
    <mergeCell ref="V5:V6"/>
    <mergeCell ref="AA5:AA6"/>
    <mergeCell ref="X5:X6"/>
    <mergeCell ref="AC5:AC6"/>
    <mergeCell ref="S5:S6"/>
    <mergeCell ref="Y5:Y6"/>
    <mergeCell ref="Z5:Z6"/>
  </mergeCells>
  <pageMargins left="0.511811024" right="0.511811024" top="0.78740157499999996" bottom="0.78740157499999996" header="0.31496062000000002" footer="0.31496062000000002"/>
  <ignoredErrors>
    <ignoredError sqref="D62:E62 H53:AI5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20D2-22CE-4C5A-BC21-1C7D91E7B8A8}">
  <sheetPr>
    <tabColor theme="9" tint="0.59999389629810485"/>
  </sheetPr>
  <dimension ref="A1:D67"/>
  <sheetViews>
    <sheetView showGridLines="0" zoomScale="80" zoomScaleNormal="80" workbookViewId="0"/>
  </sheetViews>
  <sheetFormatPr defaultColWidth="10" defaultRowHeight="13.8" x14ac:dyDescent="0.25"/>
  <cols>
    <col min="1" max="1" width="14.75" style="1" bestFit="1" customWidth="1"/>
    <col min="2" max="2" width="80.625" style="1" bestFit="1" customWidth="1"/>
    <col min="3" max="3" width="15.625" style="1" customWidth="1"/>
    <col min="4" max="4" width="11.75" style="1" bestFit="1" customWidth="1"/>
    <col min="5" max="16384" width="10" style="1"/>
  </cols>
  <sheetData>
    <row r="1" spans="1:4" ht="18" x14ac:dyDescent="0.25">
      <c r="A1" s="279"/>
      <c r="B1" s="50" t="s">
        <v>0</v>
      </c>
      <c r="C1" s="50" t="s">
        <v>1</v>
      </c>
      <c r="D1" s="165"/>
    </row>
    <row r="2" spans="1:4" ht="15" x14ac:dyDescent="0.25">
      <c r="A2" s="167"/>
      <c r="B2" s="5" t="s">
        <v>345</v>
      </c>
      <c r="C2" s="53" t="s">
        <v>124</v>
      </c>
      <c r="D2" s="54" t="s">
        <v>1048</v>
      </c>
    </row>
    <row r="3" spans="1:4" x14ac:dyDescent="0.25">
      <c r="A3" s="167"/>
    </row>
    <row r="4" spans="1:4" ht="26.4" x14ac:dyDescent="0.25">
      <c r="A4" s="381" t="s">
        <v>128</v>
      </c>
      <c r="B4" s="381"/>
      <c r="C4" s="161" t="s">
        <v>5</v>
      </c>
      <c r="D4" s="161" t="s">
        <v>310</v>
      </c>
    </row>
    <row r="5" spans="1:4" ht="21" customHeight="1" x14ac:dyDescent="0.25">
      <c r="A5" s="64" t="s">
        <v>133</v>
      </c>
      <c r="B5" s="65" t="s">
        <v>134</v>
      </c>
      <c r="C5" s="65"/>
      <c r="D5" s="162" t="s">
        <v>311</v>
      </c>
    </row>
    <row r="6" spans="1:4" x14ac:dyDescent="0.25">
      <c r="A6" s="61"/>
      <c r="B6" s="66" t="s">
        <v>136</v>
      </c>
      <c r="C6" s="66"/>
      <c r="D6" s="93"/>
    </row>
    <row r="7" spans="1:4" x14ac:dyDescent="0.25">
      <c r="A7" s="77"/>
      <c r="B7" s="68" t="s">
        <v>137</v>
      </c>
      <c r="C7" s="68"/>
      <c r="D7" s="69"/>
    </row>
    <row r="8" spans="1:4" x14ac:dyDescent="0.25">
      <c r="A8" s="173">
        <v>4915757</v>
      </c>
      <c r="B8" s="174" t="s">
        <v>138</v>
      </c>
      <c r="C8" s="71" t="s">
        <v>313</v>
      </c>
      <c r="D8" s="104">
        <f>VLOOKUP(A8,'Planilha SIPOM'!$A:$F,6,FALSE)</f>
        <v>375.87</v>
      </c>
    </row>
    <row r="9" spans="1:4" x14ac:dyDescent="0.25">
      <c r="A9" s="173">
        <v>4011480</v>
      </c>
      <c r="B9" s="174" t="s">
        <v>140</v>
      </c>
      <c r="C9" s="71" t="s">
        <v>313</v>
      </c>
      <c r="D9" s="104">
        <f>VLOOKUP(A9,'Planilha SIPOM'!$A:$F,6,FALSE)</f>
        <v>91.12</v>
      </c>
    </row>
    <row r="10" spans="1:4" x14ac:dyDescent="0.25">
      <c r="A10" s="173">
        <v>4011353</v>
      </c>
      <c r="B10" s="174" t="s">
        <v>141</v>
      </c>
      <c r="C10" s="71" t="s">
        <v>54</v>
      </c>
      <c r="D10" s="104">
        <f>VLOOKUP(A10,'Planilha SIPOM'!$A:$F,6,FALSE)</f>
        <v>0.24</v>
      </c>
    </row>
    <row r="11" spans="1:4" ht="14.4" x14ac:dyDescent="0.25">
      <c r="A11" s="173">
        <v>4011463</v>
      </c>
      <c r="B11" s="174" t="s">
        <v>143</v>
      </c>
      <c r="C11" s="175" t="s">
        <v>314</v>
      </c>
      <c r="D11" s="104">
        <f>VLOOKUP(A11,'Planilha SIPOM'!$A:$F,6,FALSE)</f>
        <v>203.79</v>
      </c>
    </row>
    <row r="12" spans="1:4" ht="14.4" x14ac:dyDescent="0.25">
      <c r="A12" s="173">
        <v>4915694</v>
      </c>
      <c r="B12" s="174" t="s">
        <v>145</v>
      </c>
      <c r="C12" s="175" t="s">
        <v>315</v>
      </c>
      <c r="D12" s="104">
        <f>VLOOKUP(A12,'Planilha SIPOM'!$A:$F,6,FALSE)</f>
        <v>22.95</v>
      </c>
    </row>
    <row r="13" spans="1:4" x14ac:dyDescent="0.25">
      <c r="A13" s="173">
        <v>4915698</v>
      </c>
      <c r="B13" s="174" t="s">
        <v>147</v>
      </c>
      <c r="C13" s="71" t="s">
        <v>54</v>
      </c>
      <c r="D13" s="104">
        <f>VLOOKUP(A13,'Planilha SIPOM'!$A:$F,6,FALSE)</f>
        <v>29.94</v>
      </c>
    </row>
    <row r="14" spans="1:4" x14ac:dyDescent="0.25">
      <c r="A14" s="173">
        <v>4915753</v>
      </c>
      <c r="B14" s="176" t="s">
        <v>149</v>
      </c>
      <c r="C14" s="71" t="s">
        <v>313</v>
      </c>
      <c r="D14" s="104">
        <f>VLOOKUP(A14,'Planilha SIPOM'!$A:$F,6,FALSE)</f>
        <v>1098</v>
      </c>
    </row>
    <row r="15" spans="1:4" x14ac:dyDescent="0.25">
      <c r="A15" s="173">
        <v>4915695</v>
      </c>
      <c r="B15" s="176" t="s">
        <v>151</v>
      </c>
      <c r="C15" s="71" t="s">
        <v>316</v>
      </c>
      <c r="D15" s="104">
        <f>VLOOKUP(A15,'Planilha SIPOM'!$A:$F,6,FALSE)</f>
        <v>5.39</v>
      </c>
    </row>
    <row r="16" spans="1:4" x14ac:dyDescent="0.25">
      <c r="A16" s="77"/>
      <c r="B16" s="68" t="s">
        <v>153</v>
      </c>
      <c r="C16" s="115"/>
      <c r="D16" s="104"/>
    </row>
    <row r="17" spans="1:4" x14ac:dyDescent="0.25">
      <c r="A17" s="77" t="s">
        <v>154</v>
      </c>
      <c r="B17" s="78" t="s">
        <v>155</v>
      </c>
      <c r="C17" s="77" t="s">
        <v>314</v>
      </c>
      <c r="D17" s="104">
        <f>[1]Resumo!$AK$9</f>
        <v>3781.4293247936012</v>
      </c>
    </row>
    <row r="18" spans="1:4" x14ac:dyDescent="0.25">
      <c r="A18" s="77" t="s">
        <v>157</v>
      </c>
      <c r="B18" s="78" t="s">
        <v>158</v>
      </c>
      <c r="C18" s="77" t="s">
        <v>314</v>
      </c>
      <c r="D18" s="104">
        <f>[1]Resumo!$AG$14</f>
        <v>5080</v>
      </c>
    </row>
    <row r="19" spans="1:4" x14ac:dyDescent="0.25">
      <c r="A19" s="77" t="s">
        <v>157</v>
      </c>
      <c r="B19" s="78" t="s">
        <v>160</v>
      </c>
      <c r="C19" s="77" t="s">
        <v>314</v>
      </c>
      <c r="D19" s="104">
        <f>[1]Resumo!$AG$14</f>
        <v>5080</v>
      </c>
    </row>
    <row r="20" spans="1:4" x14ac:dyDescent="0.25">
      <c r="A20" s="77" t="s">
        <v>161</v>
      </c>
      <c r="B20" s="78" t="s">
        <v>162</v>
      </c>
      <c r="C20" s="77" t="s">
        <v>315</v>
      </c>
      <c r="D20" s="104">
        <v>4.95</v>
      </c>
    </row>
    <row r="21" spans="1:4" x14ac:dyDescent="0.25">
      <c r="A21" s="61"/>
      <c r="B21" s="66" t="s">
        <v>164</v>
      </c>
      <c r="C21" s="61"/>
      <c r="D21" s="93"/>
    </row>
    <row r="22" spans="1:4" x14ac:dyDescent="0.25">
      <c r="A22" s="77"/>
      <c r="B22" s="68" t="s">
        <v>165</v>
      </c>
      <c r="C22" s="115"/>
      <c r="D22" s="104"/>
    </row>
    <row r="23" spans="1:4" x14ac:dyDescent="0.25">
      <c r="A23" s="77">
        <v>5214011</v>
      </c>
      <c r="B23" s="67" t="s">
        <v>166</v>
      </c>
      <c r="C23" s="77" t="s">
        <v>54</v>
      </c>
      <c r="D23" s="104">
        <f>VLOOKUP(A23,'Planilha SIPOM'!$A:$F,6,FALSE)</f>
        <v>10.49</v>
      </c>
    </row>
    <row r="24" spans="1:4" x14ac:dyDescent="0.25">
      <c r="A24" s="77">
        <v>5213360</v>
      </c>
      <c r="B24" s="67" t="s">
        <v>167</v>
      </c>
      <c r="C24" s="77" t="s">
        <v>262</v>
      </c>
      <c r="D24" s="104">
        <f>VLOOKUP(A24,'Planilha SIPOM'!$A:$F,6,FALSE)</f>
        <v>17.89</v>
      </c>
    </row>
    <row r="25" spans="1:4" x14ac:dyDescent="0.25">
      <c r="A25" s="77">
        <v>5213477</v>
      </c>
      <c r="B25" s="67" t="s">
        <v>169</v>
      </c>
      <c r="C25" s="77" t="s">
        <v>262</v>
      </c>
      <c r="D25" s="104">
        <f>VLOOKUP(A25,'Planilha SIPOM'!$A:$F,6,FALSE)</f>
        <v>125.98</v>
      </c>
    </row>
    <row r="26" spans="1:4" x14ac:dyDescent="0.25">
      <c r="A26" s="77">
        <v>4915718</v>
      </c>
      <c r="B26" s="67" t="s">
        <v>170</v>
      </c>
      <c r="C26" s="77" t="s">
        <v>262</v>
      </c>
      <c r="D26" s="104">
        <f>VLOOKUP(A26,'Planilha SIPOM'!$A:$F,6,FALSE)</f>
        <v>7.22</v>
      </c>
    </row>
    <row r="27" spans="1:4" x14ac:dyDescent="0.25">
      <c r="A27" s="77"/>
      <c r="B27" s="68" t="s">
        <v>171</v>
      </c>
      <c r="C27" s="115"/>
      <c r="D27" s="104"/>
    </row>
    <row r="28" spans="1:4" x14ac:dyDescent="0.25">
      <c r="A28" s="77">
        <v>5213440</v>
      </c>
      <c r="B28" s="67" t="s">
        <v>172</v>
      </c>
      <c r="C28" s="77" t="s">
        <v>54</v>
      </c>
      <c r="D28" s="104">
        <f>VLOOKUP(A28,'Planilha SIPOM'!$A:$F,6,FALSE)</f>
        <v>214.72</v>
      </c>
    </row>
    <row r="29" spans="1:4" x14ac:dyDescent="0.25">
      <c r="A29" s="77">
        <v>4915718</v>
      </c>
      <c r="B29" s="67" t="s">
        <v>173</v>
      </c>
      <c r="C29" s="77" t="s">
        <v>54</v>
      </c>
      <c r="D29" s="104">
        <f>VLOOKUP(A29,'Planilha SIPOM'!$A:$F,6,FALSE)</f>
        <v>7.22</v>
      </c>
    </row>
    <row r="30" spans="1:4" x14ac:dyDescent="0.25">
      <c r="A30" s="77"/>
      <c r="B30" s="68" t="s">
        <v>174</v>
      </c>
      <c r="C30" s="115"/>
      <c r="D30" s="104"/>
    </row>
    <row r="31" spans="1:4" x14ac:dyDescent="0.25">
      <c r="A31" s="77">
        <v>4915721</v>
      </c>
      <c r="B31" s="67" t="s">
        <v>175</v>
      </c>
      <c r="C31" s="77" t="s">
        <v>316</v>
      </c>
      <c r="D31" s="104">
        <f>VLOOKUP(A31,'Planilha SIPOM'!$A:$F,6,FALSE)</f>
        <v>674.75</v>
      </c>
    </row>
    <row r="32" spans="1:4" x14ac:dyDescent="0.25">
      <c r="A32" s="77" t="s">
        <v>351</v>
      </c>
      <c r="B32" s="67" t="s">
        <v>177</v>
      </c>
      <c r="C32" s="77" t="s">
        <v>313</v>
      </c>
      <c r="D32" s="104">
        <f>VLOOKUP(A32,'Planilha SIPOM'!$A:$F,6,FALSE)</f>
        <v>576.61</v>
      </c>
    </row>
    <row r="33" spans="1:4" x14ac:dyDescent="0.25">
      <c r="A33" s="77">
        <v>3713823</v>
      </c>
      <c r="B33" s="67" t="s">
        <v>179</v>
      </c>
      <c r="C33" s="77" t="s">
        <v>316</v>
      </c>
      <c r="D33" s="104">
        <f>VLOOKUP(A33,'Planilha SIPOM'!$A:$F,6,FALSE)</f>
        <v>271.79000000000002</v>
      </c>
    </row>
    <row r="34" spans="1:4" x14ac:dyDescent="0.25">
      <c r="A34" s="61"/>
      <c r="B34" s="66" t="s">
        <v>180</v>
      </c>
      <c r="C34" s="61"/>
      <c r="D34" s="93"/>
    </row>
    <row r="35" spans="1:4" x14ac:dyDescent="0.25">
      <c r="A35" s="77"/>
      <c r="B35" s="68" t="s">
        <v>317</v>
      </c>
      <c r="C35" s="115"/>
      <c r="D35" s="104"/>
    </row>
    <row r="36" spans="1:4" x14ac:dyDescent="0.25">
      <c r="A36" s="77">
        <v>4816118</v>
      </c>
      <c r="B36" s="84" t="s">
        <v>182</v>
      </c>
      <c r="C36" s="77" t="s">
        <v>316</v>
      </c>
      <c r="D36" s="104">
        <f>VLOOKUP(A36,'Planilha SIPOM'!$A:$F,6,FALSE)</f>
        <v>91.22</v>
      </c>
    </row>
    <row r="37" spans="1:4" x14ac:dyDescent="0.25">
      <c r="A37" s="77">
        <v>4915723</v>
      </c>
      <c r="B37" s="84" t="s">
        <v>184</v>
      </c>
      <c r="C37" s="77" t="s">
        <v>54</v>
      </c>
      <c r="D37" s="104">
        <f>VLOOKUP(A37,'Planilha SIPOM'!$A:$F,6,FALSE)</f>
        <v>2.56</v>
      </c>
    </row>
    <row r="38" spans="1:4" x14ac:dyDescent="0.25">
      <c r="A38" s="77">
        <v>3806406</v>
      </c>
      <c r="B38" s="84" t="s">
        <v>837</v>
      </c>
      <c r="C38" s="77" t="s">
        <v>316</v>
      </c>
      <c r="D38" s="104">
        <f>VLOOKUP(A38,'Planilha SIPOM'!$A:$F,6,FALSE)</f>
        <v>1414.58</v>
      </c>
    </row>
    <row r="39" spans="1:4" x14ac:dyDescent="0.25">
      <c r="A39" s="77">
        <v>4915686</v>
      </c>
      <c r="B39" s="84" t="s">
        <v>838</v>
      </c>
      <c r="C39" s="77" t="s">
        <v>316</v>
      </c>
      <c r="D39" s="104">
        <f>VLOOKUP(A39,'Planilha SIPOM'!$A:$F,6,FALSE)</f>
        <v>4.95</v>
      </c>
    </row>
    <row r="40" spans="1:4" x14ac:dyDescent="0.25">
      <c r="A40" s="77">
        <v>4915672</v>
      </c>
      <c r="B40" s="84" t="s">
        <v>839</v>
      </c>
      <c r="C40" s="77" t="s">
        <v>855</v>
      </c>
      <c r="D40" s="104">
        <f>VLOOKUP(A40,'Planilha SIPOM'!$A:$F,6,FALSE)</f>
        <v>3.55</v>
      </c>
    </row>
    <row r="41" spans="1:4" x14ac:dyDescent="0.25">
      <c r="A41" s="77">
        <v>4915672</v>
      </c>
      <c r="B41" s="84" t="s">
        <v>185</v>
      </c>
      <c r="C41" s="77" t="s">
        <v>316</v>
      </c>
      <c r="D41" s="104">
        <f>VLOOKUP(A41,'Planilha SIPOM'!$A:$F,6,FALSE)</f>
        <v>3.55</v>
      </c>
    </row>
    <row r="42" spans="1:4" x14ac:dyDescent="0.25">
      <c r="A42" s="61"/>
      <c r="B42" s="66" t="s">
        <v>186</v>
      </c>
      <c r="C42" s="61"/>
      <c r="D42" s="93"/>
    </row>
    <row r="43" spans="1:4" x14ac:dyDescent="0.25">
      <c r="A43" s="77"/>
      <c r="B43" s="68" t="s">
        <v>187</v>
      </c>
      <c r="C43" s="115"/>
      <c r="D43" s="104"/>
    </row>
    <row r="44" spans="1:4" x14ac:dyDescent="0.25">
      <c r="A44" s="77">
        <v>4915708</v>
      </c>
      <c r="B44" s="84" t="s">
        <v>188</v>
      </c>
      <c r="C44" s="77" t="s">
        <v>316</v>
      </c>
      <c r="D44" s="104">
        <f>VLOOKUP(A44,'Planilha SIPOM'!$A:$F,6,FALSE)</f>
        <v>0.59</v>
      </c>
    </row>
    <row r="45" spans="1:4" x14ac:dyDescent="0.25">
      <c r="A45" s="77">
        <v>4915723</v>
      </c>
      <c r="B45" s="84" t="s">
        <v>189</v>
      </c>
      <c r="C45" s="77" t="s">
        <v>54</v>
      </c>
      <c r="D45" s="104">
        <f>VLOOKUP(A45,'Planilha SIPOM'!$A:$F,6,FALSE)</f>
        <v>2.56</v>
      </c>
    </row>
    <row r="46" spans="1:4" x14ac:dyDescent="0.25">
      <c r="A46" s="77">
        <v>4915710</v>
      </c>
      <c r="B46" s="84" t="s">
        <v>190</v>
      </c>
      <c r="C46" s="77" t="s">
        <v>316</v>
      </c>
      <c r="D46" s="104">
        <f>VLOOKUP(A46,'Planilha SIPOM'!$A:$F,6,FALSE)</f>
        <v>3.55</v>
      </c>
    </row>
    <row r="47" spans="1:4" x14ac:dyDescent="0.25">
      <c r="A47" s="77">
        <v>4915712</v>
      </c>
      <c r="B47" s="84" t="s">
        <v>191</v>
      </c>
      <c r="C47" s="77" t="s">
        <v>313</v>
      </c>
      <c r="D47" s="104">
        <f>VLOOKUP(A47,'Planilha SIPOM'!$A:$F,6,FALSE)</f>
        <v>17.77</v>
      </c>
    </row>
    <row r="48" spans="1:4" x14ac:dyDescent="0.25">
      <c r="A48" s="77" t="s">
        <v>350</v>
      </c>
      <c r="B48" s="84" t="s">
        <v>193</v>
      </c>
      <c r="C48" s="77" t="s">
        <v>313</v>
      </c>
      <c r="D48" s="104">
        <f>VLOOKUP(A48,'Planilha SIPOM'!$A:$F,6,FALSE)</f>
        <v>416.74</v>
      </c>
    </row>
    <row r="49" spans="1:4" x14ac:dyDescent="0.25">
      <c r="A49" s="61"/>
      <c r="B49" s="66" t="s">
        <v>194</v>
      </c>
      <c r="C49" s="61"/>
      <c r="D49" s="93"/>
    </row>
    <row r="50" spans="1:4" x14ac:dyDescent="0.25">
      <c r="A50" s="77"/>
      <c r="B50" s="68" t="s">
        <v>195</v>
      </c>
      <c r="C50" s="115"/>
      <c r="D50" s="104"/>
    </row>
    <row r="51" spans="1:4" x14ac:dyDescent="0.25">
      <c r="A51" s="77">
        <v>4915733</v>
      </c>
      <c r="B51" s="84" t="s">
        <v>196</v>
      </c>
      <c r="C51" s="77" t="s">
        <v>313</v>
      </c>
      <c r="D51" s="104">
        <f>VLOOKUP(A51,'Planilha SIPOM'!$A:$F,6,FALSE)</f>
        <v>44.23</v>
      </c>
    </row>
    <row r="52" spans="1:4" x14ac:dyDescent="0.25">
      <c r="A52" s="77">
        <v>4915734</v>
      </c>
      <c r="B52" s="84" t="s">
        <v>198</v>
      </c>
      <c r="C52" s="77" t="s">
        <v>313</v>
      </c>
      <c r="D52" s="104">
        <f>VLOOKUP(A52,'Planilha SIPOM'!$A:$F,6,FALSE)</f>
        <v>20.22</v>
      </c>
    </row>
    <row r="53" spans="1:4" x14ac:dyDescent="0.25">
      <c r="A53" s="77">
        <v>4915774</v>
      </c>
      <c r="B53" s="84" t="s">
        <v>199</v>
      </c>
      <c r="C53" s="77" t="s">
        <v>313</v>
      </c>
      <c r="D53" s="104">
        <f>VLOOKUP(A53,'Planilha SIPOM'!$A:$F,6,FALSE)</f>
        <v>31.22</v>
      </c>
    </row>
    <row r="54" spans="1:4" x14ac:dyDescent="0.25">
      <c r="A54" s="61"/>
      <c r="B54" s="66" t="s">
        <v>200</v>
      </c>
      <c r="C54" s="61"/>
      <c r="D54" s="93"/>
    </row>
    <row r="55" spans="1:4" x14ac:dyDescent="0.25">
      <c r="A55" s="77"/>
      <c r="B55" s="68" t="s">
        <v>318</v>
      </c>
      <c r="C55" s="177"/>
      <c r="D55" s="104"/>
    </row>
    <row r="56" spans="1:4" x14ac:dyDescent="0.25">
      <c r="A56" s="77">
        <v>4915740</v>
      </c>
      <c r="B56" s="84" t="s">
        <v>202</v>
      </c>
      <c r="C56" s="77" t="s">
        <v>254</v>
      </c>
      <c r="D56" s="104">
        <f>VLOOKUP(A56,'Planilha SIPOM'!$A:$F,6,FALSE)</f>
        <v>1521.83</v>
      </c>
    </row>
    <row r="57" spans="1:4" x14ac:dyDescent="0.25">
      <c r="A57" s="77">
        <v>4915742</v>
      </c>
      <c r="B57" s="84" t="s">
        <v>204</v>
      </c>
      <c r="C57" s="77" t="s">
        <v>254</v>
      </c>
      <c r="D57" s="104">
        <f>VLOOKUP(A57,'Planilha SIPOM'!$A:$F,6,FALSE)</f>
        <v>323.06</v>
      </c>
    </row>
    <row r="58" spans="1:4" x14ac:dyDescent="0.25">
      <c r="A58" s="77">
        <v>4915744</v>
      </c>
      <c r="B58" s="84" t="s">
        <v>205</v>
      </c>
      <c r="C58" s="77" t="s">
        <v>54</v>
      </c>
      <c r="D58" s="104">
        <f>VLOOKUP(A58,'Planilha SIPOM'!$A:$F,6,FALSE)</f>
        <v>0.61</v>
      </c>
    </row>
    <row r="59" spans="1:4" x14ac:dyDescent="0.25">
      <c r="A59" s="77">
        <v>4413905</v>
      </c>
      <c r="B59" s="84" t="s">
        <v>319</v>
      </c>
      <c r="C59" s="77" t="s">
        <v>54</v>
      </c>
      <c r="D59" s="104">
        <f>VLOOKUP(A59,'Planilha SIPOM'!$A:$F,6,FALSE)</f>
        <v>2.97</v>
      </c>
    </row>
    <row r="60" spans="1:4" x14ac:dyDescent="0.25">
      <c r="A60" s="77">
        <v>4915698</v>
      </c>
      <c r="B60" s="84" t="s">
        <v>208</v>
      </c>
      <c r="C60" s="77" t="s">
        <v>313</v>
      </c>
      <c r="D60" s="104">
        <f>VLOOKUP(A60,'Planilha SIPOM'!$A:$F,6,FALSE)</f>
        <v>29.94</v>
      </c>
    </row>
    <row r="61" spans="1:4" x14ac:dyDescent="0.25">
      <c r="A61" s="77">
        <v>4915725</v>
      </c>
      <c r="B61" s="84" t="s">
        <v>209</v>
      </c>
      <c r="C61" s="77" t="s">
        <v>316</v>
      </c>
      <c r="D61" s="104">
        <f>VLOOKUP(A61,'Planilha SIPOM'!$A:$F,6,FALSE)</f>
        <v>28.02</v>
      </c>
    </row>
    <row r="62" spans="1:4" x14ac:dyDescent="0.25">
      <c r="A62" s="61"/>
      <c r="B62" s="66" t="s">
        <v>210</v>
      </c>
      <c r="C62" s="61"/>
      <c r="D62" s="93"/>
    </row>
    <row r="63" spans="1:4" x14ac:dyDescent="0.25">
      <c r="A63" s="77"/>
      <c r="B63" s="68" t="s">
        <v>211</v>
      </c>
      <c r="C63" s="115"/>
      <c r="D63" s="84"/>
    </row>
    <row r="64" spans="1:4" x14ac:dyDescent="0.25">
      <c r="A64" s="77" t="s">
        <v>320</v>
      </c>
      <c r="B64" s="84" t="s">
        <v>213</v>
      </c>
      <c r="C64" s="77" t="s">
        <v>321</v>
      </c>
      <c r="D64" s="104">
        <f>VLOOKUP(A64,'Planilha SIPOM'!$A:$F,6,FALSE)</f>
        <v>7939.86</v>
      </c>
    </row>
    <row r="65" spans="1:4" x14ac:dyDescent="0.25">
      <c r="A65" s="61"/>
      <c r="B65" s="66" t="s">
        <v>215</v>
      </c>
      <c r="C65" s="61"/>
      <c r="D65" s="93"/>
    </row>
    <row r="66" spans="1:4" x14ac:dyDescent="0.25">
      <c r="A66" s="77"/>
      <c r="B66" s="68" t="s">
        <v>216</v>
      </c>
      <c r="C66" s="115"/>
      <c r="D66" s="84"/>
    </row>
    <row r="67" spans="1:4" x14ac:dyDescent="0.25">
      <c r="A67" s="77" t="s">
        <v>322</v>
      </c>
      <c r="B67" s="84" t="s">
        <v>218</v>
      </c>
      <c r="C67" s="77" t="s">
        <v>321</v>
      </c>
      <c r="D67" s="104">
        <f>VLOOKUP(A67,'Planilha SIPOM'!$A:$F,6,FALSE)</f>
        <v>10468.040000000001</v>
      </c>
    </row>
  </sheetData>
  <mergeCells count="1">
    <mergeCell ref="A4:B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38EB5-3E5E-427B-9816-5B056E344854}">
  <sheetPr>
    <tabColor rgb="FF92D050"/>
  </sheetPr>
  <dimension ref="A1:F86"/>
  <sheetViews>
    <sheetView showGridLines="0" workbookViewId="0"/>
  </sheetViews>
  <sheetFormatPr defaultRowHeight="13.8" x14ac:dyDescent="0.25"/>
  <cols>
    <col min="1" max="1" width="14.25" style="47" customWidth="1"/>
    <col min="2" max="2" width="60.625" style="1" customWidth="1"/>
    <col min="3" max="3" width="9" style="47"/>
    <col min="4" max="7" width="9" style="1"/>
    <col min="8" max="8" width="13.125" style="1" bestFit="1" customWidth="1"/>
    <col min="9" max="16384" width="9" style="1"/>
  </cols>
  <sheetData>
    <row r="1" spans="1:6" s="47" customFormat="1" x14ac:dyDescent="0.25">
      <c r="A1" s="364" t="s">
        <v>352</v>
      </c>
      <c r="B1" s="71" t="s">
        <v>353</v>
      </c>
      <c r="C1" s="71" t="s">
        <v>354</v>
      </c>
      <c r="D1" s="365" t="s">
        <v>355</v>
      </c>
      <c r="E1" s="365" t="s">
        <v>356</v>
      </c>
      <c r="F1" s="365" t="s">
        <v>357</v>
      </c>
    </row>
    <row r="2" spans="1:6" x14ac:dyDescent="0.25">
      <c r="A2" s="364" t="s">
        <v>438</v>
      </c>
      <c r="B2" s="362" t="s">
        <v>358</v>
      </c>
      <c r="C2" s="71" t="s">
        <v>359</v>
      </c>
      <c r="D2" s="363" t="s">
        <v>360</v>
      </c>
      <c r="E2" s="363" t="s">
        <v>360</v>
      </c>
      <c r="F2" s="363" t="s">
        <v>360</v>
      </c>
    </row>
    <row r="3" spans="1:6" x14ac:dyDescent="0.25">
      <c r="A3" s="364" t="s">
        <v>438</v>
      </c>
      <c r="B3" s="362" t="s">
        <v>361</v>
      </c>
      <c r="C3" s="71" t="s">
        <v>359</v>
      </c>
      <c r="D3" s="363" t="s">
        <v>360</v>
      </c>
      <c r="E3" s="363" t="s">
        <v>360</v>
      </c>
      <c r="F3" s="363" t="s">
        <v>360</v>
      </c>
    </row>
    <row r="4" spans="1:6" x14ac:dyDescent="0.25">
      <c r="A4" s="364" t="s">
        <v>438</v>
      </c>
      <c r="B4" s="362" t="s">
        <v>358</v>
      </c>
      <c r="C4" s="71" t="s">
        <v>359</v>
      </c>
      <c r="D4" s="363" t="s">
        <v>360</v>
      </c>
      <c r="E4" s="363" t="s">
        <v>360</v>
      </c>
      <c r="F4" s="363" t="s">
        <v>360</v>
      </c>
    </row>
    <row r="5" spans="1:6" x14ac:dyDescent="0.25">
      <c r="A5" s="364" t="s">
        <v>438</v>
      </c>
      <c r="B5" s="362" t="s">
        <v>362</v>
      </c>
      <c r="C5" s="71" t="s">
        <v>359</v>
      </c>
      <c r="D5" s="363" t="s">
        <v>360</v>
      </c>
      <c r="E5" s="363" t="s">
        <v>360</v>
      </c>
      <c r="F5" s="363" t="s">
        <v>360</v>
      </c>
    </row>
    <row r="6" spans="1:6" x14ac:dyDescent="0.25">
      <c r="A6" s="364" t="s">
        <v>438</v>
      </c>
      <c r="B6" s="362" t="s">
        <v>363</v>
      </c>
      <c r="C6" s="71" t="s">
        <v>359</v>
      </c>
      <c r="D6" s="363" t="s">
        <v>360</v>
      </c>
      <c r="E6" s="363" t="s">
        <v>360</v>
      </c>
      <c r="F6" s="363" t="s">
        <v>360</v>
      </c>
    </row>
    <row r="7" spans="1:6" x14ac:dyDescent="0.25">
      <c r="A7" s="366">
        <v>4915757</v>
      </c>
      <c r="B7" s="362" t="s">
        <v>364</v>
      </c>
      <c r="C7" s="71" t="s">
        <v>313</v>
      </c>
      <c r="D7" s="363">
        <v>1</v>
      </c>
      <c r="E7" s="363">
        <v>375.87</v>
      </c>
      <c r="F7" s="363">
        <f>E7*D7</f>
        <v>375.87</v>
      </c>
    </row>
    <row r="8" spans="1:6" x14ac:dyDescent="0.25">
      <c r="A8" s="366">
        <v>4011480</v>
      </c>
      <c r="B8" s="362" t="s">
        <v>366</v>
      </c>
      <c r="C8" s="71" t="s">
        <v>313</v>
      </c>
      <c r="D8" s="363">
        <v>1</v>
      </c>
      <c r="E8" s="363">
        <v>91.12</v>
      </c>
      <c r="F8" s="363">
        <f t="shared" ref="F8:F14" si="0">E8*D8</f>
        <v>91.12</v>
      </c>
    </row>
    <row r="9" spans="1:6" x14ac:dyDescent="0.25">
      <c r="A9" s="366">
        <v>4011353</v>
      </c>
      <c r="B9" s="362" t="s">
        <v>367</v>
      </c>
      <c r="C9" s="71" t="s">
        <v>54</v>
      </c>
      <c r="D9" s="363">
        <v>1</v>
      </c>
      <c r="E9" s="363">
        <v>0.24</v>
      </c>
      <c r="F9" s="363">
        <f t="shared" si="0"/>
        <v>0.24</v>
      </c>
    </row>
    <row r="10" spans="1:6" x14ac:dyDescent="0.25">
      <c r="A10" s="366">
        <v>4011463</v>
      </c>
      <c r="B10" s="362" t="s">
        <v>369</v>
      </c>
      <c r="C10" s="71" t="s">
        <v>314</v>
      </c>
      <c r="D10" s="363">
        <v>1</v>
      </c>
      <c r="E10" s="363">
        <v>203.79</v>
      </c>
      <c r="F10" s="363">
        <f t="shared" si="0"/>
        <v>203.79</v>
      </c>
    </row>
    <row r="11" spans="1:6" x14ac:dyDescent="0.25">
      <c r="A11" s="366">
        <v>4915694</v>
      </c>
      <c r="B11" s="362" t="s">
        <v>371</v>
      </c>
      <c r="C11" s="71" t="s">
        <v>316</v>
      </c>
      <c r="D11" s="363">
        <v>1</v>
      </c>
      <c r="E11" s="363">
        <v>22.95</v>
      </c>
      <c r="F11" s="363">
        <f t="shared" si="0"/>
        <v>22.95</v>
      </c>
    </row>
    <row r="12" spans="1:6" x14ac:dyDescent="0.25">
      <c r="A12" s="366">
        <v>4915698</v>
      </c>
      <c r="B12" s="362" t="s">
        <v>373</v>
      </c>
      <c r="C12" s="71" t="s">
        <v>314</v>
      </c>
      <c r="D12" s="363">
        <v>1</v>
      </c>
      <c r="E12" s="363">
        <v>29.94</v>
      </c>
      <c r="F12" s="363">
        <f t="shared" si="0"/>
        <v>29.94</v>
      </c>
    </row>
    <row r="13" spans="1:6" x14ac:dyDescent="0.25">
      <c r="A13" s="366">
        <v>4915753</v>
      </c>
      <c r="B13" s="362" t="s">
        <v>374</v>
      </c>
      <c r="C13" s="71" t="s">
        <v>313</v>
      </c>
      <c r="D13" s="363">
        <v>1</v>
      </c>
      <c r="E13" s="363">
        <v>1098</v>
      </c>
      <c r="F13" s="363">
        <f t="shared" si="0"/>
        <v>1098</v>
      </c>
    </row>
    <row r="14" spans="1:6" x14ac:dyDescent="0.25">
      <c r="A14" s="366">
        <v>4915695</v>
      </c>
      <c r="B14" s="362" t="s">
        <v>375</v>
      </c>
      <c r="C14" s="71" t="s">
        <v>316</v>
      </c>
      <c r="D14" s="363">
        <v>1</v>
      </c>
      <c r="E14" s="363">
        <v>5.39</v>
      </c>
      <c r="F14" s="363">
        <f t="shared" si="0"/>
        <v>5.39</v>
      </c>
    </row>
    <row r="15" spans="1:6" x14ac:dyDescent="0.25">
      <c r="A15" s="364" t="s">
        <v>346</v>
      </c>
      <c r="B15" s="362" t="s">
        <v>377</v>
      </c>
      <c r="C15" s="71" t="s">
        <v>438</v>
      </c>
      <c r="D15" s="363" t="s">
        <v>360</v>
      </c>
      <c r="E15" s="363" t="s">
        <v>360</v>
      </c>
      <c r="F15" s="363" t="s">
        <v>360</v>
      </c>
    </row>
    <row r="16" spans="1:6" x14ac:dyDescent="0.25">
      <c r="A16" s="364" t="s">
        <v>346</v>
      </c>
      <c r="B16" s="362" t="s">
        <v>378</v>
      </c>
      <c r="C16" s="71" t="s">
        <v>438</v>
      </c>
      <c r="D16" s="363" t="s">
        <v>360</v>
      </c>
      <c r="E16" s="363" t="s">
        <v>360</v>
      </c>
      <c r="F16" s="363" t="s">
        <v>360</v>
      </c>
    </row>
    <row r="17" spans="1:6" x14ac:dyDescent="0.25">
      <c r="A17" s="366">
        <v>5214011</v>
      </c>
      <c r="B17" s="362" t="s">
        <v>379</v>
      </c>
      <c r="C17" s="71" t="s">
        <v>54</v>
      </c>
      <c r="D17" s="363">
        <v>1</v>
      </c>
      <c r="E17" s="363">
        <v>10.49</v>
      </c>
      <c r="F17" s="363">
        <f t="shared" ref="F17:F20" si="1">E17*D17</f>
        <v>10.49</v>
      </c>
    </row>
    <row r="18" spans="1:6" x14ac:dyDescent="0.25">
      <c r="A18" s="366">
        <v>5213360</v>
      </c>
      <c r="B18" s="362" t="s">
        <v>380</v>
      </c>
      <c r="C18" s="71" t="s">
        <v>262</v>
      </c>
      <c r="D18" s="363">
        <v>1</v>
      </c>
      <c r="E18" s="363">
        <v>17.89</v>
      </c>
      <c r="F18" s="363">
        <f t="shared" si="1"/>
        <v>17.89</v>
      </c>
    </row>
    <row r="19" spans="1:6" x14ac:dyDescent="0.25">
      <c r="A19" s="366">
        <v>5213477</v>
      </c>
      <c r="B19" s="362" t="s">
        <v>382</v>
      </c>
      <c r="C19" s="71" t="s">
        <v>262</v>
      </c>
      <c r="D19" s="363">
        <v>1</v>
      </c>
      <c r="E19" s="363">
        <v>125.98</v>
      </c>
      <c r="F19" s="363">
        <f t="shared" si="1"/>
        <v>125.98</v>
      </c>
    </row>
    <row r="20" spans="1:6" x14ac:dyDescent="0.25">
      <c r="A20" s="366">
        <v>4915718</v>
      </c>
      <c r="B20" s="362" t="s">
        <v>383</v>
      </c>
      <c r="C20" s="71" t="s">
        <v>54</v>
      </c>
      <c r="D20" s="363">
        <v>1</v>
      </c>
      <c r="E20" s="363">
        <v>7.22</v>
      </c>
      <c r="F20" s="363">
        <f t="shared" si="1"/>
        <v>7.22</v>
      </c>
    </row>
    <row r="21" spans="1:6" x14ac:dyDescent="0.25">
      <c r="A21" s="364" t="s">
        <v>346</v>
      </c>
      <c r="B21" s="362" t="s">
        <v>384</v>
      </c>
      <c r="C21" s="71" t="s">
        <v>438</v>
      </c>
      <c r="D21" s="363" t="s">
        <v>360</v>
      </c>
      <c r="E21" s="363" t="s">
        <v>360</v>
      </c>
      <c r="F21" s="363" t="s">
        <v>360</v>
      </c>
    </row>
    <row r="22" spans="1:6" x14ac:dyDescent="0.25">
      <c r="A22" s="366">
        <v>5213440</v>
      </c>
      <c r="B22" s="362" t="s">
        <v>385</v>
      </c>
      <c r="C22" s="71" t="s">
        <v>54</v>
      </c>
      <c r="D22" s="363">
        <v>1</v>
      </c>
      <c r="E22" s="363">
        <v>214.72</v>
      </c>
      <c r="F22" s="363">
        <f t="shared" ref="F22:F23" si="2">E22*D22</f>
        <v>214.72</v>
      </c>
    </row>
    <row r="23" spans="1:6" x14ac:dyDescent="0.25">
      <c r="A23" s="366">
        <v>4915718</v>
      </c>
      <c r="B23" s="362" t="s">
        <v>386</v>
      </c>
      <c r="C23" s="71" t="s">
        <v>54</v>
      </c>
      <c r="D23" s="363">
        <v>1</v>
      </c>
      <c r="E23" s="363">
        <v>7.22</v>
      </c>
      <c r="F23" s="363">
        <f t="shared" si="2"/>
        <v>7.22</v>
      </c>
    </row>
    <row r="24" spans="1:6" x14ac:dyDescent="0.25">
      <c r="A24" s="364" t="s">
        <v>346</v>
      </c>
      <c r="B24" s="362" t="s">
        <v>387</v>
      </c>
      <c r="C24" s="71" t="s">
        <v>438</v>
      </c>
      <c r="D24" s="363" t="s">
        <v>360</v>
      </c>
      <c r="E24" s="363" t="s">
        <v>360</v>
      </c>
      <c r="F24" s="363" t="s">
        <v>360</v>
      </c>
    </row>
    <row r="25" spans="1:6" x14ac:dyDescent="0.25">
      <c r="A25" s="366">
        <v>4915721</v>
      </c>
      <c r="B25" s="362" t="s">
        <v>388</v>
      </c>
      <c r="C25" s="71" t="s">
        <v>316</v>
      </c>
      <c r="D25" s="363">
        <v>1</v>
      </c>
      <c r="E25" s="363">
        <v>674.75</v>
      </c>
      <c r="F25" s="363">
        <f t="shared" ref="F25:F27" si="3">E25*D25</f>
        <v>674.75</v>
      </c>
    </row>
    <row r="26" spans="1:6" x14ac:dyDescent="0.25">
      <c r="A26" s="364" t="s">
        <v>351</v>
      </c>
      <c r="B26" s="362" t="s">
        <v>389</v>
      </c>
      <c r="C26" s="71" t="s">
        <v>313</v>
      </c>
      <c r="D26" s="363">
        <v>1</v>
      </c>
      <c r="E26" s="363">
        <v>576.61</v>
      </c>
      <c r="F26" s="363">
        <f t="shared" si="3"/>
        <v>576.61</v>
      </c>
    </row>
    <row r="27" spans="1:6" x14ac:dyDescent="0.25">
      <c r="A27" s="366">
        <v>3713823</v>
      </c>
      <c r="B27" s="362" t="s">
        <v>390</v>
      </c>
      <c r="C27" s="71" t="s">
        <v>316</v>
      </c>
      <c r="D27" s="363">
        <v>1</v>
      </c>
      <c r="E27" s="363">
        <v>271.79000000000002</v>
      </c>
      <c r="F27" s="363">
        <f t="shared" si="3"/>
        <v>271.79000000000002</v>
      </c>
    </row>
    <row r="28" spans="1:6" x14ac:dyDescent="0.25">
      <c r="A28" s="364" t="s">
        <v>346</v>
      </c>
      <c r="B28" s="362" t="s">
        <v>391</v>
      </c>
      <c r="C28" s="71" t="s">
        <v>438</v>
      </c>
      <c r="D28" s="363" t="s">
        <v>360</v>
      </c>
      <c r="E28" s="363" t="s">
        <v>360</v>
      </c>
      <c r="F28" s="363" t="s">
        <v>360</v>
      </c>
    </row>
    <row r="29" spans="1:6" x14ac:dyDescent="0.25">
      <c r="A29" s="364" t="s">
        <v>346</v>
      </c>
      <c r="B29" s="362" t="s">
        <v>392</v>
      </c>
      <c r="C29" s="71" t="s">
        <v>438</v>
      </c>
      <c r="D29" s="363" t="s">
        <v>360</v>
      </c>
      <c r="E29" s="363" t="s">
        <v>360</v>
      </c>
      <c r="F29" s="363" t="s">
        <v>360</v>
      </c>
    </row>
    <row r="30" spans="1:6" x14ac:dyDescent="0.25">
      <c r="A30" s="366">
        <v>4816118</v>
      </c>
      <c r="B30" s="362" t="s">
        <v>393</v>
      </c>
      <c r="C30" s="71" t="s">
        <v>316</v>
      </c>
      <c r="D30" s="363">
        <v>1</v>
      </c>
      <c r="E30" s="363">
        <v>91.22</v>
      </c>
      <c r="F30" s="363">
        <f t="shared" ref="F30:F35" si="4">E30*D30</f>
        <v>91.22</v>
      </c>
    </row>
    <row r="31" spans="1:6" x14ac:dyDescent="0.25">
      <c r="A31" s="366">
        <v>4915723</v>
      </c>
      <c r="B31" s="362" t="s">
        <v>394</v>
      </c>
      <c r="C31" s="71" t="s">
        <v>54</v>
      </c>
      <c r="D31" s="363">
        <v>1</v>
      </c>
      <c r="E31" s="363">
        <v>2.56</v>
      </c>
      <c r="F31" s="363">
        <f t="shared" si="4"/>
        <v>2.56</v>
      </c>
    </row>
    <row r="32" spans="1:6" x14ac:dyDescent="0.25">
      <c r="A32" s="366">
        <v>3806406</v>
      </c>
      <c r="B32" s="362" t="s">
        <v>837</v>
      </c>
      <c r="C32" s="71" t="s">
        <v>316</v>
      </c>
      <c r="D32" s="363">
        <v>1</v>
      </c>
      <c r="E32" s="363">
        <v>1414.58</v>
      </c>
      <c r="F32" s="363">
        <f t="shared" si="4"/>
        <v>1414.58</v>
      </c>
    </row>
    <row r="33" spans="1:6" x14ac:dyDescent="0.25">
      <c r="A33" s="366">
        <v>4915686</v>
      </c>
      <c r="B33" s="362" t="s">
        <v>838</v>
      </c>
      <c r="C33" s="71" t="s">
        <v>316</v>
      </c>
      <c r="D33" s="363">
        <v>1</v>
      </c>
      <c r="E33" s="363">
        <v>4.95</v>
      </c>
      <c r="F33" s="363">
        <f t="shared" si="4"/>
        <v>4.95</v>
      </c>
    </row>
    <row r="34" spans="1:6" x14ac:dyDescent="0.25">
      <c r="A34" s="366">
        <v>4915672</v>
      </c>
      <c r="B34" s="362" t="s">
        <v>839</v>
      </c>
      <c r="C34" s="71" t="s">
        <v>855</v>
      </c>
      <c r="D34" s="363">
        <v>1</v>
      </c>
      <c r="E34" s="363">
        <v>3.55</v>
      </c>
      <c r="F34" s="363">
        <f t="shared" si="4"/>
        <v>3.55</v>
      </c>
    </row>
    <row r="35" spans="1:6" x14ac:dyDescent="0.25">
      <c r="A35" s="366">
        <v>4915672</v>
      </c>
      <c r="B35" s="362" t="s">
        <v>395</v>
      </c>
      <c r="C35" s="71" t="s">
        <v>316</v>
      </c>
      <c r="D35" s="363">
        <v>1</v>
      </c>
      <c r="E35" s="363">
        <v>3.55</v>
      </c>
      <c r="F35" s="363">
        <f t="shared" si="4"/>
        <v>3.55</v>
      </c>
    </row>
    <row r="36" spans="1:6" x14ac:dyDescent="0.25">
      <c r="A36" s="364" t="s">
        <v>346</v>
      </c>
      <c r="B36" s="362" t="s">
        <v>396</v>
      </c>
      <c r="C36" s="71" t="s">
        <v>438</v>
      </c>
      <c r="D36" s="363" t="s">
        <v>360</v>
      </c>
      <c r="E36" s="363" t="s">
        <v>360</v>
      </c>
      <c r="F36" s="363" t="s">
        <v>360</v>
      </c>
    </row>
    <row r="37" spans="1:6" x14ac:dyDescent="0.25">
      <c r="A37" s="364" t="s">
        <v>346</v>
      </c>
      <c r="B37" s="362" t="s">
        <v>397</v>
      </c>
      <c r="C37" s="71" t="s">
        <v>438</v>
      </c>
      <c r="D37" s="363" t="s">
        <v>360</v>
      </c>
      <c r="E37" s="363" t="s">
        <v>360</v>
      </c>
      <c r="F37" s="363" t="s">
        <v>360</v>
      </c>
    </row>
    <row r="38" spans="1:6" x14ac:dyDescent="0.25">
      <c r="A38" s="366">
        <v>4915708</v>
      </c>
      <c r="B38" s="362" t="s">
        <v>398</v>
      </c>
      <c r="C38" s="71" t="s">
        <v>316</v>
      </c>
      <c r="D38" s="363">
        <v>1</v>
      </c>
      <c r="E38" s="363">
        <v>0.59</v>
      </c>
      <c r="F38" s="363">
        <f t="shared" ref="F38:F42" si="5">E38*D38</f>
        <v>0.59</v>
      </c>
    </row>
    <row r="39" spans="1:6" x14ac:dyDescent="0.25">
      <c r="A39" s="366">
        <v>4915723</v>
      </c>
      <c r="B39" s="362" t="s">
        <v>399</v>
      </c>
      <c r="C39" s="71" t="s">
        <v>54</v>
      </c>
      <c r="D39" s="363">
        <v>1</v>
      </c>
      <c r="E39" s="363">
        <v>2.56</v>
      </c>
      <c r="F39" s="363">
        <f t="shared" si="5"/>
        <v>2.56</v>
      </c>
    </row>
    <row r="40" spans="1:6" x14ac:dyDescent="0.25">
      <c r="A40" s="366">
        <v>4915710</v>
      </c>
      <c r="B40" s="362" t="s">
        <v>400</v>
      </c>
      <c r="C40" s="71" t="s">
        <v>316</v>
      </c>
      <c r="D40" s="363">
        <v>1</v>
      </c>
      <c r="E40" s="363">
        <v>3.55</v>
      </c>
      <c r="F40" s="363">
        <f t="shared" si="5"/>
        <v>3.55</v>
      </c>
    </row>
    <row r="41" spans="1:6" x14ac:dyDescent="0.25">
      <c r="A41" s="366">
        <v>4915712</v>
      </c>
      <c r="B41" s="362" t="s">
        <v>401</v>
      </c>
      <c r="C41" s="71" t="s">
        <v>313</v>
      </c>
      <c r="D41" s="363">
        <v>1</v>
      </c>
      <c r="E41" s="363">
        <v>17.77</v>
      </c>
      <c r="F41" s="363">
        <f t="shared" si="5"/>
        <v>17.77</v>
      </c>
    </row>
    <row r="42" spans="1:6" x14ac:dyDescent="0.25">
      <c r="A42" s="364" t="s">
        <v>350</v>
      </c>
      <c r="B42" s="362" t="s">
        <v>402</v>
      </c>
      <c r="C42" s="71" t="s">
        <v>313</v>
      </c>
      <c r="D42" s="363">
        <v>1</v>
      </c>
      <c r="E42" s="363">
        <v>416.74</v>
      </c>
      <c r="F42" s="363">
        <f t="shared" si="5"/>
        <v>416.74</v>
      </c>
    </row>
    <row r="43" spans="1:6" x14ac:dyDescent="0.25">
      <c r="A43" s="364" t="s">
        <v>346</v>
      </c>
      <c r="B43" s="362" t="s">
        <v>403</v>
      </c>
      <c r="C43" s="71" t="s">
        <v>438</v>
      </c>
      <c r="D43" s="363" t="s">
        <v>360</v>
      </c>
      <c r="E43" s="363" t="s">
        <v>360</v>
      </c>
      <c r="F43" s="363" t="s">
        <v>360</v>
      </c>
    </row>
    <row r="44" spans="1:6" x14ac:dyDescent="0.25">
      <c r="A44" s="364" t="s">
        <v>346</v>
      </c>
      <c r="B44" s="362" t="s">
        <v>404</v>
      </c>
      <c r="C44" s="71" t="s">
        <v>438</v>
      </c>
      <c r="D44" s="363" t="s">
        <v>360</v>
      </c>
      <c r="E44" s="363" t="s">
        <v>360</v>
      </c>
      <c r="F44" s="363" t="s">
        <v>360</v>
      </c>
    </row>
    <row r="45" spans="1:6" x14ac:dyDescent="0.25">
      <c r="A45" s="366">
        <v>4915733</v>
      </c>
      <c r="B45" s="362" t="s">
        <v>405</v>
      </c>
      <c r="C45" s="71" t="s">
        <v>313</v>
      </c>
      <c r="D45" s="363">
        <v>1</v>
      </c>
      <c r="E45" s="363">
        <v>44.23</v>
      </c>
      <c r="F45" s="363">
        <f t="shared" ref="F45:F47" si="6">E45*D45</f>
        <v>44.23</v>
      </c>
    </row>
    <row r="46" spans="1:6" x14ac:dyDescent="0.25">
      <c r="A46" s="366">
        <v>4915734</v>
      </c>
      <c r="B46" s="362" t="s">
        <v>406</v>
      </c>
      <c r="C46" s="71" t="s">
        <v>313</v>
      </c>
      <c r="D46" s="363">
        <v>1</v>
      </c>
      <c r="E46" s="363">
        <v>20.22</v>
      </c>
      <c r="F46" s="363">
        <f t="shared" si="6"/>
        <v>20.22</v>
      </c>
    </row>
    <row r="47" spans="1:6" x14ac:dyDescent="0.25">
      <c r="A47" s="366">
        <v>4915774</v>
      </c>
      <c r="B47" s="362" t="s">
        <v>407</v>
      </c>
      <c r="C47" s="71" t="s">
        <v>313</v>
      </c>
      <c r="D47" s="363">
        <v>1</v>
      </c>
      <c r="E47" s="363">
        <v>31.22</v>
      </c>
      <c r="F47" s="363">
        <f t="shared" si="6"/>
        <v>31.22</v>
      </c>
    </row>
    <row r="48" spans="1:6" x14ac:dyDescent="0.25">
      <c r="A48" s="364" t="s">
        <v>346</v>
      </c>
      <c r="B48" s="362" t="s">
        <v>408</v>
      </c>
      <c r="C48" s="71" t="s">
        <v>438</v>
      </c>
      <c r="D48" s="363" t="s">
        <v>360</v>
      </c>
      <c r="E48" s="363" t="s">
        <v>360</v>
      </c>
      <c r="F48" s="363" t="s">
        <v>360</v>
      </c>
    </row>
    <row r="49" spans="1:6" x14ac:dyDescent="0.25">
      <c r="A49" s="364" t="s">
        <v>346</v>
      </c>
      <c r="B49" s="362" t="s">
        <v>409</v>
      </c>
      <c r="C49" s="71" t="s">
        <v>438</v>
      </c>
      <c r="D49" s="363" t="s">
        <v>360</v>
      </c>
      <c r="E49" s="363" t="s">
        <v>360</v>
      </c>
      <c r="F49" s="363" t="s">
        <v>360</v>
      </c>
    </row>
    <row r="50" spans="1:6" x14ac:dyDescent="0.25">
      <c r="A50" s="366">
        <v>4915740</v>
      </c>
      <c r="B50" s="362" t="s">
        <v>410</v>
      </c>
      <c r="C50" s="71" t="s">
        <v>411</v>
      </c>
      <c r="D50" s="363">
        <v>1</v>
      </c>
      <c r="E50" s="363">
        <v>1521.83</v>
      </c>
      <c r="F50" s="363">
        <f t="shared" ref="F50:F55" si="7">E50*D50</f>
        <v>1521.83</v>
      </c>
    </row>
    <row r="51" spans="1:6" x14ac:dyDescent="0.25">
      <c r="A51" s="366">
        <v>4915742</v>
      </c>
      <c r="B51" s="362" t="s">
        <v>412</v>
      </c>
      <c r="C51" s="71" t="s">
        <v>411</v>
      </c>
      <c r="D51" s="363">
        <v>1</v>
      </c>
      <c r="E51" s="363">
        <v>323.06</v>
      </c>
      <c r="F51" s="363">
        <f t="shared" si="7"/>
        <v>323.06</v>
      </c>
    </row>
    <row r="52" spans="1:6" x14ac:dyDescent="0.25">
      <c r="A52" s="366">
        <v>4915744</v>
      </c>
      <c r="B52" s="362" t="s">
        <v>413</v>
      </c>
      <c r="C52" s="71" t="s">
        <v>54</v>
      </c>
      <c r="D52" s="363">
        <v>1</v>
      </c>
      <c r="E52" s="363">
        <v>0.61</v>
      </c>
      <c r="F52" s="363">
        <f t="shared" si="7"/>
        <v>0.61</v>
      </c>
    </row>
    <row r="53" spans="1:6" x14ac:dyDescent="0.25">
      <c r="A53" s="366">
        <v>4413905</v>
      </c>
      <c r="B53" s="362" t="s">
        <v>414</v>
      </c>
      <c r="C53" s="71" t="s">
        <v>54</v>
      </c>
      <c r="D53" s="363">
        <v>1</v>
      </c>
      <c r="E53" s="363">
        <v>2.97</v>
      </c>
      <c r="F53" s="363">
        <f t="shared" si="7"/>
        <v>2.97</v>
      </c>
    </row>
    <row r="54" spans="1:6" x14ac:dyDescent="0.25">
      <c r="A54" s="366">
        <v>4915698</v>
      </c>
      <c r="B54" s="362" t="s">
        <v>415</v>
      </c>
      <c r="C54" s="71" t="s">
        <v>314</v>
      </c>
      <c r="D54" s="363">
        <v>1</v>
      </c>
      <c r="E54" s="363">
        <v>29.94</v>
      </c>
      <c r="F54" s="363">
        <f t="shared" si="7"/>
        <v>29.94</v>
      </c>
    </row>
    <row r="55" spans="1:6" x14ac:dyDescent="0.25">
      <c r="A55" s="366">
        <v>4915725</v>
      </c>
      <c r="B55" s="362" t="s">
        <v>416</v>
      </c>
      <c r="C55" s="71" t="s">
        <v>316</v>
      </c>
      <c r="D55" s="363">
        <v>1</v>
      </c>
      <c r="E55" s="363">
        <v>28.02</v>
      </c>
      <c r="F55" s="363">
        <f t="shared" si="7"/>
        <v>28.02</v>
      </c>
    </row>
    <row r="56" spans="1:6" x14ac:dyDescent="0.25">
      <c r="A56" s="364" t="s">
        <v>346</v>
      </c>
      <c r="B56" s="362" t="s">
        <v>417</v>
      </c>
      <c r="C56" s="71" t="s">
        <v>438</v>
      </c>
      <c r="D56" s="363" t="s">
        <v>360</v>
      </c>
      <c r="E56" s="363" t="s">
        <v>360</v>
      </c>
      <c r="F56" s="363" t="s">
        <v>360</v>
      </c>
    </row>
    <row r="57" spans="1:6" x14ac:dyDescent="0.25">
      <c r="A57" s="364" t="s">
        <v>346</v>
      </c>
      <c r="B57" s="362" t="s">
        <v>418</v>
      </c>
      <c r="C57" s="71" t="s">
        <v>438</v>
      </c>
      <c r="D57" s="363" t="s">
        <v>360</v>
      </c>
      <c r="E57" s="363" t="s">
        <v>360</v>
      </c>
      <c r="F57" s="363" t="s">
        <v>360</v>
      </c>
    </row>
    <row r="58" spans="1:6" x14ac:dyDescent="0.25">
      <c r="A58" s="364" t="s">
        <v>320</v>
      </c>
      <c r="B58" s="362" t="s">
        <v>419</v>
      </c>
      <c r="C58" s="71" t="s">
        <v>321</v>
      </c>
      <c r="D58" s="363">
        <v>1</v>
      </c>
      <c r="E58" s="363">
        <v>7939.86</v>
      </c>
      <c r="F58" s="363">
        <f>E58*D58</f>
        <v>7939.86</v>
      </c>
    </row>
    <row r="59" spans="1:6" x14ac:dyDescent="0.25">
      <c r="A59" s="364" t="s">
        <v>346</v>
      </c>
      <c r="B59" s="362" t="s">
        <v>420</v>
      </c>
      <c r="C59" s="71" t="s">
        <v>438</v>
      </c>
      <c r="D59" s="363" t="s">
        <v>360</v>
      </c>
      <c r="E59" s="363" t="s">
        <v>360</v>
      </c>
      <c r="F59" s="363" t="s">
        <v>360</v>
      </c>
    </row>
    <row r="60" spans="1:6" x14ac:dyDescent="0.25">
      <c r="A60" s="364" t="s">
        <v>346</v>
      </c>
      <c r="B60" s="362" t="s">
        <v>421</v>
      </c>
      <c r="C60" s="71" t="s">
        <v>438</v>
      </c>
      <c r="D60" s="363" t="s">
        <v>360</v>
      </c>
      <c r="E60" s="363" t="s">
        <v>360</v>
      </c>
      <c r="F60" s="363" t="s">
        <v>360</v>
      </c>
    </row>
    <row r="61" spans="1:6" x14ac:dyDescent="0.25">
      <c r="A61" s="364" t="s">
        <v>322</v>
      </c>
      <c r="B61" s="362" t="s">
        <v>422</v>
      </c>
      <c r="C61" s="71" t="s">
        <v>321</v>
      </c>
      <c r="D61" s="363">
        <v>1</v>
      </c>
      <c r="E61" s="363">
        <v>10468.040000000001</v>
      </c>
      <c r="F61" s="363">
        <f>E61*D61</f>
        <v>10468.040000000001</v>
      </c>
    </row>
    <row r="62" spans="1:6" x14ac:dyDescent="0.25">
      <c r="A62" s="364" t="s">
        <v>346</v>
      </c>
      <c r="B62" s="362" t="s">
        <v>358</v>
      </c>
      <c r="C62" s="71" t="s">
        <v>438</v>
      </c>
      <c r="D62" s="363" t="s">
        <v>360</v>
      </c>
      <c r="E62" s="363" t="s">
        <v>360</v>
      </c>
      <c r="F62" s="363" t="s">
        <v>360</v>
      </c>
    </row>
    <row r="63" spans="1:6" x14ac:dyDescent="0.25">
      <c r="A63" s="364" t="s">
        <v>346</v>
      </c>
      <c r="B63" s="362" t="s">
        <v>358</v>
      </c>
      <c r="C63" s="71" t="s">
        <v>438</v>
      </c>
      <c r="D63" s="363" t="s">
        <v>360</v>
      </c>
      <c r="E63" s="363" t="s">
        <v>360</v>
      </c>
      <c r="F63" s="363" t="s">
        <v>360</v>
      </c>
    </row>
    <row r="64" spans="1:6" x14ac:dyDescent="0.25">
      <c r="A64" s="364" t="s">
        <v>346</v>
      </c>
      <c r="B64" s="362" t="s">
        <v>423</v>
      </c>
      <c r="C64" s="71" t="s">
        <v>438</v>
      </c>
      <c r="D64" s="363" t="s">
        <v>360</v>
      </c>
      <c r="E64" s="363" t="s">
        <v>360</v>
      </c>
      <c r="F64" s="363" t="s">
        <v>360</v>
      </c>
    </row>
    <row r="65" spans="1:6" x14ac:dyDescent="0.25">
      <c r="A65" s="364" t="s">
        <v>346</v>
      </c>
      <c r="B65" s="362" t="s">
        <v>358</v>
      </c>
      <c r="C65" s="71" t="s">
        <v>438</v>
      </c>
      <c r="D65" s="363" t="s">
        <v>360</v>
      </c>
      <c r="E65" s="363" t="s">
        <v>360</v>
      </c>
      <c r="F65" s="363" t="s">
        <v>360</v>
      </c>
    </row>
    <row r="66" spans="1:6" x14ac:dyDescent="0.25">
      <c r="A66" s="366">
        <v>6416078</v>
      </c>
      <c r="B66" s="362" t="s">
        <v>424</v>
      </c>
      <c r="C66" s="71" t="s">
        <v>314</v>
      </c>
      <c r="D66" s="363">
        <v>1</v>
      </c>
      <c r="E66" s="363">
        <v>174.02</v>
      </c>
      <c r="F66" s="363">
        <f t="shared" ref="F66:F77" si="8">E66*D66</f>
        <v>174.02</v>
      </c>
    </row>
    <row r="67" spans="1:6" x14ac:dyDescent="0.25">
      <c r="A67" s="366">
        <v>1107900</v>
      </c>
      <c r="B67" s="362" t="s">
        <v>425</v>
      </c>
      <c r="C67" s="71" t="s">
        <v>313</v>
      </c>
      <c r="D67" s="363">
        <v>1</v>
      </c>
      <c r="E67" s="363">
        <v>492.15</v>
      </c>
      <c r="F67" s="363">
        <f t="shared" si="8"/>
        <v>492.15</v>
      </c>
    </row>
    <row r="68" spans="1:6" x14ac:dyDescent="0.25">
      <c r="A68" s="366">
        <v>5213421</v>
      </c>
      <c r="B68" s="362" t="s">
        <v>426</v>
      </c>
      <c r="C68" s="71" t="s">
        <v>54</v>
      </c>
      <c r="D68" s="363">
        <v>1</v>
      </c>
      <c r="E68" s="363">
        <v>309.62</v>
      </c>
      <c r="F68" s="363">
        <f t="shared" si="8"/>
        <v>309.62</v>
      </c>
    </row>
    <row r="69" spans="1:6" x14ac:dyDescent="0.25">
      <c r="A69" s="366">
        <v>5212552</v>
      </c>
      <c r="B69" s="362" t="s">
        <v>427</v>
      </c>
      <c r="C69" s="71" t="s">
        <v>54</v>
      </c>
      <c r="D69" s="363">
        <v>1</v>
      </c>
      <c r="E69" s="363">
        <v>12.31</v>
      </c>
      <c r="F69" s="363">
        <f t="shared" si="8"/>
        <v>12.31</v>
      </c>
    </row>
    <row r="70" spans="1:6" x14ac:dyDescent="0.25">
      <c r="A70" s="366">
        <v>5213414</v>
      </c>
      <c r="B70" s="362" t="s">
        <v>428</v>
      </c>
      <c r="C70" s="71" t="s">
        <v>54</v>
      </c>
      <c r="D70" s="363">
        <v>1</v>
      </c>
      <c r="E70" s="363">
        <v>478.73</v>
      </c>
      <c r="F70" s="363">
        <f t="shared" si="8"/>
        <v>478.73</v>
      </c>
    </row>
    <row r="71" spans="1:6" x14ac:dyDescent="0.25">
      <c r="A71" s="366">
        <v>3107967</v>
      </c>
      <c r="B71" s="362" t="s">
        <v>429</v>
      </c>
      <c r="C71" s="71" t="s">
        <v>54</v>
      </c>
      <c r="D71" s="363">
        <v>1</v>
      </c>
      <c r="E71" s="363">
        <v>9.06</v>
      </c>
      <c r="F71" s="363">
        <f t="shared" si="8"/>
        <v>9.06</v>
      </c>
    </row>
    <row r="72" spans="1:6" x14ac:dyDescent="0.25">
      <c r="A72" s="366">
        <v>1107896</v>
      </c>
      <c r="B72" s="362" t="s">
        <v>430</v>
      </c>
      <c r="C72" s="71" t="s">
        <v>313</v>
      </c>
      <c r="D72" s="363">
        <v>1</v>
      </c>
      <c r="E72" s="363">
        <v>471.65</v>
      </c>
      <c r="F72" s="363">
        <f t="shared" si="8"/>
        <v>471.65</v>
      </c>
    </row>
    <row r="73" spans="1:6" x14ac:dyDescent="0.25">
      <c r="A73" s="366">
        <v>4016096</v>
      </c>
      <c r="B73" s="362" t="s">
        <v>431</v>
      </c>
      <c r="C73" s="71" t="s">
        <v>313</v>
      </c>
      <c r="D73" s="363">
        <v>1</v>
      </c>
      <c r="E73" s="363">
        <v>1.05</v>
      </c>
      <c r="F73" s="363">
        <f t="shared" si="8"/>
        <v>1.05</v>
      </c>
    </row>
    <row r="74" spans="1:6" x14ac:dyDescent="0.25">
      <c r="A74" s="366">
        <v>3716129</v>
      </c>
      <c r="B74" s="362" t="s">
        <v>432</v>
      </c>
      <c r="C74" s="71" t="s">
        <v>855</v>
      </c>
      <c r="D74" s="363">
        <v>1</v>
      </c>
      <c r="E74" s="363">
        <v>52.93</v>
      </c>
      <c r="F74" s="363">
        <f t="shared" si="8"/>
        <v>52.93</v>
      </c>
    </row>
    <row r="75" spans="1:6" x14ac:dyDescent="0.25">
      <c r="A75" s="366">
        <v>1116127</v>
      </c>
      <c r="B75" s="362" t="s">
        <v>434</v>
      </c>
      <c r="C75" s="71" t="s">
        <v>313</v>
      </c>
      <c r="D75" s="363">
        <v>1</v>
      </c>
      <c r="E75" s="363">
        <v>485.12</v>
      </c>
      <c r="F75" s="363">
        <f t="shared" si="8"/>
        <v>485.12</v>
      </c>
    </row>
    <row r="76" spans="1:6" x14ac:dyDescent="0.25">
      <c r="A76" s="366">
        <v>3716131</v>
      </c>
      <c r="B76" s="362" t="s">
        <v>435</v>
      </c>
      <c r="C76" s="71" t="s">
        <v>855</v>
      </c>
      <c r="D76" s="363">
        <v>1</v>
      </c>
      <c r="E76" s="363">
        <v>34.909999999999997</v>
      </c>
      <c r="F76" s="363">
        <f t="shared" si="8"/>
        <v>34.909999999999997</v>
      </c>
    </row>
    <row r="77" spans="1:6" x14ac:dyDescent="0.25">
      <c r="A77" s="364" t="s">
        <v>439</v>
      </c>
      <c r="B77" s="362" t="s">
        <v>436</v>
      </c>
      <c r="C77" s="71" t="s">
        <v>313</v>
      </c>
      <c r="D77" s="363">
        <v>1</v>
      </c>
      <c r="E77" s="363">
        <v>431.84</v>
      </c>
      <c r="F77" s="363">
        <f t="shared" si="8"/>
        <v>431.84</v>
      </c>
    </row>
    <row r="78" spans="1:6" x14ac:dyDescent="0.25">
      <c r="A78" s="364" t="s">
        <v>438</v>
      </c>
      <c r="B78" s="362" t="s">
        <v>358</v>
      </c>
      <c r="C78" s="71" t="s">
        <v>438</v>
      </c>
      <c r="D78" s="363" t="s">
        <v>360</v>
      </c>
      <c r="E78" s="363" t="s">
        <v>360</v>
      </c>
      <c r="F78" s="363"/>
    </row>
    <row r="79" spans="1:6" x14ac:dyDescent="0.25">
      <c r="A79" s="364" t="s">
        <v>438</v>
      </c>
      <c r="B79" s="362" t="s">
        <v>358</v>
      </c>
      <c r="C79" s="71" t="s">
        <v>438</v>
      </c>
      <c r="D79" s="363" t="s">
        <v>360</v>
      </c>
      <c r="E79" s="363" t="s">
        <v>360</v>
      </c>
      <c r="F79" s="363"/>
    </row>
    <row r="80" spans="1:6" x14ac:dyDescent="0.25">
      <c r="C80" s="47" t="s">
        <v>438</v>
      </c>
    </row>
    <row r="81" spans="3:3" x14ac:dyDescent="0.25">
      <c r="C81" s="47" t="s">
        <v>438</v>
      </c>
    </row>
    <row r="82" spans="3:3" x14ac:dyDescent="0.25">
      <c r="C82" s="47" t="s">
        <v>438</v>
      </c>
    </row>
    <row r="83" spans="3:3" x14ac:dyDescent="0.25">
      <c r="C83" s="47" t="s">
        <v>438</v>
      </c>
    </row>
    <row r="84" spans="3:3" x14ac:dyDescent="0.25">
      <c r="C84" s="47" t="s">
        <v>438</v>
      </c>
    </row>
    <row r="85" spans="3:3" x14ac:dyDescent="0.25">
      <c r="C85" s="47" t="s">
        <v>438</v>
      </c>
    </row>
    <row r="86" spans="3:3" x14ac:dyDescent="0.25">
      <c r="C86" s="47" t="s">
        <v>438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266B-A0AE-4071-AE52-AD9773F959D3}">
  <sheetPr>
    <tabColor rgb="FF92D050"/>
  </sheetPr>
  <dimension ref="A1:J3875"/>
  <sheetViews>
    <sheetView showGridLines="0" zoomScale="80" zoomScaleNormal="80" workbookViewId="0"/>
  </sheetViews>
  <sheetFormatPr defaultRowHeight="13.8" x14ac:dyDescent="0.25"/>
  <cols>
    <col min="1" max="1" width="1.625" style="229" customWidth="1"/>
    <col min="2" max="2" width="8.625" style="229" customWidth="1"/>
    <col min="3" max="3" width="35.625" style="229" customWidth="1"/>
    <col min="4" max="4" width="9.625" style="283" customWidth="1"/>
    <col min="5" max="9" width="8.625" style="230" customWidth="1"/>
    <col min="10" max="10" width="10.625" style="282" customWidth="1"/>
    <col min="11" max="256" width="9" style="229"/>
    <col min="257" max="257" width="1.625" style="229" customWidth="1"/>
    <col min="258" max="258" width="8.625" style="229" customWidth="1"/>
    <col min="259" max="259" width="35.625" style="229" customWidth="1"/>
    <col min="260" max="260" width="9.625" style="229" customWidth="1"/>
    <col min="261" max="265" width="8.625" style="229" customWidth="1"/>
    <col min="266" max="266" width="10.625" style="229" customWidth="1"/>
    <col min="267" max="512" width="9" style="229"/>
    <col min="513" max="513" width="1.625" style="229" customWidth="1"/>
    <col min="514" max="514" width="8.625" style="229" customWidth="1"/>
    <col min="515" max="515" width="35.625" style="229" customWidth="1"/>
    <col min="516" max="516" width="9.625" style="229" customWidth="1"/>
    <col min="517" max="521" width="8.625" style="229" customWidth="1"/>
    <col min="522" max="522" width="10.625" style="229" customWidth="1"/>
    <col min="523" max="768" width="9" style="229"/>
    <col min="769" max="769" width="1.625" style="229" customWidth="1"/>
    <col min="770" max="770" width="8.625" style="229" customWidth="1"/>
    <col min="771" max="771" width="35.625" style="229" customWidth="1"/>
    <col min="772" max="772" width="9.625" style="229" customWidth="1"/>
    <col min="773" max="777" width="8.625" style="229" customWidth="1"/>
    <col min="778" max="778" width="10.625" style="229" customWidth="1"/>
    <col min="779" max="1024" width="9" style="229"/>
    <col min="1025" max="1025" width="1.625" style="229" customWidth="1"/>
    <col min="1026" max="1026" width="8.625" style="229" customWidth="1"/>
    <col min="1027" max="1027" width="35.625" style="229" customWidth="1"/>
    <col min="1028" max="1028" width="9.625" style="229" customWidth="1"/>
    <col min="1029" max="1033" width="8.625" style="229" customWidth="1"/>
    <col min="1034" max="1034" width="10.625" style="229" customWidth="1"/>
    <col min="1035" max="1280" width="9" style="229"/>
    <col min="1281" max="1281" width="1.625" style="229" customWidth="1"/>
    <col min="1282" max="1282" width="8.625" style="229" customWidth="1"/>
    <col min="1283" max="1283" width="35.625" style="229" customWidth="1"/>
    <col min="1284" max="1284" width="9.625" style="229" customWidth="1"/>
    <col min="1285" max="1289" width="8.625" style="229" customWidth="1"/>
    <col min="1290" max="1290" width="10.625" style="229" customWidth="1"/>
    <col min="1291" max="1536" width="9" style="229"/>
    <col min="1537" max="1537" width="1.625" style="229" customWidth="1"/>
    <col min="1538" max="1538" width="8.625" style="229" customWidth="1"/>
    <col min="1539" max="1539" width="35.625" style="229" customWidth="1"/>
    <col min="1540" max="1540" width="9.625" style="229" customWidth="1"/>
    <col min="1541" max="1545" width="8.625" style="229" customWidth="1"/>
    <col min="1546" max="1546" width="10.625" style="229" customWidth="1"/>
    <col min="1547" max="1792" width="9" style="229"/>
    <col min="1793" max="1793" width="1.625" style="229" customWidth="1"/>
    <col min="1794" max="1794" width="8.625" style="229" customWidth="1"/>
    <col min="1795" max="1795" width="35.625" style="229" customWidth="1"/>
    <col min="1796" max="1796" width="9.625" style="229" customWidth="1"/>
    <col min="1797" max="1801" width="8.625" style="229" customWidth="1"/>
    <col min="1802" max="1802" width="10.625" style="229" customWidth="1"/>
    <col min="1803" max="2048" width="9" style="229"/>
    <col min="2049" max="2049" width="1.625" style="229" customWidth="1"/>
    <col min="2050" max="2050" width="8.625" style="229" customWidth="1"/>
    <col min="2051" max="2051" width="35.625" style="229" customWidth="1"/>
    <col min="2052" max="2052" width="9.625" style="229" customWidth="1"/>
    <col min="2053" max="2057" width="8.625" style="229" customWidth="1"/>
    <col min="2058" max="2058" width="10.625" style="229" customWidth="1"/>
    <col min="2059" max="2304" width="9" style="229"/>
    <col min="2305" max="2305" width="1.625" style="229" customWidth="1"/>
    <col min="2306" max="2306" width="8.625" style="229" customWidth="1"/>
    <col min="2307" max="2307" width="35.625" style="229" customWidth="1"/>
    <col min="2308" max="2308" width="9.625" style="229" customWidth="1"/>
    <col min="2309" max="2313" width="8.625" style="229" customWidth="1"/>
    <col min="2314" max="2314" width="10.625" style="229" customWidth="1"/>
    <col min="2315" max="2560" width="9" style="229"/>
    <col min="2561" max="2561" width="1.625" style="229" customWidth="1"/>
    <col min="2562" max="2562" width="8.625" style="229" customWidth="1"/>
    <col min="2563" max="2563" width="35.625" style="229" customWidth="1"/>
    <col min="2564" max="2564" width="9.625" style="229" customWidth="1"/>
    <col min="2565" max="2569" width="8.625" style="229" customWidth="1"/>
    <col min="2570" max="2570" width="10.625" style="229" customWidth="1"/>
    <col min="2571" max="2816" width="9" style="229"/>
    <col min="2817" max="2817" width="1.625" style="229" customWidth="1"/>
    <col min="2818" max="2818" width="8.625" style="229" customWidth="1"/>
    <col min="2819" max="2819" width="35.625" style="229" customWidth="1"/>
    <col min="2820" max="2820" width="9.625" style="229" customWidth="1"/>
    <col min="2821" max="2825" width="8.625" style="229" customWidth="1"/>
    <col min="2826" max="2826" width="10.625" style="229" customWidth="1"/>
    <col min="2827" max="3072" width="9" style="229"/>
    <col min="3073" max="3073" width="1.625" style="229" customWidth="1"/>
    <col min="3074" max="3074" width="8.625" style="229" customWidth="1"/>
    <col min="3075" max="3075" width="35.625" style="229" customWidth="1"/>
    <col min="3076" max="3076" width="9.625" style="229" customWidth="1"/>
    <col min="3077" max="3081" width="8.625" style="229" customWidth="1"/>
    <col min="3082" max="3082" width="10.625" style="229" customWidth="1"/>
    <col min="3083" max="3328" width="9" style="229"/>
    <col min="3329" max="3329" width="1.625" style="229" customWidth="1"/>
    <col min="3330" max="3330" width="8.625" style="229" customWidth="1"/>
    <col min="3331" max="3331" width="35.625" style="229" customWidth="1"/>
    <col min="3332" max="3332" width="9.625" style="229" customWidth="1"/>
    <col min="3333" max="3337" width="8.625" style="229" customWidth="1"/>
    <col min="3338" max="3338" width="10.625" style="229" customWidth="1"/>
    <col min="3339" max="3584" width="9" style="229"/>
    <col min="3585" max="3585" width="1.625" style="229" customWidth="1"/>
    <col min="3586" max="3586" width="8.625" style="229" customWidth="1"/>
    <col min="3587" max="3587" width="35.625" style="229" customWidth="1"/>
    <col min="3588" max="3588" width="9.625" style="229" customWidth="1"/>
    <col min="3589" max="3593" width="8.625" style="229" customWidth="1"/>
    <col min="3594" max="3594" width="10.625" style="229" customWidth="1"/>
    <col min="3595" max="3840" width="9" style="229"/>
    <col min="3841" max="3841" width="1.625" style="229" customWidth="1"/>
    <col min="3842" max="3842" width="8.625" style="229" customWidth="1"/>
    <col min="3843" max="3843" width="35.625" style="229" customWidth="1"/>
    <col min="3844" max="3844" width="9.625" style="229" customWidth="1"/>
    <col min="3845" max="3849" width="8.625" style="229" customWidth="1"/>
    <col min="3850" max="3850" width="10.625" style="229" customWidth="1"/>
    <col min="3851" max="4096" width="9" style="229"/>
    <col min="4097" max="4097" width="1.625" style="229" customWidth="1"/>
    <col min="4098" max="4098" width="8.625" style="229" customWidth="1"/>
    <col min="4099" max="4099" width="35.625" style="229" customWidth="1"/>
    <col min="4100" max="4100" width="9.625" style="229" customWidth="1"/>
    <col min="4101" max="4105" width="8.625" style="229" customWidth="1"/>
    <col min="4106" max="4106" width="10.625" style="229" customWidth="1"/>
    <col min="4107" max="4352" width="9" style="229"/>
    <col min="4353" max="4353" width="1.625" style="229" customWidth="1"/>
    <col min="4354" max="4354" width="8.625" style="229" customWidth="1"/>
    <col min="4355" max="4355" width="35.625" style="229" customWidth="1"/>
    <col min="4356" max="4356" width="9.625" style="229" customWidth="1"/>
    <col min="4357" max="4361" width="8.625" style="229" customWidth="1"/>
    <col min="4362" max="4362" width="10.625" style="229" customWidth="1"/>
    <col min="4363" max="4608" width="9" style="229"/>
    <col min="4609" max="4609" width="1.625" style="229" customWidth="1"/>
    <col min="4610" max="4610" width="8.625" style="229" customWidth="1"/>
    <col min="4611" max="4611" width="35.625" style="229" customWidth="1"/>
    <col min="4612" max="4612" width="9.625" style="229" customWidth="1"/>
    <col min="4613" max="4617" width="8.625" style="229" customWidth="1"/>
    <col min="4618" max="4618" width="10.625" style="229" customWidth="1"/>
    <col min="4619" max="4864" width="9" style="229"/>
    <col min="4865" max="4865" width="1.625" style="229" customWidth="1"/>
    <col min="4866" max="4866" width="8.625" style="229" customWidth="1"/>
    <col min="4867" max="4867" width="35.625" style="229" customWidth="1"/>
    <col min="4868" max="4868" width="9.625" style="229" customWidth="1"/>
    <col min="4869" max="4873" width="8.625" style="229" customWidth="1"/>
    <col min="4874" max="4874" width="10.625" style="229" customWidth="1"/>
    <col min="4875" max="5120" width="9" style="229"/>
    <col min="5121" max="5121" width="1.625" style="229" customWidth="1"/>
    <col min="5122" max="5122" width="8.625" style="229" customWidth="1"/>
    <col min="5123" max="5123" width="35.625" style="229" customWidth="1"/>
    <col min="5124" max="5124" width="9.625" style="229" customWidth="1"/>
    <col min="5125" max="5129" width="8.625" style="229" customWidth="1"/>
    <col min="5130" max="5130" width="10.625" style="229" customWidth="1"/>
    <col min="5131" max="5376" width="9" style="229"/>
    <col min="5377" max="5377" width="1.625" style="229" customWidth="1"/>
    <col min="5378" max="5378" width="8.625" style="229" customWidth="1"/>
    <col min="5379" max="5379" width="35.625" style="229" customWidth="1"/>
    <col min="5380" max="5380" width="9.625" style="229" customWidth="1"/>
    <col min="5381" max="5385" width="8.625" style="229" customWidth="1"/>
    <col min="5386" max="5386" width="10.625" style="229" customWidth="1"/>
    <col min="5387" max="5632" width="9" style="229"/>
    <col min="5633" max="5633" width="1.625" style="229" customWidth="1"/>
    <col min="5634" max="5634" width="8.625" style="229" customWidth="1"/>
    <col min="5635" max="5635" width="35.625" style="229" customWidth="1"/>
    <col min="5636" max="5636" width="9.625" style="229" customWidth="1"/>
    <col min="5637" max="5641" width="8.625" style="229" customWidth="1"/>
    <col min="5642" max="5642" width="10.625" style="229" customWidth="1"/>
    <col min="5643" max="5888" width="9" style="229"/>
    <col min="5889" max="5889" width="1.625" style="229" customWidth="1"/>
    <col min="5890" max="5890" width="8.625" style="229" customWidth="1"/>
    <col min="5891" max="5891" width="35.625" style="229" customWidth="1"/>
    <col min="5892" max="5892" width="9.625" style="229" customWidth="1"/>
    <col min="5893" max="5897" width="8.625" style="229" customWidth="1"/>
    <col min="5898" max="5898" width="10.625" style="229" customWidth="1"/>
    <col min="5899" max="6144" width="9" style="229"/>
    <col min="6145" max="6145" width="1.625" style="229" customWidth="1"/>
    <col min="6146" max="6146" width="8.625" style="229" customWidth="1"/>
    <col min="6147" max="6147" width="35.625" style="229" customWidth="1"/>
    <col min="6148" max="6148" width="9.625" style="229" customWidth="1"/>
    <col min="6149" max="6153" width="8.625" style="229" customWidth="1"/>
    <col min="6154" max="6154" width="10.625" style="229" customWidth="1"/>
    <col min="6155" max="6400" width="9" style="229"/>
    <col min="6401" max="6401" width="1.625" style="229" customWidth="1"/>
    <col min="6402" max="6402" width="8.625" style="229" customWidth="1"/>
    <col min="6403" max="6403" width="35.625" style="229" customWidth="1"/>
    <col min="6404" max="6404" width="9.625" style="229" customWidth="1"/>
    <col min="6405" max="6409" width="8.625" style="229" customWidth="1"/>
    <col min="6410" max="6410" width="10.625" style="229" customWidth="1"/>
    <col min="6411" max="6656" width="9" style="229"/>
    <col min="6657" max="6657" width="1.625" style="229" customWidth="1"/>
    <col min="6658" max="6658" width="8.625" style="229" customWidth="1"/>
    <col min="6659" max="6659" width="35.625" style="229" customWidth="1"/>
    <col min="6660" max="6660" width="9.625" style="229" customWidth="1"/>
    <col min="6661" max="6665" width="8.625" style="229" customWidth="1"/>
    <col min="6666" max="6666" width="10.625" style="229" customWidth="1"/>
    <col min="6667" max="6912" width="9" style="229"/>
    <col min="6913" max="6913" width="1.625" style="229" customWidth="1"/>
    <col min="6914" max="6914" width="8.625" style="229" customWidth="1"/>
    <col min="6915" max="6915" width="35.625" style="229" customWidth="1"/>
    <col min="6916" max="6916" width="9.625" style="229" customWidth="1"/>
    <col min="6917" max="6921" width="8.625" style="229" customWidth="1"/>
    <col min="6922" max="6922" width="10.625" style="229" customWidth="1"/>
    <col min="6923" max="7168" width="9" style="229"/>
    <col min="7169" max="7169" width="1.625" style="229" customWidth="1"/>
    <col min="7170" max="7170" width="8.625" style="229" customWidth="1"/>
    <col min="7171" max="7171" width="35.625" style="229" customWidth="1"/>
    <col min="7172" max="7172" width="9.625" style="229" customWidth="1"/>
    <col min="7173" max="7177" width="8.625" style="229" customWidth="1"/>
    <col min="7178" max="7178" width="10.625" style="229" customWidth="1"/>
    <col min="7179" max="7424" width="9" style="229"/>
    <col min="7425" max="7425" width="1.625" style="229" customWidth="1"/>
    <col min="7426" max="7426" width="8.625" style="229" customWidth="1"/>
    <col min="7427" max="7427" width="35.625" style="229" customWidth="1"/>
    <col min="7428" max="7428" width="9.625" style="229" customWidth="1"/>
    <col min="7429" max="7433" width="8.625" style="229" customWidth="1"/>
    <col min="7434" max="7434" width="10.625" style="229" customWidth="1"/>
    <col min="7435" max="7680" width="9" style="229"/>
    <col min="7681" max="7681" width="1.625" style="229" customWidth="1"/>
    <col min="7682" max="7682" width="8.625" style="229" customWidth="1"/>
    <col min="7683" max="7683" width="35.625" style="229" customWidth="1"/>
    <col min="7684" max="7684" width="9.625" style="229" customWidth="1"/>
    <col min="7685" max="7689" width="8.625" style="229" customWidth="1"/>
    <col min="7690" max="7690" width="10.625" style="229" customWidth="1"/>
    <col min="7691" max="7936" width="9" style="229"/>
    <col min="7937" max="7937" width="1.625" style="229" customWidth="1"/>
    <col min="7938" max="7938" width="8.625" style="229" customWidth="1"/>
    <col min="7939" max="7939" width="35.625" style="229" customWidth="1"/>
    <col min="7940" max="7940" width="9.625" style="229" customWidth="1"/>
    <col min="7941" max="7945" width="8.625" style="229" customWidth="1"/>
    <col min="7946" max="7946" width="10.625" style="229" customWidth="1"/>
    <col min="7947" max="8192" width="9" style="229"/>
    <col min="8193" max="8193" width="1.625" style="229" customWidth="1"/>
    <col min="8194" max="8194" width="8.625" style="229" customWidth="1"/>
    <col min="8195" max="8195" width="35.625" style="229" customWidth="1"/>
    <col min="8196" max="8196" width="9.625" style="229" customWidth="1"/>
    <col min="8197" max="8201" width="8.625" style="229" customWidth="1"/>
    <col min="8202" max="8202" width="10.625" style="229" customWidth="1"/>
    <col min="8203" max="8448" width="9" style="229"/>
    <col min="8449" max="8449" width="1.625" style="229" customWidth="1"/>
    <col min="8450" max="8450" width="8.625" style="229" customWidth="1"/>
    <col min="8451" max="8451" width="35.625" style="229" customWidth="1"/>
    <col min="8452" max="8452" width="9.625" style="229" customWidth="1"/>
    <col min="8453" max="8457" width="8.625" style="229" customWidth="1"/>
    <col min="8458" max="8458" width="10.625" style="229" customWidth="1"/>
    <col min="8459" max="8704" width="9" style="229"/>
    <col min="8705" max="8705" width="1.625" style="229" customWidth="1"/>
    <col min="8706" max="8706" width="8.625" style="229" customWidth="1"/>
    <col min="8707" max="8707" width="35.625" style="229" customWidth="1"/>
    <col min="8708" max="8708" width="9.625" style="229" customWidth="1"/>
    <col min="8709" max="8713" width="8.625" style="229" customWidth="1"/>
    <col min="8714" max="8714" width="10.625" style="229" customWidth="1"/>
    <col min="8715" max="8960" width="9" style="229"/>
    <col min="8961" max="8961" width="1.625" style="229" customWidth="1"/>
    <col min="8962" max="8962" width="8.625" style="229" customWidth="1"/>
    <col min="8963" max="8963" width="35.625" style="229" customWidth="1"/>
    <col min="8964" max="8964" width="9.625" style="229" customWidth="1"/>
    <col min="8965" max="8969" width="8.625" style="229" customWidth="1"/>
    <col min="8970" max="8970" width="10.625" style="229" customWidth="1"/>
    <col min="8971" max="9216" width="9" style="229"/>
    <col min="9217" max="9217" width="1.625" style="229" customWidth="1"/>
    <col min="9218" max="9218" width="8.625" style="229" customWidth="1"/>
    <col min="9219" max="9219" width="35.625" style="229" customWidth="1"/>
    <col min="9220" max="9220" width="9.625" style="229" customWidth="1"/>
    <col min="9221" max="9225" width="8.625" style="229" customWidth="1"/>
    <col min="9226" max="9226" width="10.625" style="229" customWidth="1"/>
    <col min="9227" max="9472" width="9" style="229"/>
    <col min="9473" max="9473" width="1.625" style="229" customWidth="1"/>
    <col min="9474" max="9474" width="8.625" style="229" customWidth="1"/>
    <col min="9475" max="9475" width="35.625" style="229" customWidth="1"/>
    <col min="9476" max="9476" width="9.625" style="229" customWidth="1"/>
    <col min="9477" max="9481" width="8.625" style="229" customWidth="1"/>
    <col min="9482" max="9482" width="10.625" style="229" customWidth="1"/>
    <col min="9483" max="9728" width="9" style="229"/>
    <col min="9729" max="9729" width="1.625" style="229" customWidth="1"/>
    <col min="9730" max="9730" width="8.625" style="229" customWidth="1"/>
    <col min="9731" max="9731" width="35.625" style="229" customWidth="1"/>
    <col min="9732" max="9732" width="9.625" style="229" customWidth="1"/>
    <col min="9733" max="9737" width="8.625" style="229" customWidth="1"/>
    <col min="9738" max="9738" width="10.625" style="229" customWidth="1"/>
    <col min="9739" max="9984" width="9" style="229"/>
    <col min="9985" max="9985" width="1.625" style="229" customWidth="1"/>
    <col min="9986" max="9986" width="8.625" style="229" customWidth="1"/>
    <col min="9987" max="9987" width="35.625" style="229" customWidth="1"/>
    <col min="9988" max="9988" width="9.625" style="229" customWidth="1"/>
    <col min="9989" max="9993" width="8.625" style="229" customWidth="1"/>
    <col min="9994" max="9994" width="10.625" style="229" customWidth="1"/>
    <col min="9995" max="10240" width="9" style="229"/>
    <col min="10241" max="10241" width="1.625" style="229" customWidth="1"/>
    <col min="10242" max="10242" width="8.625" style="229" customWidth="1"/>
    <col min="10243" max="10243" width="35.625" style="229" customWidth="1"/>
    <col min="10244" max="10244" width="9.625" style="229" customWidth="1"/>
    <col min="10245" max="10249" width="8.625" style="229" customWidth="1"/>
    <col min="10250" max="10250" width="10.625" style="229" customWidth="1"/>
    <col min="10251" max="10496" width="9" style="229"/>
    <col min="10497" max="10497" width="1.625" style="229" customWidth="1"/>
    <col min="10498" max="10498" width="8.625" style="229" customWidth="1"/>
    <col min="10499" max="10499" width="35.625" style="229" customWidth="1"/>
    <col min="10500" max="10500" width="9.625" style="229" customWidth="1"/>
    <col min="10501" max="10505" width="8.625" style="229" customWidth="1"/>
    <col min="10506" max="10506" width="10.625" style="229" customWidth="1"/>
    <col min="10507" max="10752" width="9" style="229"/>
    <col min="10753" max="10753" width="1.625" style="229" customWidth="1"/>
    <col min="10754" max="10754" width="8.625" style="229" customWidth="1"/>
    <col min="10755" max="10755" width="35.625" style="229" customWidth="1"/>
    <col min="10756" max="10756" width="9.625" style="229" customWidth="1"/>
    <col min="10757" max="10761" width="8.625" style="229" customWidth="1"/>
    <col min="10762" max="10762" width="10.625" style="229" customWidth="1"/>
    <col min="10763" max="11008" width="9" style="229"/>
    <col min="11009" max="11009" width="1.625" style="229" customWidth="1"/>
    <col min="11010" max="11010" width="8.625" style="229" customWidth="1"/>
    <col min="11011" max="11011" width="35.625" style="229" customWidth="1"/>
    <col min="11012" max="11012" width="9.625" style="229" customWidth="1"/>
    <col min="11013" max="11017" width="8.625" style="229" customWidth="1"/>
    <col min="11018" max="11018" width="10.625" style="229" customWidth="1"/>
    <col min="11019" max="11264" width="9" style="229"/>
    <col min="11265" max="11265" width="1.625" style="229" customWidth="1"/>
    <col min="11266" max="11266" width="8.625" style="229" customWidth="1"/>
    <col min="11267" max="11267" width="35.625" style="229" customWidth="1"/>
    <col min="11268" max="11268" width="9.625" style="229" customWidth="1"/>
    <col min="11269" max="11273" width="8.625" style="229" customWidth="1"/>
    <col min="11274" max="11274" width="10.625" style="229" customWidth="1"/>
    <col min="11275" max="11520" width="9" style="229"/>
    <col min="11521" max="11521" width="1.625" style="229" customWidth="1"/>
    <col min="11522" max="11522" width="8.625" style="229" customWidth="1"/>
    <col min="11523" max="11523" width="35.625" style="229" customWidth="1"/>
    <col min="11524" max="11524" width="9.625" style="229" customWidth="1"/>
    <col min="11525" max="11529" width="8.625" style="229" customWidth="1"/>
    <col min="11530" max="11530" width="10.625" style="229" customWidth="1"/>
    <col min="11531" max="11776" width="9" style="229"/>
    <col min="11777" max="11777" width="1.625" style="229" customWidth="1"/>
    <col min="11778" max="11778" width="8.625" style="229" customWidth="1"/>
    <col min="11779" max="11779" width="35.625" style="229" customWidth="1"/>
    <col min="11780" max="11780" width="9.625" style="229" customWidth="1"/>
    <col min="11781" max="11785" width="8.625" style="229" customWidth="1"/>
    <col min="11786" max="11786" width="10.625" style="229" customWidth="1"/>
    <col min="11787" max="12032" width="9" style="229"/>
    <col min="12033" max="12033" width="1.625" style="229" customWidth="1"/>
    <col min="12034" max="12034" width="8.625" style="229" customWidth="1"/>
    <col min="12035" max="12035" width="35.625" style="229" customWidth="1"/>
    <col min="12036" max="12036" width="9.625" style="229" customWidth="1"/>
    <col min="12037" max="12041" width="8.625" style="229" customWidth="1"/>
    <col min="12042" max="12042" width="10.625" style="229" customWidth="1"/>
    <col min="12043" max="12288" width="9" style="229"/>
    <col min="12289" max="12289" width="1.625" style="229" customWidth="1"/>
    <col min="12290" max="12290" width="8.625" style="229" customWidth="1"/>
    <col min="12291" max="12291" width="35.625" style="229" customWidth="1"/>
    <col min="12292" max="12292" width="9.625" style="229" customWidth="1"/>
    <col min="12293" max="12297" width="8.625" style="229" customWidth="1"/>
    <col min="12298" max="12298" width="10.625" style="229" customWidth="1"/>
    <col min="12299" max="12544" width="9" style="229"/>
    <col min="12545" max="12545" width="1.625" style="229" customWidth="1"/>
    <col min="12546" max="12546" width="8.625" style="229" customWidth="1"/>
    <col min="12547" max="12547" width="35.625" style="229" customWidth="1"/>
    <col min="12548" max="12548" width="9.625" style="229" customWidth="1"/>
    <col min="12549" max="12553" width="8.625" style="229" customWidth="1"/>
    <col min="12554" max="12554" width="10.625" style="229" customWidth="1"/>
    <col min="12555" max="12800" width="9" style="229"/>
    <col min="12801" max="12801" width="1.625" style="229" customWidth="1"/>
    <col min="12802" max="12802" width="8.625" style="229" customWidth="1"/>
    <col min="12803" max="12803" width="35.625" style="229" customWidth="1"/>
    <col min="12804" max="12804" width="9.625" style="229" customWidth="1"/>
    <col min="12805" max="12809" width="8.625" style="229" customWidth="1"/>
    <col min="12810" max="12810" width="10.625" style="229" customWidth="1"/>
    <col min="12811" max="13056" width="9" style="229"/>
    <col min="13057" max="13057" width="1.625" style="229" customWidth="1"/>
    <col min="13058" max="13058" width="8.625" style="229" customWidth="1"/>
    <col min="13059" max="13059" width="35.625" style="229" customWidth="1"/>
    <col min="13060" max="13060" width="9.625" style="229" customWidth="1"/>
    <col min="13061" max="13065" width="8.625" style="229" customWidth="1"/>
    <col min="13066" max="13066" width="10.625" style="229" customWidth="1"/>
    <col min="13067" max="13312" width="9" style="229"/>
    <col min="13313" max="13313" width="1.625" style="229" customWidth="1"/>
    <col min="13314" max="13314" width="8.625" style="229" customWidth="1"/>
    <col min="13315" max="13315" width="35.625" style="229" customWidth="1"/>
    <col min="13316" max="13316" width="9.625" style="229" customWidth="1"/>
    <col min="13317" max="13321" width="8.625" style="229" customWidth="1"/>
    <col min="13322" max="13322" width="10.625" style="229" customWidth="1"/>
    <col min="13323" max="13568" width="9" style="229"/>
    <col min="13569" max="13569" width="1.625" style="229" customWidth="1"/>
    <col min="13570" max="13570" width="8.625" style="229" customWidth="1"/>
    <col min="13571" max="13571" width="35.625" style="229" customWidth="1"/>
    <col min="13572" max="13572" width="9.625" style="229" customWidth="1"/>
    <col min="13573" max="13577" width="8.625" style="229" customWidth="1"/>
    <col min="13578" max="13578" width="10.625" style="229" customWidth="1"/>
    <col min="13579" max="13824" width="9" style="229"/>
    <col min="13825" max="13825" width="1.625" style="229" customWidth="1"/>
    <col min="13826" max="13826" width="8.625" style="229" customWidth="1"/>
    <col min="13827" max="13827" width="35.625" style="229" customWidth="1"/>
    <col min="13828" max="13828" width="9.625" style="229" customWidth="1"/>
    <col min="13829" max="13833" width="8.625" style="229" customWidth="1"/>
    <col min="13834" max="13834" width="10.625" style="229" customWidth="1"/>
    <col min="13835" max="14080" width="9" style="229"/>
    <col min="14081" max="14081" width="1.625" style="229" customWidth="1"/>
    <col min="14082" max="14082" width="8.625" style="229" customWidth="1"/>
    <col min="14083" max="14083" width="35.625" style="229" customWidth="1"/>
    <col min="14084" max="14084" width="9.625" style="229" customWidth="1"/>
    <col min="14085" max="14089" width="8.625" style="229" customWidth="1"/>
    <col min="14090" max="14090" width="10.625" style="229" customWidth="1"/>
    <col min="14091" max="14336" width="9" style="229"/>
    <col min="14337" max="14337" width="1.625" style="229" customWidth="1"/>
    <col min="14338" max="14338" width="8.625" style="229" customWidth="1"/>
    <col min="14339" max="14339" width="35.625" style="229" customWidth="1"/>
    <col min="14340" max="14340" width="9.625" style="229" customWidth="1"/>
    <col min="14341" max="14345" width="8.625" style="229" customWidth="1"/>
    <col min="14346" max="14346" width="10.625" style="229" customWidth="1"/>
    <col min="14347" max="14592" width="9" style="229"/>
    <col min="14593" max="14593" width="1.625" style="229" customWidth="1"/>
    <col min="14594" max="14594" width="8.625" style="229" customWidth="1"/>
    <col min="14595" max="14595" width="35.625" style="229" customWidth="1"/>
    <col min="14596" max="14596" width="9.625" style="229" customWidth="1"/>
    <col min="14597" max="14601" width="8.625" style="229" customWidth="1"/>
    <col min="14602" max="14602" width="10.625" style="229" customWidth="1"/>
    <col min="14603" max="14848" width="9" style="229"/>
    <col min="14849" max="14849" width="1.625" style="229" customWidth="1"/>
    <col min="14850" max="14850" width="8.625" style="229" customWidth="1"/>
    <col min="14851" max="14851" width="35.625" style="229" customWidth="1"/>
    <col min="14852" max="14852" width="9.625" style="229" customWidth="1"/>
    <col min="14853" max="14857" width="8.625" style="229" customWidth="1"/>
    <col min="14858" max="14858" width="10.625" style="229" customWidth="1"/>
    <col min="14859" max="15104" width="9" style="229"/>
    <col min="15105" max="15105" width="1.625" style="229" customWidth="1"/>
    <col min="15106" max="15106" width="8.625" style="229" customWidth="1"/>
    <col min="15107" max="15107" width="35.625" style="229" customWidth="1"/>
    <col min="15108" max="15108" width="9.625" style="229" customWidth="1"/>
    <col min="15109" max="15113" width="8.625" style="229" customWidth="1"/>
    <col min="15114" max="15114" width="10.625" style="229" customWidth="1"/>
    <col min="15115" max="15360" width="9" style="229"/>
    <col min="15361" max="15361" width="1.625" style="229" customWidth="1"/>
    <col min="15362" max="15362" width="8.625" style="229" customWidth="1"/>
    <col min="15363" max="15363" width="35.625" style="229" customWidth="1"/>
    <col min="15364" max="15364" width="9.625" style="229" customWidth="1"/>
    <col min="15365" max="15369" width="8.625" style="229" customWidth="1"/>
    <col min="15370" max="15370" width="10.625" style="229" customWidth="1"/>
    <col min="15371" max="15616" width="9" style="229"/>
    <col min="15617" max="15617" width="1.625" style="229" customWidth="1"/>
    <col min="15618" max="15618" width="8.625" style="229" customWidth="1"/>
    <col min="15619" max="15619" width="35.625" style="229" customWidth="1"/>
    <col min="15620" max="15620" width="9.625" style="229" customWidth="1"/>
    <col min="15621" max="15625" width="8.625" style="229" customWidth="1"/>
    <col min="15626" max="15626" width="10.625" style="229" customWidth="1"/>
    <col min="15627" max="15872" width="9" style="229"/>
    <col min="15873" max="15873" width="1.625" style="229" customWidth="1"/>
    <col min="15874" max="15874" width="8.625" style="229" customWidth="1"/>
    <col min="15875" max="15875" width="35.625" style="229" customWidth="1"/>
    <col min="15876" max="15876" width="9.625" style="229" customWidth="1"/>
    <col min="15877" max="15881" width="8.625" style="229" customWidth="1"/>
    <col min="15882" max="15882" width="10.625" style="229" customWidth="1"/>
    <col min="15883" max="16128" width="9" style="229"/>
    <col min="16129" max="16129" width="1.625" style="229" customWidth="1"/>
    <col min="16130" max="16130" width="8.625" style="229" customWidth="1"/>
    <col min="16131" max="16131" width="35.625" style="229" customWidth="1"/>
    <col min="16132" max="16132" width="9.625" style="229" customWidth="1"/>
    <col min="16133" max="16137" width="8.625" style="229" customWidth="1"/>
    <col min="16138" max="16138" width="10.625" style="229" customWidth="1"/>
    <col min="16139" max="16384" width="9" style="229"/>
  </cols>
  <sheetData>
    <row r="1" spans="1:10" ht="14.4" thickBot="1" x14ac:dyDescent="0.3">
      <c r="A1" s="300"/>
      <c r="B1" s="300"/>
      <c r="C1" s="300"/>
      <c r="D1" s="301"/>
      <c r="E1" s="302"/>
      <c r="F1" s="302"/>
      <c r="G1" s="300"/>
      <c r="H1" s="300"/>
      <c r="I1" s="300"/>
      <c r="J1" s="300"/>
    </row>
    <row r="2" spans="1:10" x14ac:dyDescent="0.25">
      <c r="A2" s="303"/>
      <c r="B2" s="304"/>
      <c r="C2" s="305"/>
      <c r="D2" s="306" t="s">
        <v>463</v>
      </c>
      <c r="E2" s="307"/>
      <c r="F2" s="307"/>
      <c r="G2" s="308"/>
      <c r="H2" s="308"/>
      <c r="I2" s="308"/>
      <c r="J2" s="309"/>
    </row>
    <row r="3" spans="1:10" x14ac:dyDescent="0.25">
      <c r="A3" s="303"/>
      <c r="B3" s="310" t="s">
        <v>464</v>
      </c>
      <c r="C3" s="311" t="s">
        <v>134</v>
      </c>
      <c r="D3" s="312"/>
      <c r="E3" s="313"/>
      <c r="F3" s="313"/>
      <c r="G3" s="313"/>
      <c r="H3" s="314"/>
      <c r="I3" s="313"/>
      <c r="J3" s="315" t="s">
        <v>465</v>
      </c>
    </row>
    <row r="4" spans="1:10" x14ac:dyDescent="0.25">
      <c r="A4" s="303"/>
      <c r="B4" s="316">
        <v>4915757</v>
      </c>
      <c r="C4" s="317" t="s">
        <v>364</v>
      </c>
      <c r="D4" s="318"/>
      <c r="E4" s="319"/>
      <c r="F4" s="319"/>
      <c r="G4" s="319"/>
      <c r="H4" s="320"/>
      <c r="I4" s="319"/>
      <c r="J4" s="321" t="s">
        <v>365</v>
      </c>
    </row>
    <row r="5" spans="1:10" x14ac:dyDescent="0.25">
      <c r="A5" s="303"/>
      <c r="B5" s="310"/>
      <c r="C5" s="311"/>
      <c r="D5" s="312"/>
      <c r="E5" s="314"/>
      <c r="F5" s="314" t="s">
        <v>466</v>
      </c>
      <c r="G5" s="314"/>
      <c r="H5" s="314" t="s">
        <v>467</v>
      </c>
      <c r="I5" s="314"/>
      <c r="J5" s="322" t="s">
        <v>468</v>
      </c>
    </row>
    <row r="6" spans="1:10" x14ac:dyDescent="0.25">
      <c r="A6" s="303"/>
      <c r="B6" s="316" t="s">
        <v>464</v>
      </c>
      <c r="C6" s="317" t="s">
        <v>469</v>
      </c>
      <c r="D6" s="318"/>
      <c r="E6" s="323" t="s">
        <v>355</v>
      </c>
      <c r="F6" s="324" t="s">
        <v>470</v>
      </c>
      <c r="G6" s="324" t="s">
        <v>471</v>
      </c>
      <c r="H6" s="324" t="s">
        <v>472</v>
      </c>
      <c r="I6" s="325" t="s">
        <v>473</v>
      </c>
      <c r="J6" s="326" t="s">
        <v>474</v>
      </c>
    </row>
    <row r="7" spans="1:10" x14ac:dyDescent="0.25">
      <c r="A7" s="303"/>
      <c r="B7" s="327" t="s">
        <v>475</v>
      </c>
      <c r="C7" s="311" t="s">
        <v>870</v>
      </c>
      <c r="D7" s="312"/>
      <c r="E7" s="328">
        <v>1</v>
      </c>
      <c r="F7" s="328">
        <v>0.01</v>
      </c>
      <c r="G7" s="328">
        <v>0.99</v>
      </c>
      <c r="H7" s="329">
        <v>11.912599999999999</v>
      </c>
      <c r="I7" s="329">
        <v>7.0186999999999999</v>
      </c>
      <c r="J7" s="315">
        <v>7.0675999999999997</v>
      </c>
    </row>
    <row r="8" spans="1:10" x14ac:dyDescent="0.25">
      <c r="A8" s="303"/>
      <c r="B8" s="330" t="s">
        <v>476</v>
      </c>
      <c r="C8" s="317" t="s">
        <v>871</v>
      </c>
      <c r="D8" s="318"/>
      <c r="E8" s="331">
        <v>1</v>
      </c>
      <c r="F8" s="331">
        <v>0.26</v>
      </c>
      <c r="G8" s="331">
        <v>0.74</v>
      </c>
      <c r="H8" s="332">
        <v>7.0235000000000003</v>
      </c>
      <c r="I8" s="332">
        <v>0.77270000000000005</v>
      </c>
      <c r="J8" s="321">
        <v>2.3978999999999999</v>
      </c>
    </row>
    <row r="9" spans="1:10" x14ac:dyDescent="0.25">
      <c r="A9" s="303"/>
      <c r="B9" s="330" t="s">
        <v>477</v>
      </c>
      <c r="C9" s="317" t="s">
        <v>478</v>
      </c>
      <c r="D9" s="318"/>
      <c r="E9" s="331">
        <v>1</v>
      </c>
      <c r="F9" s="331">
        <v>0.33</v>
      </c>
      <c r="G9" s="331">
        <v>0.67</v>
      </c>
      <c r="H9" s="332">
        <v>21.3766</v>
      </c>
      <c r="I9" s="332">
        <v>1.5183</v>
      </c>
      <c r="J9" s="321">
        <v>8.0715000000000003</v>
      </c>
    </row>
    <row r="10" spans="1:10" x14ac:dyDescent="0.25">
      <c r="A10" s="303"/>
      <c r="B10" s="333" t="s">
        <v>346</v>
      </c>
      <c r="C10" s="317"/>
      <c r="D10" s="318"/>
      <c r="E10" s="331"/>
      <c r="F10" s="331"/>
      <c r="G10" s="331"/>
      <c r="H10" s="332"/>
      <c r="I10" s="332"/>
      <c r="J10" s="321"/>
    </row>
    <row r="11" spans="1:10" x14ac:dyDescent="0.25">
      <c r="A11" s="303"/>
      <c r="B11" s="333" t="s">
        <v>346</v>
      </c>
      <c r="C11" s="317"/>
      <c r="D11" s="318"/>
      <c r="E11" s="331"/>
      <c r="F11" s="331"/>
      <c r="G11" s="331"/>
      <c r="H11" s="332"/>
      <c r="I11" s="332"/>
      <c r="J11" s="321"/>
    </row>
    <row r="12" spans="1:10" x14ac:dyDescent="0.25">
      <c r="A12" s="303"/>
      <c r="B12" s="333" t="s">
        <v>346</v>
      </c>
      <c r="C12" s="317"/>
      <c r="D12" s="318"/>
      <c r="E12" s="331"/>
      <c r="F12" s="331"/>
      <c r="G12" s="331"/>
      <c r="H12" s="332"/>
      <c r="I12" s="332"/>
      <c r="J12" s="321"/>
    </row>
    <row r="13" spans="1:10" x14ac:dyDescent="0.25">
      <c r="A13" s="303"/>
      <c r="B13" s="333" t="s">
        <v>346</v>
      </c>
      <c r="C13" s="317"/>
      <c r="D13" s="318"/>
      <c r="E13" s="331"/>
      <c r="F13" s="331"/>
      <c r="G13" s="331"/>
      <c r="H13" s="332"/>
      <c r="I13" s="332"/>
      <c r="J13" s="321"/>
    </row>
    <row r="14" spans="1:10" x14ac:dyDescent="0.25">
      <c r="A14" s="303"/>
      <c r="B14" s="310"/>
      <c r="C14" s="334"/>
      <c r="D14" s="312"/>
      <c r="E14" s="313"/>
      <c r="F14" s="313"/>
      <c r="G14" s="313"/>
      <c r="H14" s="313"/>
      <c r="I14" s="335" t="s">
        <v>479</v>
      </c>
      <c r="J14" s="315">
        <v>17.536999999999999</v>
      </c>
    </row>
    <row r="15" spans="1:10" x14ac:dyDescent="0.25">
      <c r="A15" s="303"/>
      <c r="B15" s="310" t="s">
        <v>464</v>
      </c>
      <c r="C15" s="311" t="s">
        <v>480</v>
      </c>
      <c r="D15" s="312"/>
      <c r="E15" s="313"/>
      <c r="F15" s="313"/>
      <c r="G15" s="313"/>
      <c r="H15" s="324" t="s">
        <v>355</v>
      </c>
      <c r="I15" s="336" t="s">
        <v>481</v>
      </c>
      <c r="J15" s="322" t="s">
        <v>331</v>
      </c>
    </row>
    <row r="16" spans="1:10" x14ac:dyDescent="0.25">
      <c r="A16" s="303"/>
      <c r="B16" s="337" t="s">
        <v>482</v>
      </c>
      <c r="C16" s="311" t="s">
        <v>483</v>
      </c>
      <c r="D16" s="312"/>
      <c r="E16" s="313"/>
      <c r="F16" s="313"/>
      <c r="G16" s="313"/>
      <c r="H16" s="314">
        <v>6</v>
      </c>
      <c r="I16" s="329">
        <v>17.768000000000001</v>
      </c>
      <c r="J16" s="315">
        <v>106.608</v>
      </c>
    </row>
    <row r="17" spans="1:10" x14ac:dyDescent="0.25">
      <c r="A17" s="303"/>
      <c r="B17" s="333" t="s">
        <v>346</v>
      </c>
      <c r="C17" s="317"/>
      <c r="D17" s="318"/>
      <c r="E17" s="319"/>
      <c r="F17" s="319"/>
      <c r="G17" s="319"/>
      <c r="H17" s="320"/>
      <c r="I17" s="332"/>
      <c r="J17" s="321"/>
    </row>
    <row r="18" spans="1:10" x14ac:dyDescent="0.25">
      <c r="A18" s="303"/>
      <c r="B18" s="333" t="s">
        <v>346</v>
      </c>
      <c r="C18" s="317"/>
      <c r="D18" s="318"/>
      <c r="E18" s="319"/>
      <c r="F18" s="319"/>
      <c r="G18" s="319"/>
      <c r="H18" s="320"/>
      <c r="I18" s="332"/>
      <c r="J18" s="321"/>
    </row>
    <row r="19" spans="1:10" x14ac:dyDescent="0.25">
      <c r="A19" s="303"/>
      <c r="B19" s="333" t="s">
        <v>346</v>
      </c>
      <c r="C19" s="317"/>
      <c r="D19" s="318"/>
      <c r="E19" s="319"/>
      <c r="F19" s="319"/>
      <c r="G19" s="319"/>
      <c r="H19" s="320"/>
      <c r="I19" s="332"/>
      <c r="J19" s="321"/>
    </row>
    <row r="20" spans="1:10" x14ac:dyDescent="0.25">
      <c r="A20" s="303"/>
      <c r="B20" s="333" t="s">
        <v>346</v>
      </c>
      <c r="C20" s="317"/>
      <c r="D20" s="318"/>
      <c r="E20" s="319"/>
      <c r="F20" s="319"/>
      <c r="G20" s="319"/>
      <c r="H20" s="320"/>
      <c r="I20" s="332"/>
      <c r="J20" s="321"/>
    </row>
    <row r="21" spans="1:10" x14ac:dyDescent="0.25">
      <c r="A21" s="303"/>
      <c r="B21" s="333" t="s">
        <v>346</v>
      </c>
      <c r="C21" s="317"/>
      <c r="D21" s="318"/>
      <c r="E21" s="319"/>
      <c r="F21" s="319"/>
      <c r="G21" s="319"/>
      <c r="H21" s="320"/>
      <c r="I21" s="332"/>
      <c r="J21" s="321"/>
    </row>
    <row r="22" spans="1:10" x14ac:dyDescent="0.25">
      <c r="A22" s="303"/>
      <c r="B22" s="333" t="s">
        <v>346</v>
      </c>
      <c r="C22" s="317"/>
      <c r="D22" s="318"/>
      <c r="E22" s="319"/>
      <c r="F22" s="319"/>
      <c r="G22" s="319"/>
      <c r="H22" s="320"/>
      <c r="I22" s="332"/>
      <c r="J22" s="321"/>
    </row>
    <row r="23" spans="1:10" x14ac:dyDescent="0.25">
      <c r="A23" s="303"/>
      <c r="B23" s="310"/>
      <c r="C23" s="334"/>
      <c r="D23" s="312"/>
      <c r="E23" s="313"/>
      <c r="F23" s="313"/>
      <c r="G23" s="313"/>
      <c r="H23" s="313"/>
      <c r="I23" s="338" t="s">
        <v>484</v>
      </c>
      <c r="J23" s="315">
        <v>106.608</v>
      </c>
    </row>
    <row r="24" spans="1:10" x14ac:dyDescent="0.25">
      <c r="A24" s="303"/>
      <c r="B24" s="339"/>
      <c r="C24" s="334"/>
      <c r="D24" s="312"/>
      <c r="E24" s="313"/>
      <c r="F24" s="313"/>
      <c r="G24" s="313"/>
      <c r="H24" s="313"/>
      <c r="I24" s="338" t="s">
        <v>485</v>
      </c>
      <c r="J24" s="340">
        <v>124.14500000000001</v>
      </c>
    </row>
    <row r="25" spans="1:10" x14ac:dyDescent="0.25">
      <c r="A25" s="303"/>
      <c r="B25" s="339"/>
      <c r="C25" s="341" t="s">
        <v>486</v>
      </c>
      <c r="D25" s="312">
        <v>0.56000000000000005</v>
      </c>
      <c r="E25" s="313"/>
      <c r="F25" s="313"/>
      <c r="G25" s="313"/>
      <c r="H25" s="313"/>
      <c r="I25" s="338" t="s">
        <v>487</v>
      </c>
      <c r="J25" s="340">
        <v>221.6875</v>
      </c>
    </row>
    <row r="26" spans="1:10" x14ac:dyDescent="0.25">
      <c r="A26" s="303"/>
      <c r="B26" s="310"/>
      <c r="C26" s="334"/>
      <c r="D26" s="312"/>
      <c r="E26" s="313"/>
      <c r="F26" s="313"/>
      <c r="G26" s="313"/>
      <c r="H26" s="338" t="s">
        <v>488</v>
      </c>
      <c r="I26" s="342">
        <v>1.8530000000000001E-2</v>
      </c>
      <c r="J26" s="315">
        <v>4.1078999999999999</v>
      </c>
    </row>
    <row r="27" spans="1:10" x14ac:dyDescent="0.25">
      <c r="A27" s="303"/>
      <c r="B27" s="310"/>
      <c r="C27" s="334"/>
      <c r="D27" s="312"/>
      <c r="E27" s="313"/>
      <c r="F27" s="313"/>
      <c r="G27" s="313"/>
      <c r="H27" s="335" t="s">
        <v>489</v>
      </c>
      <c r="I27" s="343">
        <v>0</v>
      </c>
      <c r="J27" s="315">
        <v>0</v>
      </c>
    </row>
    <row r="28" spans="1:10" x14ac:dyDescent="0.25">
      <c r="A28" s="303"/>
      <c r="B28" s="310" t="s">
        <v>464</v>
      </c>
      <c r="C28" s="311" t="s">
        <v>490</v>
      </c>
      <c r="D28" s="312"/>
      <c r="E28" s="313"/>
      <c r="F28" s="313"/>
      <c r="G28" s="314" t="s">
        <v>465</v>
      </c>
      <c r="H28" s="336" t="s">
        <v>468</v>
      </c>
      <c r="I28" s="336" t="s">
        <v>491</v>
      </c>
      <c r="J28" s="322" t="s">
        <v>492</v>
      </c>
    </row>
    <row r="29" spans="1:10" x14ac:dyDescent="0.25">
      <c r="A29" s="303"/>
      <c r="B29" s="337" t="s">
        <v>493</v>
      </c>
      <c r="C29" s="311" t="s">
        <v>494</v>
      </c>
      <c r="D29" s="312"/>
      <c r="E29" s="313"/>
      <c r="F29" s="313"/>
      <c r="G29" s="314" t="s">
        <v>433</v>
      </c>
      <c r="H29" s="329">
        <v>348.2038</v>
      </c>
      <c r="I29" s="329">
        <v>0.14832999999999999</v>
      </c>
      <c r="J29" s="315">
        <v>51.649099999999997</v>
      </c>
    </row>
    <row r="30" spans="1:10" x14ac:dyDescent="0.25">
      <c r="A30" s="303"/>
      <c r="B30" s="333" t="s">
        <v>495</v>
      </c>
      <c r="C30" s="317" t="s">
        <v>872</v>
      </c>
      <c r="D30" s="318"/>
      <c r="E30" s="319"/>
      <c r="F30" s="319"/>
      <c r="G30" s="320" t="s">
        <v>370</v>
      </c>
      <c r="H30" s="332">
        <v>0</v>
      </c>
      <c r="I30" s="332">
        <v>7.0000000000000001E-3</v>
      </c>
      <c r="J30" s="321">
        <v>0</v>
      </c>
    </row>
    <row r="31" spans="1:10" x14ac:dyDescent="0.25">
      <c r="A31" s="303"/>
      <c r="B31" s="333" t="s">
        <v>496</v>
      </c>
      <c r="C31" s="317" t="s">
        <v>497</v>
      </c>
      <c r="D31" s="318"/>
      <c r="E31" s="319"/>
      <c r="F31" s="319"/>
      <c r="G31" s="320" t="s">
        <v>365</v>
      </c>
      <c r="H31" s="332">
        <v>0</v>
      </c>
      <c r="I31" s="332">
        <v>1</v>
      </c>
      <c r="J31" s="321">
        <v>0</v>
      </c>
    </row>
    <row r="32" spans="1:10" x14ac:dyDescent="0.25">
      <c r="A32" s="303"/>
      <c r="B32" s="333" t="s">
        <v>346</v>
      </c>
      <c r="C32" s="317"/>
      <c r="D32" s="318"/>
      <c r="E32" s="319"/>
      <c r="F32" s="319"/>
      <c r="G32" s="320"/>
      <c r="H32" s="332"/>
      <c r="I32" s="332"/>
      <c r="J32" s="321"/>
    </row>
    <row r="33" spans="1:10" x14ac:dyDescent="0.25">
      <c r="A33" s="303"/>
      <c r="B33" s="333" t="s">
        <v>346</v>
      </c>
      <c r="C33" s="317"/>
      <c r="D33" s="318"/>
      <c r="E33" s="319"/>
      <c r="F33" s="319"/>
      <c r="G33" s="320"/>
      <c r="H33" s="332"/>
      <c r="I33" s="332"/>
      <c r="J33" s="321"/>
    </row>
    <row r="34" spans="1:10" x14ac:dyDescent="0.25">
      <c r="A34" s="303"/>
      <c r="B34" s="333" t="s">
        <v>346</v>
      </c>
      <c r="C34" s="317"/>
      <c r="D34" s="318"/>
      <c r="E34" s="319"/>
      <c r="F34" s="319"/>
      <c r="G34" s="320"/>
      <c r="H34" s="332"/>
      <c r="I34" s="332"/>
      <c r="J34" s="321"/>
    </row>
    <row r="35" spans="1:10" x14ac:dyDescent="0.25">
      <c r="A35" s="303"/>
      <c r="B35" s="310"/>
      <c r="C35" s="334"/>
      <c r="D35" s="312"/>
      <c r="E35" s="313"/>
      <c r="F35" s="313"/>
      <c r="G35" s="313"/>
      <c r="H35" s="343"/>
      <c r="I35" s="335" t="s">
        <v>498</v>
      </c>
      <c r="J35" s="315">
        <v>51.649099999999997</v>
      </c>
    </row>
    <row r="36" spans="1:10" x14ac:dyDescent="0.25">
      <c r="A36" s="303"/>
      <c r="B36" s="310" t="s">
        <v>464</v>
      </c>
      <c r="C36" s="311" t="s">
        <v>499</v>
      </c>
      <c r="D36" s="312"/>
      <c r="E36" s="313"/>
      <c r="F36" s="313"/>
      <c r="G36" s="314" t="s">
        <v>465</v>
      </c>
      <c r="H36" s="336" t="s">
        <v>468</v>
      </c>
      <c r="I36" s="336" t="s">
        <v>491</v>
      </c>
      <c r="J36" s="322" t="s">
        <v>492</v>
      </c>
    </row>
    <row r="37" spans="1:10" x14ac:dyDescent="0.25">
      <c r="A37" s="303"/>
      <c r="B37" s="337">
        <v>4915801</v>
      </c>
      <c r="C37" s="311" t="s">
        <v>500</v>
      </c>
      <c r="D37" s="312"/>
      <c r="E37" s="313"/>
      <c r="F37" s="313"/>
      <c r="G37" s="314" t="s">
        <v>365</v>
      </c>
      <c r="H37" s="329">
        <v>0</v>
      </c>
      <c r="I37" s="329">
        <v>1</v>
      </c>
      <c r="J37" s="315">
        <v>0</v>
      </c>
    </row>
    <row r="38" spans="1:10" x14ac:dyDescent="0.25">
      <c r="A38" s="303"/>
      <c r="B38" s="333"/>
      <c r="C38" s="317"/>
      <c r="D38" s="318"/>
      <c r="E38" s="319"/>
      <c r="F38" s="319"/>
      <c r="G38" s="320"/>
      <c r="H38" s="332"/>
      <c r="I38" s="332"/>
      <c r="J38" s="321"/>
    </row>
    <row r="39" spans="1:10" x14ac:dyDescent="0.25">
      <c r="A39" s="303"/>
      <c r="B39" s="333"/>
      <c r="C39" s="317"/>
      <c r="D39" s="318"/>
      <c r="E39" s="319"/>
      <c r="F39" s="319"/>
      <c r="G39" s="320"/>
      <c r="H39" s="332"/>
      <c r="I39" s="332"/>
      <c r="J39" s="321"/>
    </row>
    <row r="40" spans="1:10" x14ac:dyDescent="0.25">
      <c r="A40" s="303"/>
      <c r="B40" s="333"/>
      <c r="C40" s="317"/>
      <c r="D40" s="318"/>
      <c r="E40" s="319"/>
      <c r="F40" s="319"/>
      <c r="G40" s="320"/>
      <c r="H40" s="332"/>
      <c r="I40" s="332"/>
      <c r="J40" s="321"/>
    </row>
    <row r="41" spans="1:10" x14ac:dyDescent="0.25">
      <c r="A41" s="303"/>
      <c r="B41" s="333"/>
      <c r="C41" s="317"/>
      <c r="D41" s="318"/>
      <c r="E41" s="319"/>
      <c r="F41" s="319"/>
      <c r="G41" s="320"/>
      <c r="H41" s="332"/>
      <c r="I41" s="332"/>
      <c r="J41" s="321"/>
    </row>
    <row r="42" spans="1:10" x14ac:dyDescent="0.25">
      <c r="A42" s="303"/>
      <c r="B42" s="310"/>
      <c r="C42" s="334"/>
      <c r="D42" s="312"/>
      <c r="E42" s="313"/>
      <c r="F42" s="313"/>
      <c r="G42" s="313"/>
      <c r="H42" s="343"/>
      <c r="I42" s="335" t="s">
        <v>501</v>
      </c>
      <c r="J42" s="315">
        <v>0</v>
      </c>
    </row>
    <row r="43" spans="1:10" x14ac:dyDescent="0.25">
      <c r="A43" s="303"/>
      <c r="B43" s="310" t="s">
        <v>464</v>
      </c>
      <c r="C43" s="311" t="s">
        <v>502</v>
      </c>
      <c r="D43" s="312"/>
      <c r="E43" s="313"/>
      <c r="F43" s="314" t="s">
        <v>464</v>
      </c>
      <c r="G43" s="324" t="s">
        <v>503</v>
      </c>
      <c r="H43" s="329" t="s">
        <v>465</v>
      </c>
      <c r="I43" s="336" t="s">
        <v>468</v>
      </c>
      <c r="J43" s="322" t="s">
        <v>492</v>
      </c>
    </row>
    <row r="44" spans="1:10" x14ac:dyDescent="0.25">
      <c r="A44" s="303"/>
      <c r="B44" s="337" t="s">
        <v>504</v>
      </c>
      <c r="C44" s="311" t="s">
        <v>505</v>
      </c>
      <c r="D44" s="312"/>
      <c r="E44" s="313"/>
      <c r="F44" s="344" t="s">
        <v>506</v>
      </c>
      <c r="G44" s="314">
        <v>2.4</v>
      </c>
      <c r="H44" s="329" t="s">
        <v>370</v>
      </c>
      <c r="I44" s="329">
        <v>27.2</v>
      </c>
      <c r="J44" s="315">
        <v>65.28</v>
      </c>
    </row>
    <row r="45" spans="1:10" x14ac:dyDescent="0.25">
      <c r="A45" s="303"/>
      <c r="B45" s="333" t="s">
        <v>346</v>
      </c>
      <c r="C45" s="317"/>
      <c r="D45" s="318"/>
      <c r="E45" s="319"/>
      <c r="F45" s="320"/>
      <c r="G45" s="320"/>
      <c r="H45" s="332"/>
      <c r="I45" s="332"/>
      <c r="J45" s="321"/>
    </row>
    <row r="46" spans="1:10" x14ac:dyDescent="0.25">
      <c r="A46" s="303"/>
      <c r="B46" s="333" t="s">
        <v>346</v>
      </c>
      <c r="C46" s="317"/>
      <c r="D46" s="318"/>
      <c r="E46" s="319"/>
      <c r="F46" s="320"/>
      <c r="G46" s="320"/>
      <c r="H46" s="332"/>
      <c r="I46" s="332"/>
      <c r="J46" s="321"/>
    </row>
    <row r="47" spans="1:10" x14ac:dyDescent="0.25">
      <c r="A47" s="303"/>
      <c r="B47" s="333" t="s">
        <v>346</v>
      </c>
      <c r="C47" s="317"/>
      <c r="D47" s="318"/>
      <c r="E47" s="319"/>
      <c r="F47" s="320"/>
      <c r="G47" s="320"/>
      <c r="H47" s="332"/>
      <c r="I47" s="332"/>
      <c r="J47" s="321"/>
    </row>
    <row r="48" spans="1:10" x14ac:dyDescent="0.25">
      <c r="A48" s="303"/>
      <c r="B48" s="333" t="s">
        <v>346</v>
      </c>
      <c r="C48" s="317"/>
      <c r="D48" s="318"/>
      <c r="E48" s="319"/>
      <c r="F48" s="320"/>
      <c r="G48" s="320"/>
      <c r="H48" s="332"/>
      <c r="I48" s="332"/>
      <c r="J48" s="321"/>
    </row>
    <row r="49" spans="1:10" x14ac:dyDescent="0.25">
      <c r="A49" s="303"/>
      <c r="B49" s="310"/>
      <c r="C49" s="334"/>
      <c r="D49" s="312"/>
      <c r="E49" s="313"/>
      <c r="F49" s="313"/>
      <c r="G49" s="313"/>
      <c r="H49" s="343"/>
      <c r="I49" s="338" t="s">
        <v>507</v>
      </c>
      <c r="J49" s="315">
        <v>65.28</v>
      </c>
    </row>
    <row r="50" spans="1:10" x14ac:dyDescent="0.25">
      <c r="A50" s="303"/>
      <c r="B50" s="310" t="s">
        <v>464</v>
      </c>
      <c r="C50" s="311" t="s">
        <v>508</v>
      </c>
      <c r="D50" s="345" t="s">
        <v>509</v>
      </c>
      <c r="E50" s="324" t="s">
        <v>873</v>
      </c>
      <c r="F50" s="324" t="s">
        <v>874</v>
      </c>
      <c r="G50" s="324" t="s">
        <v>875</v>
      </c>
      <c r="H50" s="336" t="s">
        <v>468</v>
      </c>
      <c r="I50" s="324" t="s">
        <v>491</v>
      </c>
      <c r="J50" s="322" t="s">
        <v>492</v>
      </c>
    </row>
    <row r="51" spans="1:10" x14ac:dyDescent="0.25">
      <c r="A51" s="303"/>
      <c r="B51" s="337" t="s">
        <v>511</v>
      </c>
      <c r="C51" s="311" t="s">
        <v>512</v>
      </c>
      <c r="D51" s="345" t="s">
        <v>510</v>
      </c>
      <c r="E51" s="314">
        <v>0</v>
      </c>
      <c r="F51" s="314">
        <v>0</v>
      </c>
      <c r="G51" s="314">
        <v>25.11</v>
      </c>
      <c r="H51" s="329">
        <v>0.55000000000000004</v>
      </c>
      <c r="I51" s="314">
        <v>2.4</v>
      </c>
      <c r="J51" s="315">
        <v>33.145200000000003</v>
      </c>
    </row>
    <row r="52" spans="1:10" x14ac:dyDescent="0.25">
      <c r="A52" s="303"/>
      <c r="B52" s="333" t="s">
        <v>346</v>
      </c>
      <c r="C52" s="317"/>
      <c r="D52" s="346"/>
      <c r="E52" s="320"/>
      <c r="F52" s="320"/>
      <c r="G52" s="320"/>
      <c r="H52" s="332"/>
      <c r="I52" s="320"/>
      <c r="J52" s="321"/>
    </row>
    <row r="53" spans="1:10" x14ac:dyDescent="0.25">
      <c r="A53" s="303"/>
      <c r="B53" s="333" t="s">
        <v>346</v>
      </c>
      <c r="C53" s="317"/>
      <c r="D53" s="346"/>
      <c r="E53" s="320"/>
      <c r="F53" s="320"/>
      <c r="G53" s="320"/>
      <c r="H53" s="332"/>
      <c r="I53" s="320"/>
      <c r="J53" s="321"/>
    </row>
    <row r="54" spans="1:10" x14ac:dyDescent="0.25">
      <c r="A54" s="303"/>
      <c r="B54" s="333" t="s">
        <v>346</v>
      </c>
      <c r="C54" s="317"/>
      <c r="D54" s="346"/>
      <c r="E54" s="320"/>
      <c r="F54" s="320"/>
      <c r="G54" s="320"/>
      <c r="H54" s="332"/>
      <c r="I54" s="320"/>
      <c r="J54" s="321"/>
    </row>
    <row r="55" spans="1:10" x14ac:dyDescent="0.25">
      <c r="A55" s="303"/>
      <c r="B55" s="333" t="s">
        <v>346</v>
      </c>
      <c r="C55" s="317"/>
      <c r="D55" s="346"/>
      <c r="E55" s="320"/>
      <c r="F55" s="320"/>
      <c r="G55" s="320"/>
      <c r="H55" s="332"/>
      <c r="I55" s="320"/>
      <c r="J55" s="321"/>
    </row>
    <row r="56" spans="1:10" x14ac:dyDescent="0.25">
      <c r="A56" s="303"/>
      <c r="B56" s="333" t="s">
        <v>346</v>
      </c>
      <c r="C56" s="317"/>
      <c r="D56" s="346"/>
      <c r="E56" s="320"/>
      <c r="F56" s="320"/>
      <c r="G56" s="320"/>
      <c r="H56" s="332"/>
      <c r="I56" s="320"/>
      <c r="J56" s="321"/>
    </row>
    <row r="57" spans="1:10" x14ac:dyDescent="0.25">
      <c r="A57" s="303"/>
      <c r="B57" s="333" t="s">
        <v>346</v>
      </c>
      <c r="C57" s="317"/>
      <c r="D57" s="346"/>
      <c r="E57" s="320"/>
      <c r="F57" s="320"/>
      <c r="G57" s="320"/>
      <c r="H57" s="332"/>
      <c r="I57" s="320"/>
      <c r="J57" s="321"/>
    </row>
    <row r="58" spans="1:10" x14ac:dyDescent="0.25">
      <c r="A58" s="303"/>
      <c r="B58" s="310"/>
      <c r="C58" s="334"/>
      <c r="D58" s="312"/>
      <c r="E58" s="313"/>
      <c r="F58" s="313"/>
      <c r="G58" s="313"/>
      <c r="H58" s="313"/>
      <c r="I58" s="338" t="s">
        <v>513</v>
      </c>
      <c r="J58" s="315">
        <v>33.145200000000003</v>
      </c>
    </row>
    <row r="59" spans="1:10" x14ac:dyDescent="0.25">
      <c r="A59" s="303"/>
      <c r="B59" s="310" t="s">
        <v>514</v>
      </c>
      <c r="C59" s="334"/>
      <c r="D59" s="312"/>
      <c r="E59" s="313"/>
      <c r="F59" s="313"/>
      <c r="G59" s="313"/>
      <c r="H59" s="313"/>
      <c r="I59" s="313"/>
      <c r="J59" s="315">
        <v>375.86970000000002</v>
      </c>
    </row>
    <row r="60" spans="1:10" x14ac:dyDescent="0.25">
      <c r="A60" s="303"/>
      <c r="B60" s="310" t="s">
        <v>515</v>
      </c>
      <c r="C60" s="334"/>
      <c r="D60" s="312">
        <v>0</v>
      </c>
      <c r="E60" s="313"/>
      <c r="F60" s="313"/>
      <c r="G60" s="313"/>
      <c r="H60" s="313"/>
      <c r="I60" s="313"/>
      <c r="J60" s="315">
        <v>0</v>
      </c>
    </row>
    <row r="61" spans="1:10" ht="14.4" thickBot="1" x14ac:dyDescent="0.3">
      <c r="A61" s="303"/>
      <c r="B61" s="310" t="s">
        <v>516</v>
      </c>
      <c r="C61" s="334"/>
      <c r="D61" s="312"/>
      <c r="E61" s="313"/>
      <c r="F61" s="313"/>
      <c r="G61" s="313"/>
      <c r="H61" s="313"/>
      <c r="I61" s="313"/>
      <c r="J61" s="347">
        <v>375.87</v>
      </c>
    </row>
    <row r="62" spans="1:10" x14ac:dyDescent="0.25">
      <c r="A62" s="303"/>
      <c r="B62" s="304"/>
      <c r="C62" s="305"/>
      <c r="D62" s="348"/>
      <c r="E62" s="308"/>
      <c r="F62" s="308"/>
      <c r="G62" s="308"/>
      <c r="H62" s="308"/>
      <c r="I62" s="308"/>
      <c r="J62" s="309"/>
    </row>
    <row r="63" spans="1:10" x14ac:dyDescent="0.25">
      <c r="A63" s="303"/>
      <c r="B63" s="316"/>
      <c r="C63" s="303"/>
      <c r="D63" s="318"/>
      <c r="E63" s="319"/>
      <c r="F63" s="319"/>
      <c r="G63" s="319"/>
      <c r="H63" s="319"/>
      <c r="I63" s="319"/>
      <c r="J63" s="349"/>
    </row>
    <row r="64" spans="1:10" x14ac:dyDescent="0.25">
      <c r="A64" s="303"/>
      <c r="B64" s="316"/>
      <c r="C64" s="303"/>
      <c r="D64" s="318"/>
      <c r="E64" s="319"/>
      <c r="F64" s="319"/>
      <c r="G64" s="319"/>
      <c r="H64" s="319"/>
      <c r="I64" s="319"/>
      <c r="J64" s="349"/>
    </row>
    <row r="65" spans="1:10" ht="14.4" thickBot="1" x14ac:dyDescent="0.3">
      <c r="A65" s="303"/>
      <c r="B65" s="350"/>
      <c r="C65" s="303"/>
      <c r="D65" s="318"/>
      <c r="E65" s="319"/>
      <c r="F65" s="319"/>
      <c r="G65" s="319"/>
      <c r="H65" s="319"/>
      <c r="I65" s="319"/>
      <c r="J65" s="351"/>
    </row>
    <row r="66" spans="1:10" x14ac:dyDescent="0.25">
      <c r="A66" s="303"/>
      <c r="B66" s="305"/>
      <c r="C66" s="305"/>
      <c r="D66" s="348"/>
      <c r="E66" s="308"/>
      <c r="F66" s="308"/>
      <c r="G66" s="308"/>
      <c r="H66" s="308"/>
      <c r="I66" s="308"/>
      <c r="J66" s="352"/>
    </row>
    <row r="67" spans="1:10" ht="14.4" thickBot="1" x14ac:dyDescent="0.3">
      <c r="A67" s="303"/>
      <c r="B67" s="303"/>
      <c r="C67" s="303"/>
      <c r="D67" s="318"/>
      <c r="E67" s="319"/>
      <c r="F67" s="319"/>
      <c r="G67" s="319"/>
      <c r="H67" s="319"/>
      <c r="I67" s="319"/>
      <c r="J67" s="353"/>
    </row>
    <row r="68" spans="1:10" x14ac:dyDescent="0.25">
      <c r="A68" s="303"/>
      <c r="B68" s="304"/>
      <c r="C68" s="305"/>
      <c r="D68" s="306" t="s">
        <v>463</v>
      </c>
      <c r="E68" s="307"/>
      <c r="F68" s="307"/>
      <c r="G68" s="308"/>
      <c r="H68" s="308"/>
      <c r="I68" s="308"/>
      <c r="J68" s="309"/>
    </row>
    <row r="69" spans="1:10" x14ac:dyDescent="0.25">
      <c r="A69" s="303"/>
      <c r="B69" s="310" t="s">
        <v>464</v>
      </c>
      <c r="C69" s="311" t="s">
        <v>134</v>
      </c>
      <c r="D69" s="312"/>
      <c r="E69" s="313"/>
      <c r="F69" s="313"/>
      <c r="G69" s="313"/>
      <c r="H69" s="314"/>
      <c r="I69" s="313"/>
      <c r="J69" s="315" t="s">
        <v>465</v>
      </c>
    </row>
    <row r="70" spans="1:10" x14ac:dyDescent="0.25">
      <c r="A70" s="303"/>
      <c r="B70" s="316">
        <v>4915801</v>
      </c>
      <c r="C70" s="317" t="s">
        <v>517</v>
      </c>
      <c r="D70" s="318"/>
      <c r="E70" s="319"/>
      <c r="F70" s="319"/>
      <c r="G70" s="319"/>
      <c r="H70" s="320"/>
      <c r="I70" s="319"/>
      <c r="J70" s="321" t="s">
        <v>365</v>
      </c>
    </row>
    <row r="71" spans="1:10" x14ac:dyDescent="0.25">
      <c r="A71" s="303"/>
      <c r="B71" s="310"/>
      <c r="C71" s="311"/>
      <c r="D71" s="312"/>
      <c r="E71" s="314"/>
      <c r="F71" s="314" t="s">
        <v>466</v>
      </c>
      <c r="G71" s="314"/>
      <c r="H71" s="314" t="s">
        <v>467</v>
      </c>
      <c r="I71" s="314"/>
      <c r="J71" s="322" t="s">
        <v>468</v>
      </c>
    </row>
    <row r="72" spans="1:10" x14ac:dyDescent="0.25">
      <c r="A72" s="303"/>
      <c r="B72" s="316" t="s">
        <v>464</v>
      </c>
      <c r="C72" s="317" t="s">
        <v>469</v>
      </c>
      <c r="D72" s="318"/>
      <c r="E72" s="323" t="s">
        <v>355</v>
      </c>
      <c r="F72" s="324" t="s">
        <v>470</v>
      </c>
      <c r="G72" s="324" t="s">
        <v>471</v>
      </c>
      <c r="H72" s="324" t="s">
        <v>472</v>
      </c>
      <c r="I72" s="325" t="s">
        <v>473</v>
      </c>
      <c r="J72" s="326" t="s">
        <v>474</v>
      </c>
    </row>
    <row r="73" spans="1:10" x14ac:dyDescent="0.25">
      <c r="A73" s="303"/>
      <c r="B73" s="337" t="s">
        <v>346</v>
      </c>
      <c r="C73" s="311"/>
      <c r="D73" s="312"/>
      <c r="E73" s="328"/>
      <c r="F73" s="328"/>
      <c r="G73" s="328"/>
      <c r="H73" s="329"/>
      <c r="I73" s="329"/>
      <c r="J73" s="315"/>
    </row>
    <row r="74" spans="1:10" x14ac:dyDescent="0.25">
      <c r="A74" s="303"/>
      <c r="B74" s="333" t="s">
        <v>346</v>
      </c>
      <c r="C74" s="317"/>
      <c r="D74" s="318"/>
      <c r="E74" s="331"/>
      <c r="F74" s="331"/>
      <c r="G74" s="331"/>
      <c r="H74" s="332"/>
      <c r="I74" s="332"/>
      <c r="J74" s="321"/>
    </row>
    <row r="75" spans="1:10" x14ac:dyDescent="0.25">
      <c r="A75" s="303"/>
      <c r="B75" s="333" t="s">
        <v>346</v>
      </c>
      <c r="C75" s="317"/>
      <c r="D75" s="318"/>
      <c r="E75" s="331"/>
      <c r="F75" s="331"/>
      <c r="G75" s="331"/>
      <c r="H75" s="332"/>
      <c r="I75" s="332"/>
      <c r="J75" s="321"/>
    </row>
    <row r="76" spans="1:10" x14ac:dyDescent="0.25">
      <c r="A76" s="303"/>
      <c r="B76" s="333" t="s">
        <v>346</v>
      </c>
      <c r="C76" s="317"/>
      <c r="D76" s="318"/>
      <c r="E76" s="331"/>
      <c r="F76" s="331"/>
      <c r="G76" s="331"/>
      <c r="H76" s="332"/>
      <c r="I76" s="332"/>
      <c r="J76" s="321"/>
    </row>
    <row r="77" spans="1:10" x14ac:dyDescent="0.25">
      <c r="A77" s="303"/>
      <c r="B77" s="333" t="s">
        <v>346</v>
      </c>
      <c r="C77" s="317"/>
      <c r="D77" s="318"/>
      <c r="E77" s="331"/>
      <c r="F77" s="331"/>
      <c r="G77" s="331"/>
      <c r="H77" s="332"/>
      <c r="I77" s="332"/>
      <c r="J77" s="321"/>
    </row>
    <row r="78" spans="1:10" x14ac:dyDescent="0.25">
      <c r="A78" s="303"/>
      <c r="B78" s="333" t="s">
        <v>346</v>
      </c>
      <c r="C78" s="317"/>
      <c r="D78" s="318"/>
      <c r="E78" s="331"/>
      <c r="F78" s="331"/>
      <c r="G78" s="331"/>
      <c r="H78" s="332"/>
      <c r="I78" s="332"/>
      <c r="J78" s="321"/>
    </row>
    <row r="79" spans="1:10" x14ac:dyDescent="0.25">
      <c r="A79" s="303"/>
      <c r="B79" s="333" t="s">
        <v>346</v>
      </c>
      <c r="C79" s="317"/>
      <c r="D79" s="318"/>
      <c r="E79" s="331"/>
      <c r="F79" s="331"/>
      <c r="G79" s="331"/>
      <c r="H79" s="332"/>
      <c r="I79" s="332"/>
      <c r="J79" s="321"/>
    </row>
    <row r="80" spans="1:10" x14ac:dyDescent="0.25">
      <c r="A80" s="303"/>
      <c r="B80" s="310"/>
      <c r="C80" s="334"/>
      <c r="D80" s="312"/>
      <c r="E80" s="313"/>
      <c r="F80" s="313"/>
      <c r="G80" s="313"/>
      <c r="H80" s="313"/>
      <c r="I80" s="335" t="s">
        <v>479</v>
      </c>
      <c r="J80" s="315">
        <v>0</v>
      </c>
    </row>
    <row r="81" spans="1:10" x14ac:dyDescent="0.25">
      <c r="A81" s="303"/>
      <c r="B81" s="310" t="s">
        <v>464</v>
      </c>
      <c r="C81" s="311" t="s">
        <v>480</v>
      </c>
      <c r="D81" s="312"/>
      <c r="E81" s="313"/>
      <c r="F81" s="313"/>
      <c r="G81" s="313"/>
      <c r="H81" s="324" t="s">
        <v>355</v>
      </c>
      <c r="I81" s="336" t="s">
        <v>481</v>
      </c>
      <c r="J81" s="322" t="s">
        <v>331</v>
      </c>
    </row>
    <row r="82" spans="1:10" x14ac:dyDescent="0.25">
      <c r="A82" s="303"/>
      <c r="B82" s="337" t="s">
        <v>346</v>
      </c>
      <c r="C82" s="311"/>
      <c r="D82" s="312"/>
      <c r="E82" s="313"/>
      <c r="F82" s="313"/>
      <c r="G82" s="313"/>
      <c r="H82" s="314"/>
      <c r="I82" s="329"/>
      <c r="J82" s="315"/>
    </row>
    <row r="83" spans="1:10" x14ac:dyDescent="0.25">
      <c r="A83" s="303"/>
      <c r="B83" s="333" t="s">
        <v>346</v>
      </c>
      <c r="C83" s="317"/>
      <c r="D83" s="318"/>
      <c r="E83" s="319"/>
      <c r="F83" s="319"/>
      <c r="G83" s="319"/>
      <c r="H83" s="320"/>
      <c r="I83" s="332"/>
      <c r="J83" s="321"/>
    </row>
    <row r="84" spans="1:10" x14ac:dyDescent="0.25">
      <c r="A84" s="303"/>
      <c r="B84" s="333" t="s">
        <v>346</v>
      </c>
      <c r="C84" s="317"/>
      <c r="D84" s="318"/>
      <c r="E84" s="319"/>
      <c r="F84" s="319"/>
      <c r="G84" s="319"/>
      <c r="H84" s="320"/>
      <c r="I84" s="332"/>
      <c r="J84" s="321"/>
    </row>
    <row r="85" spans="1:10" x14ac:dyDescent="0.25">
      <c r="A85" s="303"/>
      <c r="B85" s="333" t="s">
        <v>346</v>
      </c>
      <c r="C85" s="317"/>
      <c r="D85" s="318"/>
      <c r="E85" s="319"/>
      <c r="F85" s="319"/>
      <c r="G85" s="319"/>
      <c r="H85" s="320"/>
      <c r="I85" s="332"/>
      <c r="J85" s="321"/>
    </row>
    <row r="86" spans="1:10" x14ac:dyDescent="0.25">
      <c r="A86" s="303"/>
      <c r="B86" s="333" t="s">
        <v>346</v>
      </c>
      <c r="C86" s="317"/>
      <c r="D86" s="318"/>
      <c r="E86" s="319"/>
      <c r="F86" s="319"/>
      <c r="G86" s="319"/>
      <c r="H86" s="320"/>
      <c r="I86" s="332"/>
      <c r="J86" s="321"/>
    </row>
    <row r="87" spans="1:10" x14ac:dyDescent="0.25">
      <c r="A87" s="303"/>
      <c r="B87" s="333" t="s">
        <v>346</v>
      </c>
      <c r="C87" s="317"/>
      <c r="D87" s="318"/>
      <c r="E87" s="319"/>
      <c r="F87" s="319"/>
      <c r="G87" s="319"/>
      <c r="H87" s="320"/>
      <c r="I87" s="332"/>
      <c r="J87" s="321"/>
    </row>
    <row r="88" spans="1:10" x14ac:dyDescent="0.25">
      <c r="A88" s="303"/>
      <c r="B88" s="333" t="s">
        <v>346</v>
      </c>
      <c r="C88" s="317"/>
      <c r="D88" s="318"/>
      <c r="E88" s="319"/>
      <c r="F88" s="319"/>
      <c r="G88" s="319"/>
      <c r="H88" s="320"/>
      <c r="I88" s="332"/>
      <c r="J88" s="321"/>
    </row>
    <row r="89" spans="1:10" x14ac:dyDescent="0.25">
      <c r="A89" s="303"/>
      <c r="B89" s="310"/>
      <c r="C89" s="334"/>
      <c r="D89" s="312"/>
      <c r="E89" s="313"/>
      <c r="F89" s="313"/>
      <c r="G89" s="313"/>
      <c r="H89" s="313"/>
      <c r="I89" s="338" t="s">
        <v>484</v>
      </c>
      <c r="J89" s="315">
        <v>0</v>
      </c>
    </row>
    <row r="90" spans="1:10" x14ac:dyDescent="0.25">
      <c r="A90" s="303"/>
      <c r="B90" s="339"/>
      <c r="C90" s="334"/>
      <c r="D90" s="312"/>
      <c r="E90" s="313"/>
      <c r="F90" s="313"/>
      <c r="G90" s="313"/>
      <c r="H90" s="313"/>
      <c r="I90" s="338" t="s">
        <v>485</v>
      </c>
      <c r="J90" s="340">
        <v>0</v>
      </c>
    </row>
    <row r="91" spans="1:10" x14ac:dyDescent="0.25">
      <c r="A91" s="303"/>
      <c r="B91" s="339"/>
      <c r="C91" s="341" t="s">
        <v>486</v>
      </c>
      <c r="D91" s="312">
        <v>1</v>
      </c>
      <c r="E91" s="313"/>
      <c r="F91" s="313"/>
      <c r="G91" s="313"/>
      <c r="H91" s="313"/>
      <c r="I91" s="338" t="s">
        <v>487</v>
      </c>
      <c r="J91" s="340">
        <v>0</v>
      </c>
    </row>
    <row r="92" spans="1:10" x14ac:dyDescent="0.25">
      <c r="A92" s="303"/>
      <c r="B92" s="310"/>
      <c r="C92" s="334"/>
      <c r="D92" s="312"/>
      <c r="E92" s="313"/>
      <c r="F92" s="313"/>
      <c r="G92" s="313"/>
      <c r="H92" s="338" t="s">
        <v>488</v>
      </c>
      <c r="I92" s="342">
        <v>0</v>
      </c>
      <c r="J92" s="315">
        <v>0</v>
      </c>
    </row>
    <row r="93" spans="1:10" x14ac:dyDescent="0.25">
      <c r="A93" s="303"/>
      <c r="B93" s="310"/>
      <c r="C93" s="334"/>
      <c r="D93" s="312"/>
      <c r="E93" s="313"/>
      <c r="F93" s="313"/>
      <c r="G93" s="313"/>
      <c r="H93" s="335" t="s">
        <v>489</v>
      </c>
      <c r="I93" s="343">
        <v>0</v>
      </c>
      <c r="J93" s="315">
        <v>0</v>
      </c>
    </row>
    <row r="94" spans="1:10" x14ac:dyDescent="0.25">
      <c r="A94" s="303"/>
      <c r="B94" s="310" t="s">
        <v>464</v>
      </c>
      <c r="C94" s="311" t="s">
        <v>490</v>
      </c>
      <c r="D94" s="312"/>
      <c r="E94" s="313"/>
      <c r="F94" s="313"/>
      <c r="G94" s="314" t="s">
        <v>465</v>
      </c>
      <c r="H94" s="336" t="s">
        <v>468</v>
      </c>
      <c r="I94" s="336" t="s">
        <v>491</v>
      </c>
      <c r="J94" s="322" t="s">
        <v>492</v>
      </c>
    </row>
    <row r="95" spans="1:10" x14ac:dyDescent="0.25">
      <c r="A95" s="303"/>
      <c r="B95" s="337" t="s">
        <v>518</v>
      </c>
      <c r="C95" s="311" t="s">
        <v>500</v>
      </c>
      <c r="D95" s="312"/>
      <c r="E95" s="313"/>
      <c r="F95" s="313"/>
      <c r="G95" s="314" t="s">
        <v>365</v>
      </c>
      <c r="H95" s="329">
        <v>0</v>
      </c>
      <c r="I95" s="329">
        <v>1</v>
      </c>
      <c r="J95" s="315">
        <v>0</v>
      </c>
    </row>
    <row r="96" spans="1:10" x14ac:dyDescent="0.25">
      <c r="A96" s="303"/>
      <c r="B96" s="333" t="s">
        <v>346</v>
      </c>
      <c r="C96" s="317"/>
      <c r="D96" s="318"/>
      <c r="E96" s="319"/>
      <c r="F96" s="319"/>
      <c r="G96" s="320"/>
      <c r="H96" s="332"/>
      <c r="I96" s="332"/>
      <c r="J96" s="321"/>
    </row>
    <row r="97" spans="1:10" x14ac:dyDescent="0.25">
      <c r="A97" s="303"/>
      <c r="B97" s="333" t="s">
        <v>346</v>
      </c>
      <c r="C97" s="317"/>
      <c r="D97" s="318"/>
      <c r="E97" s="319"/>
      <c r="F97" s="319"/>
      <c r="G97" s="320"/>
      <c r="H97" s="332"/>
      <c r="I97" s="332"/>
      <c r="J97" s="321"/>
    </row>
    <row r="98" spans="1:10" x14ac:dyDescent="0.25">
      <c r="A98" s="303"/>
      <c r="B98" s="333" t="s">
        <v>346</v>
      </c>
      <c r="C98" s="317"/>
      <c r="D98" s="318"/>
      <c r="E98" s="319"/>
      <c r="F98" s="319"/>
      <c r="G98" s="320"/>
      <c r="H98" s="332"/>
      <c r="I98" s="332"/>
      <c r="J98" s="321"/>
    </row>
    <row r="99" spans="1:10" x14ac:dyDescent="0.25">
      <c r="A99" s="303"/>
      <c r="B99" s="333" t="s">
        <v>346</v>
      </c>
      <c r="C99" s="317"/>
      <c r="D99" s="318"/>
      <c r="E99" s="319"/>
      <c r="F99" s="319"/>
      <c r="G99" s="320"/>
      <c r="H99" s="332"/>
      <c r="I99" s="332"/>
      <c r="J99" s="321"/>
    </row>
    <row r="100" spans="1:10" x14ac:dyDescent="0.25">
      <c r="A100" s="303"/>
      <c r="B100" s="333" t="s">
        <v>346</v>
      </c>
      <c r="C100" s="317"/>
      <c r="D100" s="318"/>
      <c r="E100" s="319"/>
      <c r="F100" s="319"/>
      <c r="G100" s="320"/>
      <c r="H100" s="332"/>
      <c r="I100" s="332"/>
      <c r="J100" s="321"/>
    </row>
    <row r="101" spans="1:10" x14ac:dyDescent="0.25">
      <c r="A101" s="303"/>
      <c r="B101" s="333" t="s">
        <v>346</v>
      </c>
      <c r="C101" s="317"/>
      <c r="D101" s="318"/>
      <c r="E101" s="319"/>
      <c r="F101" s="319"/>
      <c r="G101" s="320"/>
      <c r="H101" s="332"/>
      <c r="I101" s="332"/>
      <c r="J101" s="321"/>
    </row>
    <row r="102" spans="1:10" x14ac:dyDescent="0.25">
      <c r="A102" s="303"/>
      <c r="B102" s="310"/>
      <c r="C102" s="334"/>
      <c r="D102" s="312"/>
      <c r="E102" s="313"/>
      <c r="F102" s="313"/>
      <c r="G102" s="313"/>
      <c r="H102" s="343"/>
      <c r="I102" s="335" t="s">
        <v>498</v>
      </c>
      <c r="J102" s="315">
        <v>0</v>
      </c>
    </row>
    <row r="103" spans="1:10" x14ac:dyDescent="0.25">
      <c r="A103" s="303"/>
      <c r="B103" s="310" t="s">
        <v>464</v>
      </c>
      <c r="C103" s="311" t="s">
        <v>499</v>
      </c>
      <c r="D103" s="312"/>
      <c r="E103" s="313"/>
      <c r="F103" s="313"/>
      <c r="G103" s="314" t="s">
        <v>465</v>
      </c>
      <c r="H103" s="336" t="s">
        <v>468</v>
      </c>
      <c r="I103" s="336" t="s">
        <v>491</v>
      </c>
      <c r="J103" s="322" t="s">
        <v>492</v>
      </c>
    </row>
    <row r="104" spans="1:10" x14ac:dyDescent="0.25">
      <c r="A104" s="303"/>
      <c r="B104" s="337"/>
      <c r="C104" s="311"/>
      <c r="D104" s="312"/>
      <c r="E104" s="313"/>
      <c r="F104" s="313"/>
      <c r="G104" s="314"/>
      <c r="H104" s="329"/>
      <c r="I104" s="329"/>
      <c r="J104" s="315"/>
    </row>
    <row r="105" spans="1:10" x14ac:dyDescent="0.25">
      <c r="A105" s="303"/>
      <c r="B105" s="333"/>
      <c r="C105" s="317"/>
      <c r="D105" s="318"/>
      <c r="E105" s="319"/>
      <c r="F105" s="319"/>
      <c r="G105" s="320"/>
      <c r="H105" s="332"/>
      <c r="I105" s="332"/>
      <c r="J105" s="321"/>
    </row>
    <row r="106" spans="1:10" x14ac:dyDescent="0.25">
      <c r="A106" s="303"/>
      <c r="B106" s="333"/>
      <c r="C106" s="317"/>
      <c r="D106" s="318"/>
      <c r="E106" s="319"/>
      <c r="F106" s="319"/>
      <c r="G106" s="320"/>
      <c r="H106" s="332"/>
      <c r="I106" s="332"/>
      <c r="J106" s="321"/>
    </row>
    <row r="107" spans="1:10" x14ac:dyDescent="0.25">
      <c r="A107" s="303"/>
      <c r="B107" s="333"/>
      <c r="C107" s="317"/>
      <c r="D107" s="318"/>
      <c r="E107" s="319"/>
      <c r="F107" s="319"/>
      <c r="G107" s="320"/>
      <c r="H107" s="332"/>
      <c r="I107" s="332"/>
      <c r="J107" s="321"/>
    </row>
    <row r="108" spans="1:10" x14ac:dyDescent="0.25">
      <c r="A108" s="303"/>
      <c r="B108" s="333"/>
      <c r="C108" s="317"/>
      <c r="D108" s="318"/>
      <c r="E108" s="319"/>
      <c r="F108" s="319"/>
      <c r="G108" s="320"/>
      <c r="H108" s="332"/>
      <c r="I108" s="332"/>
      <c r="J108" s="321"/>
    </row>
    <row r="109" spans="1:10" x14ac:dyDescent="0.25">
      <c r="A109" s="303"/>
      <c r="B109" s="310"/>
      <c r="C109" s="334"/>
      <c r="D109" s="312"/>
      <c r="E109" s="313"/>
      <c r="F109" s="313"/>
      <c r="G109" s="313"/>
      <c r="H109" s="343"/>
      <c r="I109" s="335" t="s">
        <v>501</v>
      </c>
      <c r="J109" s="315">
        <v>0</v>
      </c>
    </row>
    <row r="110" spans="1:10" x14ac:dyDescent="0.25">
      <c r="A110" s="303"/>
      <c r="B110" s="310" t="s">
        <v>464</v>
      </c>
      <c r="C110" s="311" t="s">
        <v>502</v>
      </c>
      <c r="D110" s="312"/>
      <c r="E110" s="313"/>
      <c r="F110" s="314" t="s">
        <v>464</v>
      </c>
      <c r="G110" s="324" t="s">
        <v>503</v>
      </c>
      <c r="H110" s="329" t="s">
        <v>465</v>
      </c>
      <c r="I110" s="336" t="s">
        <v>468</v>
      </c>
      <c r="J110" s="322" t="s">
        <v>492</v>
      </c>
    </row>
    <row r="111" spans="1:10" x14ac:dyDescent="0.25">
      <c r="A111" s="303"/>
      <c r="B111" s="337" t="s">
        <v>346</v>
      </c>
      <c r="C111" s="311"/>
      <c r="D111" s="312"/>
      <c r="E111" s="313"/>
      <c r="F111" s="314"/>
      <c r="G111" s="314"/>
      <c r="H111" s="329"/>
      <c r="I111" s="329"/>
      <c r="J111" s="315"/>
    </row>
    <row r="112" spans="1:10" x14ac:dyDescent="0.25">
      <c r="A112" s="303"/>
      <c r="B112" s="333" t="s">
        <v>346</v>
      </c>
      <c r="C112" s="317"/>
      <c r="D112" s="318"/>
      <c r="E112" s="319"/>
      <c r="F112" s="320"/>
      <c r="G112" s="320"/>
      <c r="H112" s="332"/>
      <c r="I112" s="332"/>
      <c r="J112" s="321"/>
    </row>
    <row r="113" spans="1:10" x14ac:dyDescent="0.25">
      <c r="A113" s="303"/>
      <c r="B113" s="333" t="s">
        <v>346</v>
      </c>
      <c r="C113" s="317"/>
      <c r="D113" s="318"/>
      <c r="E113" s="319"/>
      <c r="F113" s="320"/>
      <c r="G113" s="320"/>
      <c r="H113" s="332"/>
      <c r="I113" s="332"/>
      <c r="J113" s="321"/>
    </row>
    <row r="114" spans="1:10" x14ac:dyDescent="0.25">
      <c r="A114" s="303"/>
      <c r="B114" s="333" t="s">
        <v>346</v>
      </c>
      <c r="C114" s="317"/>
      <c r="D114" s="318"/>
      <c r="E114" s="319"/>
      <c r="F114" s="320"/>
      <c r="G114" s="320"/>
      <c r="H114" s="332"/>
      <c r="I114" s="332"/>
      <c r="J114" s="321"/>
    </row>
    <row r="115" spans="1:10" x14ac:dyDescent="0.25">
      <c r="A115" s="303"/>
      <c r="B115" s="333" t="s">
        <v>346</v>
      </c>
      <c r="C115" s="317"/>
      <c r="D115" s="318"/>
      <c r="E115" s="319"/>
      <c r="F115" s="320"/>
      <c r="G115" s="320"/>
      <c r="H115" s="332"/>
      <c r="I115" s="332"/>
      <c r="J115" s="321"/>
    </row>
    <row r="116" spans="1:10" x14ac:dyDescent="0.25">
      <c r="A116" s="303"/>
      <c r="B116" s="310"/>
      <c r="C116" s="334"/>
      <c r="D116" s="312"/>
      <c r="E116" s="313"/>
      <c r="F116" s="313"/>
      <c r="G116" s="313"/>
      <c r="H116" s="343"/>
      <c r="I116" s="338" t="s">
        <v>507</v>
      </c>
      <c r="J116" s="315">
        <v>0</v>
      </c>
    </row>
    <row r="117" spans="1:10" x14ac:dyDescent="0.25">
      <c r="A117" s="303"/>
      <c r="B117" s="310" t="s">
        <v>464</v>
      </c>
      <c r="C117" s="311" t="s">
        <v>508</v>
      </c>
      <c r="D117" s="345" t="s">
        <v>509</v>
      </c>
      <c r="E117" s="324" t="s">
        <v>873</v>
      </c>
      <c r="F117" s="324" t="s">
        <v>874</v>
      </c>
      <c r="G117" s="324" t="s">
        <v>875</v>
      </c>
      <c r="H117" s="336" t="s">
        <v>468</v>
      </c>
      <c r="I117" s="324" t="s">
        <v>491</v>
      </c>
      <c r="J117" s="322" t="s">
        <v>492</v>
      </c>
    </row>
    <row r="118" spans="1:10" x14ac:dyDescent="0.25">
      <c r="A118" s="303"/>
      <c r="B118" s="337" t="s">
        <v>346</v>
      </c>
      <c r="C118" s="311"/>
      <c r="D118" s="345"/>
      <c r="E118" s="314"/>
      <c r="F118" s="314"/>
      <c r="G118" s="314"/>
      <c r="H118" s="329"/>
      <c r="I118" s="314"/>
      <c r="J118" s="315"/>
    </row>
    <row r="119" spans="1:10" x14ac:dyDescent="0.25">
      <c r="A119" s="303"/>
      <c r="B119" s="333" t="s">
        <v>346</v>
      </c>
      <c r="C119" s="317"/>
      <c r="D119" s="346"/>
      <c r="E119" s="320"/>
      <c r="F119" s="320"/>
      <c r="G119" s="320"/>
      <c r="H119" s="332"/>
      <c r="I119" s="320"/>
      <c r="J119" s="321"/>
    </row>
    <row r="120" spans="1:10" x14ac:dyDescent="0.25">
      <c r="A120" s="303"/>
      <c r="B120" s="333" t="s">
        <v>346</v>
      </c>
      <c r="C120" s="317"/>
      <c r="D120" s="346"/>
      <c r="E120" s="320"/>
      <c r="F120" s="320"/>
      <c r="G120" s="320"/>
      <c r="H120" s="332"/>
      <c r="I120" s="320"/>
      <c r="J120" s="321"/>
    </row>
    <row r="121" spans="1:10" x14ac:dyDescent="0.25">
      <c r="A121" s="303"/>
      <c r="B121" s="333" t="s">
        <v>346</v>
      </c>
      <c r="C121" s="317"/>
      <c r="D121" s="346"/>
      <c r="E121" s="320"/>
      <c r="F121" s="320"/>
      <c r="G121" s="320"/>
      <c r="H121" s="332"/>
      <c r="I121" s="320"/>
      <c r="J121" s="321"/>
    </row>
    <row r="122" spans="1:10" x14ac:dyDescent="0.25">
      <c r="A122" s="303"/>
      <c r="B122" s="333" t="s">
        <v>346</v>
      </c>
      <c r="C122" s="317"/>
      <c r="D122" s="346"/>
      <c r="E122" s="320"/>
      <c r="F122" s="320"/>
      <c r="G122" s="320"/>
      <c r="H122" s="332"/>
      <c r="I122" s="320"/>
      <c r="J122" s="321"/>
    </row>
    <row r="123" spans="1:10" x14ac:dyDescent="0.25">
      <c r="A123" s="303"/>
      <c r="B123" s="333" t="s">
        <v>346</v>
      </c>
      <c r="C123" s="317"/>
      <c r="D123" s="346"/>
      <c r="E123" s="320"/>
      <c r="F123" s="320"/>
      <c r="G123" s="320"/>
      <c r="H123" s="332"/>
      <c r="I123" s="320"/>
      <c r="J123" s="321"/>
    </row>
    <row r="124" spans="1:10" x14ac:dyDescent="0.25">
      <c r="A124" s="303"/>
      <c r="B124" s="333" t="s">
        <v>346</v>
      </c>
      <c r="C124" s="317"/>
      <c r="D124" s="346"/>
      <c r="E124" s="320"/>
      <c r="F124" s="320"/>
      <c r="G124" s="320"/>
      <c r="H124" s="332"/>
      <c r="I124" s="320"/>
      <c r="J124" s="321"/>
    </row>
    <row r="125" spans="1:10" x14ac:dyDescent="0.25">
      <c r="A125" s="303"/>
      <c r="B125" s="310"/>
      <c r="C125" s="334"/>
      <c r="D125" s="312"/>
      <c r="E125" s="313"/>
      <c r="F125" s="313"/>
      <c r="G125" s="313"/>
      <c r="H125" s="313"/>
      <c r="I125" s="338" t="s">
        <v>513</v>
      </c>
      <c r="J125" s="315">
        <v>0</v>
      </c>
    </row>
    <row r="126" spans="1:10" x14ac:dyDescent="0.25">
      <c r="A126" s="303"/>
      <c r="B126" s="310" t="s">
        <v>514</v>
      </c>
      <c r="C126" s="334"/>
      <c r="D126" s="312"/>
      <c r="E126" s="313"/>
      <c r="F126" s="313"/>
      <c r="G126" s="313"/>
      <c r="H126" s="313"/>
      <c r="I126" s="313"/>
      <c r="J126" s="315">
        <v>0</v>
      </c>
    </row>
    <row r="127" spans="1:10" x14ac:dyDescent="0.25">
      <c r="A127" s="303"/>
      <c r="B127" s="310" t="s">
        <v>515</v>
      </c>
      <c r="C127" s="334"/>
      <c r="D127" s="312">
        <v>0</v>
      </c>
      <c r="E127" s="313"/>
      <c r="F127" s="313"/>
      <c r="G127" s="313"/>
      <c r="H127" s="313"/>
      <c r="I127" s="313"/>
      <c r="J127" s="315">
        <v>0</v>
      </c>
    </row>
    <row r="128" spans="1:10" ht="14.4" thickBot="1" x14ac:dyDescent="0.3">
      <c r="A128" s="303"/>
      <c r="B128" s="310" t="s">
        <v>516</v>
      </c>
      <c r="C128" s="334"/>
      <c r="D128" s="312"/>
      <c r="E128" s="313"/>
      <c r="F128" s="313"/>
      <c r="G128" s="313"/>
      <c r="H128" s="313"/>
      <c r="I128" s="313"/>
      <c r="J128" s="347">
        <v>0</v>
      </c>
    </row>
    <row r="129" spans="1:10" x14ac:dyDescent="0.25">
      <c r="A129" s="303"/>
      <c r="B129" s="304"/>
      <c r="C129" s="305"/>
      <c r="D129" s="348"/>
      <c r="E129" s="308"/>
      <c r="F129" s="308"/>
      <c r="G129" s="308"/>
      <c r="H129" s="308"/>
      <c r="I129" s="308"/>
      <c r="J129" s="309"/>
    </row>
    <row r="130" spans="1:10" x14ac:dyDescent="0.25">
      <c r="A130" s="303"/>
      <c r="B130" s="316"/>
      <c r="C130" s="303"/>
      <c r="D130" s="318"/>
      <c r="E130" s="319"/>
      <c r="F130" s="319"/>
      <c r="G130" s="319"/>
      <c r="H130" s="319"/>
      <c r="I130" s="319"/>
      <c r="J130" s="349"/>
    </row>
    <row r="131" spans="1:10" x14ac:dyDescent="0.25">
      <c r="A131" s="303"/>
      <c r="B131" s="316"/>
      <c r="C131" s="303"/>
      <c r="D131" s="318"/>
      <c r="E131" s="319"/>
      <c r="F131" s="319"/>
      <c r="G131" s="319"/>
      <c r="H131" s="319"/>
      <c r="I131" s="319"/>
      <c r="J131" s="349"/>
    </row>
    <row r="132" spans="1:10" ht="14.4" thickBot="1" x14ac:dyDescent="0.3">
      <c r="A132" s="303"/>
      <c r="B132" s="350"/>
      <c r="C132" s="303"/>
      <c r="D132" s="318"/>
      <c r="E132" s="319"/>
      <c r="F132" s="319"/>
      <c r="G132" s="319"/>
      <c r="H132" s="319"/>
      <c r="I132" s="319"/>
      <c r="J132" s="351"/>
    </row>
    <row r="133" spans="1:10" x14ac:dyDescent="0.25">
      <c r="A133" s="303"/>
      <c r="B133" s="305"/>
      <c r="C133" s="305"/>
      <c r="D133" s="348"/>
      <c r="E133" s="308"/>
      <c r="F133" s="308"/>
      <c r="G133" s="308"/>
      <c r="H133" s="308"/>
      <c r="I133" s="308"/>
      <c r="J133" s="352"/>
    </row>
    <row r="134" spans="1:10" ht="14.4" thickBot="1" x14ac:dyDescent="0.3">
      <c r="A134" s="303"/>
      <c r="B134" s="303"/>
      <c r="C134" s="303"/>
      <c r="D134" s="318"/>
      <c r="E134" s="319"/>
      <c r="F134" s="319"/>
      <c r="G134" s="319"/>
      <c r="H134" s="319"/>
      <c r="I134" s="319"/>
      <c r="J134" s="353"/>
    </row>
    <row r="135" spans="1:10" x14ac:dyDescent="0.25">
      <c r="A135" s="303"/>
      <c r="B135" s="304"/>
      <c r="C135" s="305"/>
      <c r="D135" s="306" t="s">
        <v>463</v>
      </c>
      <c r="E135" s="307"/>
      <c r="F135" s="307"/>
      <c r="G135" s="308"/>
      <c r="H135" s="308"/>
      <c r="I135" s="308"/>
      <c r="J135" s="309"/>
    </row>
    <row r="136" spans="1:10" x14ac:dyDescent="0.25">
      <c r="A136" s="303"/>
      <c r="B136" s="310" t="s">
        <v>464</v>
      </c>
      <c r="C136" s="311" t="s">
        <v>134</v>
      </c>
      <c r="D136" s="312"/>
      <c r="E136" s="313"/>
      <c r="F136" s="313"/>
      <c r="G136" s="313"/>
      <c r="H136" s="314"/>
      <c r="I136" s="313"/>
      <c r="J136" s="315" t="s">
        <v>465</v>
      </c>
    </row>
    <row r="137" spans="1:10" x14ac:dyDescent="0.25">
      <c r="A137" s="303"/>
      <c r="B137" s="316">
        <v>4011480</v>
      </c>
      <c r="C137" s="317" t="s">
        <v>366</v>
      </c>
      <c r="D137" s="318"/>
      <c r="E137" s="319"/>
      <c r="F137" s="319"/>
      <c r="G137" s="319"/>
      <c r="H137" s="320"/>
      <c r="I137" s="319"/>
      <c r="J137" s="321" t="s">
        <v>365</v>
      </c>
    </row>
    <row r="138" spans="1:10" x14ac:dyDescent="0.25">
      <c r="A138" s="303"/>
      <c r="B138" s="310"/>
      <c r="C138" s="311"/>
      <c r="D138" s="312"/>
      <c r="E138" s="314"/>
      <c r="F138" s="314" t="s">
        <v>466</v>
      </c>
      <c r="G138" s="314"/>
      <c r="H138" s="314" t="s">
        <v>467</v>
      </c>
      <c r="I138" s="314"/>
      <c r="J138" s="322" t="s">
        <v>468</v>
      </c>
    </row>
    <row r="139" spans="1:10" x14ac:dyDescent="0.25">
      <c r="A139" s="303"/>
      <c r="B139" s="316" t="s">
        <v>464</v>
      </c>
      <c r="C139" s="317" t="s">
        <v>469</v>
      </c>
      <c r="D139" s="318"/>
      <c r="E139" s="323" t="s">
        <v>355</v>
      </c>
      <c r="F139" s="324" t="s">
        <v>470</v>
      </c>
      <c r="G139" s="324" t="s">
        <v>471</v>
      </c>
      <c r="H139" s="324" t="s">
        <v>472</v>
      </c>
      <c r="I139" s="325" t="s">
        <v>473</v>
      </c>
      <c r="J139" s="326" t="s">
        <v>474</v>
      </c>
    </row>
    <row r="140" spans="1:10" x14ac:dyDescent="0.25">
      <c r="A140" s="303"/>
      <c r="B140" s="327" t="s">
        <v>519</v>
      </c>
      <c r="C140" s="311" t="s">
        <v>520</v>
      </c>
      <c r="D140" s="312"/>
      <c r="E140" s="328">
        <v>1</v>
      </c>
      <c r="F140" s="328">
        <v>1</v>
      </c>
      <c r="G140" s="328">
        <v>0</v>
      </c>
      <c r="H140" s="329">
        <v>5.4848999999999997</v>
      </c>
      <c r="I140" s="329">
        <v>0.35249999999999998</v>
      </c>
      <c r="J140" s="315">
        <v>5.4848999999999997</v>
      </c>
    </row>
    <row r="141" spans="1:10" x14ac:dyDescent="0.25">
      <c r="A141" s="303"/>
      <c r="B141" s="330" t="s">
        <v>521</v>
      </c>
      <c r="C141" s="317" t="s">
        <v>522</v>
      </c>
      <c r="D141" s="318"/>
      <c r="E141" s="331">
        <v>1</v>
      </c>
      <c r="F141" s="331">
        <v>0.27</v>
      </c>
      <c r="G141" s="331">
        <v>0.73</v>
      </c>
      <c r="H141" s="332">
        <v>251.38740000000001</v>
      </c>
      <c r="I141" s="332">
        <v>66.269199999999998</v>
      </c>
      <c r="J141" s="321">
        <v>116.25109999999999</v>
      </c>
    </row>
    <row r="142" spans="1:10" x14ac:dyDescent="0.25">
      <c r="A142" s="303"/>
      <c r="B142" s="330" t="s">
        <v>523</v>
      </c>
      <c r="C142" s="317" t="s">
        <v>524</v>
      </c>
      <c r="D142" s="318"/>
      <c r="E142" s="331">
        <v>1</v>
      </c>
      <c r="F142" s="331">
        <v>1</v>
      </c>
      <c r="G142" s="331">
        <v>0</v>
      </c>
      <c r="H142" s="332">
        <v>1054.9064000000001</v>
      </c>
      <c r="I142" s="332">
        <v>369.2817</v>
      </c>
      <c r="J142" s="321">
        <v>1054.9064000000001</v>
      </c>
    </row>
    <row r="143" spans="1:10" x14ac:dyDescent="0.25">
      <c r="A143" s="303"/>
      <c r="B143" s="330" t="s">
        <v>525</v>
      </c>
      <c r="C143" s="317" t="s">
        <v>876</v>
      </c>
      <c r="D143" s="318"/>
      <c r="E143" s="331">
        <v>1</v>
      </c>
      <c r="F143" s="331">
        <v>0.82</v>
      </c>
      <c r="G143" s="331">
        <v>0.18</v>
      </c>
      <c r="H143" s="332">
        <v>109.5994</v>
      </c>
      <c r="I143" s="332">
        <v>45.166899999999998</v>
      </c>
      <c r="J143" s="321">
        <v>98.001599999999996</v>
      </c>
    </row>
    <row r="144" spans="1:10" x14ac:dyDescent="0.25">
      <c r="A144" s="303"/>
      <c r="B144" s="333" t="s">
        <v>346</v>
      </c>
      <c r="C144" s="317"/>
      <c r="D144" s="318"/>
      <c r="E144" s="331"/>
      <c r="F144" s="331"/>
      <c r="G144" s="331"/>
      <c r="H144" s="332"/>
      <c r="I144" s="332"/>
      <c r="J144" s="321"/>
    </row>
    <row r="145" spans="1:10" x14ac:dyDescent="0.25">
      <c r="A145" s="303"/>
      <c r="B145" s="333" t="s">
        <v>346</v>
      </c>
      <c r="C145" s="317"/>
      <c r="D145" s="318"/>
      <c r="E145" s="331"/>
      <c r="F145" s="331"/>
      <c r="G145" s="331"/>
      <c r="H145" s="332"/>
      <c r="I145" s="332"/>
      <c r="J145" s="321"/>
    </row>
    <row r="146" spans="1:10" x14ac:dyDescent="0.25">
      <c r="A146" s="303"/>
      <c r="B146" s="333" t="s">
        <v>346</v>
      </c>
      <c r="C146" s="317"/>
      <c r="D146" s="318"/>
      <c r="E146" s="331"/>
      <c r="F146" s="331"/>
      <c r="G146" s="331"/>
      <c r="H146" s="332"/>
      <c r="I146" s="332"/>
      <c r="J146" s="321"/>
    </row>
    <row r="147" spans="1:10" x14ac:dyDescent="0.25">
      <c r="A147" s="303"/>
      <c r="B147" s="310"/>
      <c r="C147" s="334"/>
      <c r="D147" s="312"/>
      <c r="E147" s="313"/>
      <c r="F147" s="313"/>
      <c r="G147" s="313"/>
      <c r="H147" s="313"/>
      <c r="I147" s="335" t="s">
        <v>479</v>
      </c>
      <c r="J147" s="315">
        <v>1274.6440000000002</v>
      </c>
    </row>
    <row r="148" spans="1:10" x14ac:dyDescent="0.25">
      <c r="A148" s="303"/>
      <c r="B148" s="310" t="s">
        <v>464</v>
      </c>
      <c r="C148" s="311" t="s">
        <v>480</v>
      </c>
      <c r="D148" s="312"/>
      <c r="E148" s="313"/>
      <c r="F148" s="313"/>
      <c r="G148" s="313"/>
      <c r="H148" s="324" t="s">
        <v>355</v>
      </c>
      <c r="I148" s="336" t="s">
        <v>481</v>
      </c>
      <c r="J148" s="322" t="s">
        <v>331</v>
      </c>
    </row>
    <row r="149" spans="1:10" x14ac:dyDescent="0.25">
      <c r="A149" s="303"/>
      <c r="B149" s="337" t="s">
        <v>482</v>
      </c>
      <c r="C149" s="311" t="s">
        <v>483</v>
      </c>
      <c r="D149" s="312"/>
      <c r="E149" s="313"/>
      <c r="F149" s="313"/>
      <c r="G149" s="313"/>
      <c r="H149" s="314">
        <v>3</v>
      </c>
      <c r="I149" s="329">
        <v>17.768000000000001</v>
      </c>
      <c r="J149" s="315">
        <v>53.304000000000002</v>
      </c>
    </row>
    <row r="150" spans="1:10" x14ac:dyDescent="0.25">
      <c r="A150" s="303"/>
      <c r="B150" s="333" t="s">
        <v>346</v>
      </c>
      <c r="C150" s="317"/>
      <c r="D150" s="318"/>
      <c r="E150" s="319"/>
      <c r="F150" s="319"/>
      <c r="G150" s="319"/>
      <c r="H150" s="320"/>
      <c r="I150" s="332"/>
      <c r="J150" s="321"/>
    </row>
    <row r="151" spans="1:10" x14ac:dyDescent="0.25">
      <c r="A151" s="303"/>
      <c r="B151" s="333" t="s">
        <v>346</v>
      </c>
      <c r="C151" s="317"/>
      <c r="D151" s="318"/>
      <c r="E151" s="319"/>
      <c r="F151" s="319"/>
      <c r="G151" s="319"/>
      <c r="H151" s="320"/>
      <c r="I151" s="332"/>
      <c r="J151" s="321"/>
    </row>
    <row r="152" spans="1:10" x14ac:dyDescent="0.25">
      <c r="A152" s="303"/>
      <c r="B152" s="333" t="s">
        <v>346</v>
      </c>
      <c r="C152" s="317"/>
      <c r="D152" s="318"/>
      <c r="E152" s="319"/>
      <c r="F152" s="319"/>
      <c r="G152" s="319"/>
      <c r="H152" s="320"/>
      <c r="I152" s="332"/>
      <c r="J152" s="321"/>
    </row>
    <row r="153" spans="1:10" x14ac:dyDescent="0.25">
      <c r="A153" s="303"/>
      <c r="B153" s="333" t="s">
        <v>346</v>
      </c>
      <c r="C153" s="317"/>
      <c r="D153" s="318"/>
      <c r="E153" s="319"/>
      <c r="F153" s="319"/>
      <c r="G153" s="319"/>
      <c r="H153" s="320"/>
      <c r="I153" s="332"/>
      <c r="J153" s="321"/>
    </row>
    <row r="154" spans="1:10" x14ac:dyDescent="0.25">
      <c r="A154" s="303"/>
      <c r="B154" s="333" t="s">
        <v>346</v>
      </c>
      <c r="C154" s="317"/>
      <c r="D154" s="318"/>
      <c r="E154" s="319"/>
      <c r="F154" s="319"/>
      <c r="G154" s="319"/>
      <c r="H154" s="320"/>
      <c r="I154" s="332"/>
      <c r="J154" s="321"/>
    </row>
    <row r="155" spans="1:10" x14ac:dyDescent="0.25">
      <c r="A155" s="303"/>
      <c r="B155" s="333" t="s">
        <v>346</v>
      </c>
      <c r="C155" s="317"/>
      <c r="D155" s="318"/>
      <c r="E155" s="319"/>
      <c r="F155" s="319"/>
      <c r="G155" s="319"/>
      <c r="H155" s="320"/>
      <c r="I155" s="332"/>
      <c r="J155" s="321"/>
    </row>
    <row r="156" spans="1:10" x14ac:dyDescent="0.25">
      <c r="A156" s="303"/>
      <c r="B156" s="310"/>
      <c r="C156" s="334"/>
      <c r="D156" s="312"/>
      <c r="E156" s="313"/>
      <c r="F156" s="313"/>
      <c r="G156" s="313"/>
      <c r="H156" s="313"/>
      <c r="I156" s="338" t="s">
        <v>484</v>
      </c>
      <c r="J156" s="315">
        <v>53.304000000000002</v>
      </c>
    </row>
    <row r="157" spans="1:10" x14ac:dyDescent="0.25">
      <c r="A157" s="303"/>
      <c r="B157" s="339"/>
      <c r="C157" s="334"/>
      <c r="D157" s="312"/>
      <c r="E157" s="313"/>
      <c r="F157" s="313"/>
      <c r="G157" s="313"/>
      <c r="H157" s="313"/>
      <c r="I157" s="338" t="s">
        <v>485</v>
      </c>
      <c r="J157" s="340">
        <v>1327.9480000000003</v>
      </c>
    </row>
    <row r="158" spans="1:10" x14ac:dyDescent="0.25">
      <c r="A158" s="303"/>
      <c r="B158" s="339"/>
      <c r="C158" s="341" t="s">
        <v>486</v>
      </c>
      <c r="D158" s="312">
        <v>49.2</v>
      </c>
      <c r="E158" s="313"/>
      <c r="F158" s="313"/>
      <c r="G158" s="313"/>
      <c r="H158" s="313"/>
      <c r="I158" s="338" t="s">
        <v>487</v>
      </c>
      <c r="J158" s="340">
        <v>26.9908</v>
      </c>
    </row>
    <row r="159" spans="1:10" x14ac:dyDescent="0.25">
      <c r="A159" s="303"/>
      <c r="B159" s="310"/>
      <c r="C159" s="334"/>
      <c r="D159" s="312"/>
      <c r="E159" s="313"/>
      <c r="F159" s="313"/>
      <c r="G159" s="313"/>
      <c r="H159" s="338" t="s">
        <v>488</v>
      </c>
      <c r="I159" s="342">
        <v>0</v>
      </c>
      <c r="J159" s="315">
        <v>0</v>
      </c>
    </row>
    <row r="160" spans="1:10" x14ac:dyDescent="0.25">
      <c r="A160" s="303"/>
      <c r="B160" s="310"/>
      <c r="C160" s="334"/>
      <c r="D160" s="312"/>
      <c r="E160" s="313"/>
      <c r="F160" s="313"/>
      <c r="G160" s="313"/>
      <c r="H160" s="335" t="s">
        <v>489</v>
      </c>
      <c r="I160" s="343">
        <v>0</v>
      </c>
      <c r="J160" s="315">
        <v>0</v>
      </c>
    </row>
    <row r="161" spans="1:10" x14ac:dyDescent="0.25">
      <c r="A161" s="303"/>
      <c r="B161" s="310" t="s">
        <v>464</v>
      </c>
      <c r="C161" s="311" t="s">
        <v>490</v>
      </c>
      <c r="D161" s="312"/>
      <c r="E161" s="313"/>
      <c r="F161" s="313"/>
      <c r="G161" s="314" t="s">
        <v>465</v>
      </c>
      <c r="H161" s="336" t="s">
        <v>468</v>
      </c>
      <c r="I161" s="336" t="s">
        <v>491</v>
      </c>
      <c r="J161" s="322" t="s">
        <v>492</v>
      </c>
    </row>
    <row r="162" spans="1:10" x14ac:dyDescent="0.25">
      <c r="A162" s="303"/>
      <c r="B162" s="337" t="s">
        <v>526</v>
      </c>
      <c r="C162" s="311" t="s">
        <v>877</v>
      </c>
      <c r="D162" s="312"/>
      <c r="E162" s="313"/>
      <c r="F162" s="313"/>
      <c r="G162" s="314" t="s">
        <v>433</v>
      </c>
      <c r="H162" s="329">
        <v>35.8857</v>
      </c>
      <c r="I162" s="329">
        <v>0.64800000000000002</v>
      </c>
      <c r="J162" s="315">
        <v>23.253900000000002</v>
      </c>
    </row>
    <row r="163" spans="1:10" x14ac:dyDescent="0.25">
      <c r="A163" s="303"/>
      <c r="B163" s="333" t="s">
        <v>878</v>
      </c>
      <c r="C163" s="317" t="s">
        <v>879</v>
      </c>
      <c r="D163" s="318"/>
      <c r="E163" s="319"/>
      <c r="F163" s="319"/>
      <c r="G163" s="320" t="s">
        <v>433</v>
      </c>
      <c r="H163" s="332">
        <v>303.46960000000001</v>
      </c>
      <c r="I163" s="332">
        <v>1.3600000000000001E-3</v>
      </c>
      <c r="J163" s="321">
        <v>0.41270000000000001</v>
      </c>
    </row>
    <row r="164" spans="1:10" x14ac:dyDescent="0.25">
      <c r="A164" s="303"/>
      <c r="B164" s="333" t="s">
        <v>496</v>
      </c>
      <c r="C164" s="317" t="s">
        <v>497</v>
      </c>
      <c r="D164" s="318"/>
      <c r="E164" s="319"/>
      <c r="F164" s="319"/>
      <c r="G164" s="320" t="s">
        <v>365</v>
      </c>
      <c r="H164" s="332">
        <v>0</v>
      </c>
      <c r="I164" s="332">
        <v>1</v>
      </c>
      <c r="J164" s="321">
        <v>0</v>
      </c>
    </row>
    <row r="165" spans="1:10" x14ac:dyDescent="0.25">
      <c r="A165" s="303"/>
      <c r="B165" s="333" t="s">
        <v>346</v>
      </c>
      <c r="C165" s="317"/>
      <c r="D165" s="318"/>
      <c r="E165" s="319"/>
      <c r="F165" s="319"/>
      <c r="G165" s="320"/>
      <c r="H165" s="332"/>
      <c r="I165" s="332"/>
      <c r="J165" s="321"/>
    </row>
    <row r="166" spans="1:10" x14ac:dyDescent="0.25">
      <c r="A166" s="303"/>
      <c r="B166" s="333" t="s">
        <v>346</v>
      </c>
      <c r="C166" s="317"/>
      <c r="D166" s="318"/>
      <c r="E166" s="319"/>
      <c r="F166" s="319"/>
      <c r="G166" s="320"/>
      <c r="H166" s="332"/>
      <c r="I166" s="332"/>
      <c r="J166" s="321"/>
    </row>
    <row r="167" spans="1:10" x14ac:dyDescent="0.25">
      <c r="A167" s="303"/>
      <c r="B167" s="333" t="s">
        <v>346</v>
      </c>
      <c r="C167" s="317"/>
      <c r="D167" s="318"/>
      <c r="E167" s="319"/>
      <c r="F167" s="319"/>
      <c r="G167" s="320"/>
      <c r="H167" s="332"/>
      <c r="I167" s="332"/>
      <c r="J167" s="321"/>
    </row>
    <row r="168" spans="1:10" x14ac:dyDescent="0.25">
      <c r="A168" s="303"/>
      <c r="B168" s="333" t="s">
        <v>346</v>
      </c>
      <c r="C168" s="317"/>
      <c r="D168" s="318"/>
      <c r="E168" s="319"/>
      <c r="F168" s="319"/>
      <c r="G168" s="320"/>
      <c r="H168" s="332"/>
      <c r="I168" s="332"/>
      <c r="J168" s="321"/>
    </row>
    <row r="169" spans="1:10" x14ac:dyDescent="0.25">
      <c r="A169" s="303"/>
      <c r="B169" s="310"/>
      <c r="C169" s="334"/>
      <c r="D169" s="312"/>
      <c r="E169" s="313"/>
      <c r="F169" s="313"/>
      <c r="G169" s="313"/>
      <c r="H169" s="343"/>
      <c r="I169" s="335" t="s">
        <v>498</v>
      </c>
      <c r="J169" s="315">
        <v>23.666600000000003</v>
      </c>
    </row>
    <row r="170" spans="1:10" x14ac:dyDescent="0.25">
      <c r="A170" s="303"/>
      <c r="B170" s="310" t="s">
        <v>464</v>
      </c>
      <c r="C170" s="311" t="s">
        <v>499</v>
      </c>
      <c r="D170" s="312"/>
      <c r="E170" s="313"/>
      <c r="F170" s="313"/>
      <c r="G170" s="314" t="s">
        <v>465</v>
      </c>
      <c r="H170" s="336" t="s">
        <v>468</v>
      </c>
      <c r="I170" s="336" t="s">
        <v>491</v>
      </c>
      <c r="J170" s="322" t="s">
        <v>492</v>
      </c>
    </row>
    <row r="171" spans="1:10" x14ac:dyDescent="0.25">
      <c r="A171" s="303"/>
      <c r="B171" s="337"/>
      <c r="C171" s="311"/>
      <c r="D171" s="312"/>
      <c r="E171" s="313"/>
      <c r="F171" s="313"/>
      <c r="G171" s="314"/>
      <c r="H171" s="329"/>
      <c r="I171" s="329"/>
      <c r="J171" s="315"/>
    </row>
    <row r="172" spans="1:10" x14ac:dyDescent="0.25">
      <c r="A172" s="303"/>
      <c r="B172" s="333"/>
      <c r="C172" s="317"/>
      <c r="D172" s="318"/>
      <c r="E172" s="319"/>
      <c r="F172" s="319"/>
      <c r="G172" s="320"/>
      <c r="H172" s="332"/>
      <c r="I172" s="332"/>
      <c r="J172" s="321"/>
    </row>
    <row r="173" spans="1:10" x14ac:dyDescent="0.25">
      <c r="A173" s="303"/>
      <c r="B173" s="333"/>
      <c r="C173" s="317"/>
      <c r="D173" s="318"/>
      <c r="E173" s="319"/>
      <c r="F173" s="319"/>
      <c r="G173" s="320"/>
      <c r="H173" s="332"/>
      <c r="I173" s="332"/>
      <c r="J173" s="321"/>
    </row>
    <row r="174" spans="1:10" x14ac:dyDescent="0.25">
      <c r="A174" s="303"/>
      <c r="B174" s="333"/>
      <c r="C174" s="317"/>
      <c r="D174" s="318"/>
      <c r="E174" s="319"/>
      <c r="F174" s="319"/>
      <c r="G174" s="320"/>
      <c r="H174" s="332"/>
      <c r="I174" s="332"/>
      <c r="J174" s="321"/>
    </row>
    <row r="175" spans="1:10" x14ac:dyDescent="0.25">
      <c r="A175" s="303"/>
      <c r="B175" s="333"/>
      <c r="C175" s="317"/>
      <c r="D175" s="318"/>
      <c r="E175" s="319"/>
      <c r="F175" s="319"/>
      <c r="G175" s="320"/>
      <c r="H175" s="332"/>
      <c r="I175" s="332"/>
      <c r="J175" s="321"/>
    </row>
    <row r="176" spans="1:10" x14ac:dyDescent="0.25">
      <c r="A176" s="303"/>
      <c r="B176" s="310"/>
      <c r="C176" s="334"/>
      <c r="D176" s="312"/>
      <c r="E176" s="313"/>
      <c r="F176" s="313"/>
      <c r="G176" s="313"/>
      <c r="H176" s="343"/>
      <c r="I176" s="335" t="s">
        <v>501</v>
      </c>
      <c r="J176" s="315">
        <v>0</v>
      </c>
    </row>
    <row r="177" spans="1:10" x14ac:dyDescent="0.25">
      <c r="A177" s="303"/>
      <c r="B177" s="310" t="s">
        <v>464</v>
      </c>
      <c r="C177" s="311" t="s">
        <v>502</v>
      </c>
      <c r="D177" s="312"/>
      <c r="E177" s="313"/>
      <c r="F177" s="314" t="s">
        <v>464</v>
      </c>
      <c r="G177" s="324" t="s">
        <v>503</v>
      </c>
      <c r="H177" s="329" t="s">
        <v>465</v>
      </c>
      <c r="I177" s="336" t="s">
        <v>468</v>
      </c>
      <c r="J177" s="322" t="s">
        <v>492</v>
      </c>
    </row>
    <row r="178" spans="1:10" x14ac:dyDescent="0.25">
      <c r="A178" s="303"/>
      <c r="B178" s="337" t="s">
        <v>527</v>
      </c>
      <c r="C178" s="311" t="s">
        <v>528</v>
      </c>
      <c r="D178" s="312"/>
      <c r="E178" s="313"/>
      <c r="F178" s="344" t="s">
        <v>529</v>
      </c>
      <c r="G178" s="314">
        <v>2.4</v>
      </c>
      <c r="H178" s="329" t="s">
        <v>370</v>
      </c>
      <c r="I178" s="329">
        <v>3.05</v>
      </c>
      <c r="J178" s="315">
        <v>7.32</v>
      </c>
    </row>
    <row r="179" spans="1:10" x14ac:dyDescent="0.25">
      <c r="A179" s="303"/>
      <c r="B179" s="333" t="s">
        <v>346</v>
      </c>
      <c r="C179" s="317"/>
      <c r="D179" s="318"/>
      <c r="E179" s="319"/>
      <c r="F179" s="320"/>
      <c r="G179" s="320"/>
      <c r="H179" s="332"/>
      <c r="I179" s="332"/>
      <c r="J179" s="321"/>
    </row>
    <row r="180" spans="1:10" x14ac:dyDescent="0.25">
      <c r="A180" s="303"/>
      <c r="B180" s="333" t="s">
        <v>346</v>
      </c>
      <c r="C180" s="317"/>
      <c r="D180" s="318"/>
      <c r="E180" s="319"/>
      <c r="F180" s="320"/>
      <c r="G180" s="320"/>
      <c r="H180" s="332"/>
      <c r="I180" s="332"/>
      <c r="J180" s="321"/>
    </row>
    <row r="181" spans="1:10" x14ac:dyDescent="0.25">
      <c r="A181" s="303"/>
      <c r="B181" s="333" t="s">
        <v>346</v>
      </c>
      <c r="C181" s="317"/>
      <c r="D181" s="318"/>
      <c r="E181" s="319"/>
      <c r="F181" s="320"/>
      <c r="G181" s="320"/>
      <c r="H181" s="332"/>
      <c r="I181" s="332"/>
      <c r="J181" s="321"/>
    </row>
    <row r="182" spans="1:10" x14ac:dyDescent="0.25">
      <c r="A182" s="303"/>
      <c r="B182" s="333" t="s">
        <v>346</v>
      </c>
      <c r="C182" s="317"/>
      <c r="D182" s="318"/>
      <c r="E182" s="319"/>
      <c r="F182" s="320"/>
      <c r="G182" s="320"/>
      <c r="H182" s="332"/>
      <c r="I182" s="332"/>
      <c r="J182" s="321"/>
    </row>
    <row r="183" spans="1:10" x14ac:dyDescent="0.25">
      <c r="A183" s="303"/>
      <c r="B183" s="310"/>
      <c r="C183" s="334"/>
      <c r="D183" s="312"/>
      <c r="E183" s="313"/>
      <c r="F183" s="313"/>
      <c r="G183" s="313"/>
      <c r="H183" s="343"/>
      <c r="I183" s="338" t="s">
        <v>507</v>
      </c>
      <c r="J183" s="315">
        <v>7.32</v>
      </c>
    </row>
    <row r="184" spans="1:10" x14ac:dyDescent="0.25">
      <c r="A184" s="303"/>
      <c r="B184" s="310" t="s">
        <v>464</v>
      </c>
      <c r="C184" s="311" t="s">
        <v>508</v>
      </c>
      <c r="D184" s="345" t="s">
        <v>509</v>
      </c>
      <c r="E184" s="324" t="s">
        <v>873</v>
      </c>
      <c r="F184" s="324" t="s">
        <v>874</v>
      </c>
      <c r="G184" s="324" t="s">
        <v>875</v>
      </c>
      <c r="H184" s="336" t="s">
        <v>468</v>
      </c>
      <c r="I184" s="324" t="s">
        <v>491</v>
      </c>
      <c r="J184" s="322" t="s">
        <v>492</v>
      </c>
    </row>
    <row r="185" spans="1:10" x14ac:dyDescent="0.25">
      <c r="A185" s="303"/>
      <c r="B185" s="337" t="s">
        <v>511</v>
      </c>
      <c r="C185" s="311" t="s">
        <v>512</v>
      </c>
      <c r="D185" s="345" t="s">
        <v>510</v>
      </c>
      <c r="E185" s="314">
        <v>0</v>
      </c>
      <c r="F185" s="314">
        <v>0</v>
      </c>
      <c r="G185" s="314">
        <v>25.11</v>
      </c>
      <c r="H185" s="329">
        <v>0.55000000000000004</v>
      </c>
      <c r="I185" s="314">
        <v>2.4</v>
      </c>
      <c r="J185" s="315">
        <v>33.145200000000003</v>
      </c>
    </row>
    <row r="186" spans="1:10" x14ac:dyDescent="0.25">
      <c r="A186" s="303"/>
      <c r="B186" s="333" t="s">
        <v>346</v>
      </c>
      <c r="C186" s="317"/>
      <c r="D186" s="346"/>
      <c r="E186" s="320"/>
      <c r="F186" s="320"/>
      <c r="G186" s="320"/>
      <c r="H186" s="332"/>
      <c r="I186" s="320"/>
      <c r="J186" s="321"/>
    </row>
    <row r="187" spans="1:10" x14ac:dyDescent="0.25">
      <c r="A187" s="303"/>
      <c r="B187" s="333" t="s">
        <v>346</v>
      </c>
      <c r="C187" s="317"/>
      <c r="D187" s="346"/>
      <c r="E187" s="320"/>
      <c r="F187" s="320"/>
      <c r="G187" s="320"/>
      <c r="H187" s="332"/>
      <c r="I187" s="320"/>
      <c r="J187" s="321"/>
    </row>
    <row r="188" spans="1:10" x14ac:dyDescent="0.25">
      <c r="A188" s="303"/>
      <c r="B188" s="333" t="s">
        <v>346</v>
      </c>
      <c r="C188" s="317"/>
      <c r="D188" s="346"/>
      <c r="E188" s="320"/>
      <c r="F188" s="320"/>
      <c r="G188" s="320"/>
      <c r="H188" s="332"/>
      <c r="I188" s="320"/>
      <c r="J188" s="321"/>
    </row>
    <row r="189" spans="1:10" x14ac:dyDescent="0.25">
      <c r="A189" s="303"/>
      <c r="B189" s="333" t="s">
        <v>346</v>
      </c>
      <c r="C189" s="317"/>
      <c r="D189" s="346"/>
      <c r="E189" s="320"/>
      <c r="F189" s="320"/>
      <c r="G189" s="320"/>
      <c r="H189" s="332"/>
      <c r="I189" s="320"/>
      <c r="J189" s="321"/>
    </row>
    <row r="190" spans="1:10" x14ac:dyDescent="0.25">
      <c r="A190" s="303"/>
      <c r="B190" s="333" t="s">
        <v>346</v>
      </c>
      <c r="C190" s="317"/>
      <c r="D190" s="346"/>
      <c r="E190" s="320"/>
      <c r="F190" s="320"/>
      <c r="G190" s="320"/>
      <c r="H190" s="332"/>
      <c r="I190" s="320"/>
      <c r="J190" s="321"/>
    </row>
    <row r="191" spans="1:10" x14ac:dyDescent="0.25">
      <c r="A191" s="303"/>
      <c r="B191" s="333" t="s">
        <v>346</v>
      </c>
      <c r="C191" s="317"/>
      <c r="D191" s="346"/>
      <c r="E191" s="320"/>
      <c r="F191" s="320"/>
      <c r="G191" s="320"/>
      <c r="H191" s="332"/>
      <c r="I191" s="320"/>
      <c r="J191" s="321"/>
    </row>
    <row r="192" spans="1:10" x14ac:dyDescent="0.25">
      <c r="A192" s="303"/>
      <c r="B192" s="310"/>
      <c r="C192" s="334"/>
      <c r="D192" s="312"/>
      <c r="E192" s="313"/>
      <c r="F192" s="313"/>
      <c r="G192" s="313"/>
      <c r="H192" s="313"/>
      <c r="I192" s="338" t="s">
        <v>513</v>
      </c>
      <c r="J192" s="315">
        <v>33.145200000000003</v>
      </c>
    </row>
    <row r="193" spans="1:10" x14ac:dyDescent="0.25">
      <c r="A193" s="303"/>
      <c r="B193" s="310" t="s">
        <v>514</v>
      </c>
      <c r="C193" s="334"/>
      <c r="D193" s="312"/>
      <c r="E193" s="313"/>
      <c r="F193" s="313"/>
      <c r="G193" s="313"/>
      <c r="H193" s="313"/>
      <c r="I193" s="313"/>
      <c r="J193" s="315">
        <v>91.122600000000006</v>
      </c>
    </row>
    <row r="194" spans="1:10" x14ac:dyDescent="0.25">
      <c r="A194" s="303"/>
      <c r="B194" s="310" t="s">
        <v>515</v>
      </c>
      <c r="C194" s="334"/>
      <c r="D194" s="312">
        <v>0</v>
      </c>
      <c r="E194" s="313"/>
      <c r="F194" s="313"/>
      <c r="G194" s="313"/>
      <c r="H194" s="313"/>
      <c r="I194" s="313"/>
      <c r="J194" s="315">
        <v>0</v>
      </c>
    </row>
    <row r="195" spans="1:10" ht="14.4" thickBot="1" x14ac:dyDescent="0.3">
      <c r="A195" s="303"/>
      <c r="B195" s="310" t="s">
        <v>516</v>
      </c>
      <c r="C195" s="334"/>
      <c r="D195" s="312"/>
      <c r="E195" s="313"/>
      <c r="F195" s="313"/>
      <c r="G195" s="313"/>
      <c r="H195" s="313"/>
      <c r="I195" s="313"/>
      <c r="J195" s="347">
        <v>91.12</v>
      </c>
    </row>
    <row r="196" spans="1:10" x14ac:dyDescent="0.25">
      <c r="A196" s="303"/>
      <c r="B196" s="304"/>
      <c r="C196" s="305"/>
      <c r="D196" s="348"/>
      <c r="E196" s="308"/>
      <c r="F196" s="308"/>
      <c r="G196" s="308"/>
      <c r="H196" s="308"/>
      <c r="I196" s="308"/>
      <c r="J196" s="309"/>
    </row>
    <row r="197" spans="1:10" x14ac:dyDescent="0.25">
      <c r="A197" s="303"/>
      <c r="B197" s="316"/>
      <c r="C197" s="303"/>
      <c r="D197" s="318"/>
      <c r="E197" s="319"/>
      <c r="F197" s="319"/>
      <c r="G197" s="319"/>
      <c r="H197" s="319"/>
      <c r="I197" s="319"/>
      <c r="J197" s="349"/>
    </row>
    <row r="198" spans="1:10" x14ac:dyDescent="0.25">
      <c r="A198" s="303"/>
      <c r="B198" s="316"/>
      <c r="C198" s="303"/>
      <c r="D198" s="318"/>
      <c r="E198" s="319"/>
      <c r="F198" s="319"/>
      <c r="G198" s="319"/>
      <c r="H198" s="319"/>
      <c r="I198" s="319"/>
      <c r="J198" s="349"/>
    </row>
    <row r="199" spans="1:10" ht="14.4" thickBot="1" x14ac:dyDescent="0.3">
      <c r="A199" s="303"/>
      <c r="B199" s="350"/>
      <c r="C199" s="303"/>
      <c r="D199" s="318"/>
      <c r="E199" s="319"/>
      <c r="F199" s="319"/>
      <c r="G199" s="319"/>
      <c r="H199" s="319"/>
      <c r="I199" s="319"/>
      <c r="J199" s="351"/>
    </row>
    <row r="200" spans="1:10" x14ac:dyDescent="0.25">
      <c r="A200" s="303"/>
      <c r="B200" s="305"/>
      <c r="C200" s="305"/>
      <c r="D200" s="348"/>
      <c r="E200" s="308"/>
      <c r="F200" s="308"/>
      <c r="G200" s="308"/>
      <c r="H200" s="308"/>
      <c r="I200" s="308"/>
      <c r="J200" s="352"/>
    </row>
    <row r="201" spans="1:10" ht="14.4" thickBot="1" x14ac:dyDescent="0.3">
      <c r="A201" s="303"/>
      <c r="B201" s="303"/>
      <c r="C201" s="303"/>
      <c r="D201" s="318"/>
      <c r="E201" s="319"/>
      <c r="F201" s="319"/>
      <c r="G201" s="319"/>
      <c r="H201" s="319"/>
      <c r="I201" s="319"/>
      <c r="J201" s="353"/>
    </row>
    <row r="202" spans="1:10" x14ac:dyDescent="0.25">
      <c r="A202" s="303"/>
      <c r="B202" s="304"/>
      <c r="C202" s="305"/>
      <c r="D202" s="306" t="s">
        <v>463</v>
      </c>
      <c r="E202" s="307"/>
      <c r="F202" s="307"/>
      <c r="G202" s="308"/>
      <c r="H202" s="308"/>
      <c r="I202" s="308"/>
      <c r="J202" s="309"/>
    </row>
    <row r="203" spans="1:10" x14ac:dyDescent="0.25">
      <c r="A203" s="303"/>
      <c r="B203" s="310" t="s">
        <v>464</v>
      </c>
      <c r="C203" s="311" t="s">
        <v>134</v>
      </c>
      <c r="D203" s="312"/>
      <c r="E203" s="313"/>
      <c r="F203" s="313"/>
      <c r="G203" s="313"/>
      <c r="H203" s="314"/>
      <c r="I203" s="313"/>
      <c r="J203" s="315" t="s">
        <v>465</v>
      </c>
    </row>
    <row r="204" spans="1:10" x14ac:dyDescent="0.25">
      <c r="A204" s="303"/>
      <c r="B204" s="316">
        <v>4011353</v>
      </c>
      <c r="C204" s="317" t="s">
        <v>367</v>
      </c>
      <c r="D204" s="318"/>
      <c r="E204" s="319"/>
      <c r="F204" s="319"/>
      <c r="G204" s="319"/>
      <c r="H204" s="320"/>
      <c r="I204" s="319"/>
      <c r="J204" s="321" t="s">
        <v>368</v>
      </c>
    </row>
    <row r="205" spans="1:10" x14ac:dyDescent="0.25">
      <c r="A205" s="303"/>
      <c r="B205" s="310"/>
      <c r="C205" s="311"/>
      <c r="D205" s="312"/>
      <c r="E205" s="314"/>
      <c r="F205" s="314" t="s">
        <v>466</v>
      </c>
      <c r="G205" s="314"/>
      <c r="H205" s="314" t="s">
        <v>467</v>
      </c>
      <c r="I205" s="314"/>
      <c r="J205" s="322" t="s">
        <v>468</v>
      </c>
    </row>
    <row r="206" spans="1:10" x14ac:dyDescent="0.25">
      <c r="A206" s="303"/>
      <c r="B206" s="316" t="s">
        <v>464</v>
      </c>
      <c r="C206" s="317" t="s">
        <v>469</v>
      </c>
      <c r="D206" s="318"/>
      <c r="E206" s="323" t="s">
        <v>355</v>
      </c>
      <c r="F206" s="324" t="s">
        <v>470</v>
      </c>
      <c r="G206" s="324" t="s">
        <v>471</v>
      </c>
      <c r="H206" s="324" t="s">
        <v>472</v>
      </c>
      <c r="I206" s="325" t="s">
        <v>473</v>
      </c>
      <c r="J206" s="326" t="s">
        <v>474</v>
      </c>
    </row>
    <row r="207" spans="1:10" x14ac:dyDescent="0.25">
      <c r="A207" s="303"/>
      <c r="B207" s="327" t="s">
        <v>530</v>
      </c>
      <c r="C207" s="311" t="s">
        <v>531</v>
      </c>
      <c r="D207" s="312"/>
      <c r="E207" s="328">
        <v>1</v>
      </c>
      <c r="F207" s="328">
        <v>1</v>
      </c>
      <c r="G207" s="328">
        <v>0</v>
      </c>
      <c r="H207" s="329">
        <v>204.9288</v>
      </c>
      <c r="I207" s="329">
        <v>60.874600000000001</v>
      </c>
      <c r="J207" s="315">
        <v>204.9288</v>
      </c>
    </row>
    <row r="208" spans="1:10" x14ac:dyDescent="0.25">
      <c r="A208" s="303"/>
      <c r="B208" s="330" t="s">
        <v>532</v>
      </c>
      <c r="C208" s="317" t="s">
        <v>533</v>
      </c>
      <c r="D208" s="318"/>
      <c r="E208" s="331">
        <v>2</v>
      </c>
      <c r="F208" s="331">
        <v>1</v>
      </c>
      <c r="G208" s="331">
        <v>0</v>
      </c>
      <c r="H208" s="332">
        <v>55.491999999999997</v>
      </c>
      <c r="I208" s="332">
        <v>37.523200000000003</v>
      </c>
      <c r="J208" s="321">
        <v>110.98399999999999</v>
      </c>
    </row>
    <row r="209" spans="1:10" x14ac:dyDescent="0.25">
      <c r="A209" s="303"/>
      <c r="B209" s="333" t="s">
        <v>346</v>
      </c>
      <c r="C209" s="317"/>
      <c r="D209" s="318"/>
      <c r="E209" s="331"/>
      <c r="F209" s="331"/>
      <c r="G209" s="331"/>
      <c r="H209" s="332"/>
      <c r="I209" s="332"/>
      <c r="J209" s="321"/>
    </row>
    <row r="210" spans="1:10" x14ac:dyDescent="0.25">
      <c r="A210" s="303"/>
      <c r="B210" s="333" t="s">
        <v>346</v>
      </c>
      <c r="C210" s="317"/>
      <c r="D210" s="318"/>
      <c r="E210" s="331"/>
      <c r="F210" s="331"/>
      <c r="G210" s="331"/>
      <c r="H210" s="332"/>
      <c r="I210" s="332"/>
      <c r="J210" s="321"/>
    </row>
    <row r="211" spans="1:10" x14ac:dyDescent="0.25">
      <c r="A211" s="303"/>
      <c r="B211" s="333" t="s">
        <v>346</v>
      </c>
      <c r="C211" s="317"/>
      <c r="D211" s="318"/>
      <c r="E211" s="331"/>
      <c r="F211" s="331"/>
      <c r="G211" s="331"/>
      <c r="H211" s="332"/>
      <c r="I211" s="332"/>
      <c r="J211" s="321"/>
    </row>
    <row r="212" spans="1:10" x14ac:dyDescent="0.25">
      <c r="A212" s="303"/>
      <c r="B212" s="333" t="s">
        <v>346</v>
      </c>
      <c r="C212" s="317"/>
      <c r="D212" s="318"/>
      <c r="E212" s="331"/>
      <c r="F212" s="331"/>
      <c r="G212" s="331"/>
      <c r="H212" s="332"/>
      <c r="I212" s="332"/>
      <c r="J212" s="321"/>
    </row>
    <row r="213" spans="1:10" x14ac:dyDescent="0.25">
      <c r="A213" s="303"/>
      <c r="B213" s="333" t="s">
        <v>346</v>
      </c>
      <c r="C213" s="317"/>
      <c r="D213" s="318"/>
      <c r="E213" s="331"/>
      <c r="F213" s="331"/>
      <c r="G213" s="331"/>
      <c r="H213" s="332"/>
      <c r="I213" s="332"/>
      <c r="J213" s="321"/>
    </row>
    <row r="214" spans="1:10" x14ac:dyDescent="0.25">
      <c r="A214" s="303"/>
      <c r="B214" s="310"/>
      <c r="C214" s="334"/>
      <c r="D214" s="312"/>
      <c r="E214" s="313"/>
      <c r="F214" s="313"/>
      <c r="G214" s="313"/>
      <c r="H214" s="313"/>
      <c r="I214" s="335" t="s">
        <v>479</v>
      </c>
      <c r="J214" s="315">
        <v>315.9128</v>
      </c>
    </row>
    <row r="215" spans="1:10" x14ac:dyDescent="0.25">
      <c r="A215" s="303"/>
      <c r="B215" s="310" t="s">
        <v>464</v>
      </c>
      <c r="C215" s="311" t="s">
        <v>480</v>
      </c>
      <c r="D215" s="312"/>
      <c r="E215" s="313"/>
      <c r="F215" s="313"/>
      <c r="G215" s="313"/>
      <c r="H215" s="324" t="s">
        <v>355</v>
      </c>
      <c r="I215" s="336" t="s">
        <v>481</v>
      </c>
      <c r="J215" s="322" t="s">
        <v>331</v>
      </c>
    </row>
    <row r="216" spans="1:10" x14ac:dyDescent="0.25">
      <c r="A216" s="303"/>
      <c r="B216" s="337" t="s">
        <v>482</v>
      </c>
      <c r="C216" s="311" t="s">
        <v>483</v>
      </c>
      <c r="D216" s="312"/>
      <c r="E216" s="313"/>
      <c r="F216" s="313"/>
      <c r="G216" s="313"/>
      <c r="H216" s="314">
        <v>2</v>
      </c>
      <c r="I216" s="329">
        <v>17.768000000000001</v>
      </c>
      <c r="J216" s="315">
        <v>35.536000000000001</v>
      </c>
    </row>
    <row r="217" spans="1:10" x14ac:dyDescent="0.25">
      <c r="A217" s="303"/>
      <c r="B217" s="333" t="s">
        <v>346</v>
      </c>
      <c r="C217" s="317"/>
      <c r="D217" s="318"/>
      <c r="E217" s="319"/>
      <c r="F217" s="319"/>
      <c r="G217" s="319"/>
      <c r="H217" s="320"/>
      <c r="I217" s="332"/>
      <c r="J217" s="321"/>
    </row>
    <row r="218" spans="1:10" x14ac:dyDescent="0.25">
      <c r="A218" s="303"/>
      <c r="B218" s="333" t="s">
        <v>346</v>
      </c>
      <c r="C218" s="317"/>
      <c r="D218" s="318"/>
      <c r="E218" s="319"/>
      <c r="F218" s="319"/>
      <c r="G218" s="319"/>
      <c r="H218" s="320"/>
      <c r="I218" s="332"/>
      <c r="J218" s="321"/>
    </row>
    <row r="219" spans="1:10" x14ac:dyDescent="0.25">
      <c r="A219" s="303"/>
      <c r="B219" s="333" t="s">
        <v>346</v>
      </c>
      <c r="C219" s="317"/>
      <c r="D219" s="318"/>
      <c r="E219" s="319"/>
      <c r="F219" s="319"/>
      <c r="G219" s="319"/>
      <c r="H219" s="320"/>
      <c r="I219" s="332"/>
      <c r="J219" s="321"/>
    </row>
    <row r="220" spans="1:10" x14ac:dyDescent="0.25">
      <c r="A220" s="303"/>
      <c r="B220" s="333" t="s">
        <v>346</v>
      </c>
      <c r="C220" s="317"/>
      <c r="D220" s="318"/>
      <c r="E220" s="319"/>
      <c r="F220" s="319"/>
      <c r="G220" s="319"/>
      <c r="H220" s="320"/>
      <c r="I220" s="332"/>
      <c r="J220" s="321"/>
    </row>
    <row r="221" spans="1:10" x14ac:dyDescent="0.25">
      <c r="A221" s="303"/>
      <c r="B221" s="333" t="s">
        <v>346</v>
      </c>
      <c r="C221" s="317"/>
      <c r="D221" s="318"/>
      <c r="E221" s="319"/>
      <c r="F221" s="319"/>
      <c r="G221" s="319"/>
      <c r="H221" s="320"/>
      <c r="I221" s="332"/>
      <c r="J221" s="321"/>
    </row>
    <row r="222" spans="1:10" x14ac:dyDescent="0.25">
      <c r="A222" s="303"/>
      <c r="B222" s="333" t="s">
        <v>346</v>
      </c>
      <c r="C222" s="317"/>
      <c r="D222" s="318"/>
      <c r="E222" s="319"/>
      <c r="F222" s="319"/>
      <c r="G222" s="319"/>
      <c r="H222" s="320"/>
      <c r="I222" s="332"/>
      <c r="J222" s="321"/>
    </row>
    <row r="223" spans="1:10" x14ac:dyDescent="0.25">
      <c r="A223" s="303"/>
      <c r="B223" s="310"/>
      <c r="C223" s="334"/>
      <c r="D223" s="312"/>
      <c r="E223" s="313"/>
      <c r="F223" s="313"/>
      <c r="G223" s="313"/>
      <c r="H223" s="313"/>
      <c r="I223" s="338" t="s">
        <v>484</v>
      </c>
      <c r="J223" s="315">
        <v>35.536000000000001</v>
      </c>
    </row>
    <row r="224" spans="1:10" x14ac:dyDescent="0.25">
      <c r="A224" s="303"/>
      <c r="B224" s="339"/>
      <c r="C224" s="334"/>
      <c r="D224" s="312"/>
      <c r="E224" s="313"/>
      <c r="F224" s="313"/>
      <c r="G224" s="313"/>
      <c r="H224" s="313"/>
      <c r="I224" s="338" t="s">
        <v>485</v>
      </c>
      <c r="J224" s="340">
        <v>351.44880000000001</v>
      </c>
    </row>
    <row r="225" spans="1:10" x14ac:dyDescent="0.25">
      <c r="A225" s="303"/>
      <c r="B225" s="339"/>
      <c r="C225" s="341" t="s">
        <v>486</v>
      </c>
      <c r="D225" s="312">
        <v>1500</v>
      </c>
      <c r="E225" s="313"/>
      <c r="F225" s="313"/>
      <c r="G225" s="313"/>
      <c r="H225" s="313"/>
      <c r="I225" s="338" t="s">
        <v>487</v>
      </c>
      <c r="J225" s="340">
        <v>0.23430000000000001</v>
      </c>
    </row>
    <row r="226" spans="1:10" x14ac:dyDescent="0.25">
      <c r="A226" s="303"/>
      <c r="B226" s="310"/>
      <c r="C226" s="334"/>
      <c r="D226" s="312"/>
      <c r="E226" s="313"/>
      <c r="F226" s="313"/>
      <c r="G226" s="313"/>
      <c r="H226" s="338" t="s">
        <v>488</v>
      </c>
      <c r="I226" s="342">
        <v>4.6299999999999996E-3</v>
      </c>
      <c r="J226" s="315">
        <v>1.1000000000000001E-3</v>
      </c>
    </row>
    <row r="227" spans="1:10" x14ac:dyDescent="0.25">
      <c r="A227" s="303"/>
      <c r="B227" s="310"/>
      <c r="C227" s="334"/>
      <c r="D227" s="312"/>
      <c r="E227" s="313"/>
      <c r="F227" s="313"/>
      <c r="G227" s="313"/>
      <c r="H227" s="335" t="s">
        <v>489</v>
      </c>
      <c r="I227" s="343">
        <v>0</v>
      </c>
      <c r="J227" s="315">
        <v>0</v>
      </c>
    </row>
    <row r="228" spans="1:10" x14ac:dyDescent="0.25">
      <c r="A228" s="303"/>
      <c r="B228" s="310" t="s">
        <v>464</v>
      </c>
      <c r="C228" s="311" t="s">
        <v>490</v>
      </c>
      <c r="D228" s="312"/>
      <c r="E228" s="313"/>
      <c r="F228" s="313"/>
      <c r="G228" s="314" t="s">
        <v>465</v>
      </c>
      <c r="H228" s="336" t="s">
        <v>468</v>
      </c>
      <c r="I228" s="336" t="s">
        <v>491</v>
      </c>
      <c r="J228" s="322" t="s">
        <v>492</v>
      </c>
    </row>
    <row r="229" spans="1:10" x14ac:dyDescent="0.25">
      <c r="A229" s="303"/>
      <c r="B229" s="337" t="s">
        <v>495</v>
      </c>
      <c r="C229" s="311" t="s">
        <v>872</v>
      </c>
      <c r="D229" s="312"/>
      <c r="E229" s="313"/>
      <c r="F229" s="313"/>
      <c r="G229" s="314" t="s">
        <v>370</v>
      </c>
      <c r="H229" s="329">
        <v>0</v>
      </c>
      <c r="I229" s="329">
        <v>4.4999999999999999E-4</v>
      </c>
      <c r="J229" s="315">
        <v>0</v>
      </c>
    </row>
    <row r="230" spans="1:10" x14ac:dyDescent="0.25">
      <c r="A230" s="303"/>
      <c r="B230" s="333" t="s">
        <v>346</v>
      </c>
      <c r="C230" s="317"/>
      <c r="D230" s="318"/>
      <c r="E230" s="319"/>
      <c r="F230" s="319"/>
      <c r="G230" s="320"/>
      <c r="H230" s="332"/>
      <c r="I230" s="332"/>
      <c r="J230" s="321"/>
    </row>
    <row r="231" spans="1:10" x14ac:dyDescent="0.25">
      <c r="A231" s="303"/>
      <c r="B231" s="333" t="s">
        <v>346</v>
      </c>
      <c r="C231" s="317"/>
      <c r="D231" s="318"/>
      <c r="E231" s="319"/>
      <c r="F231" s="319"/>
      <c r="G231" s="320"/>
      <c r="H231" s="332"/>
      <c r="I231" s="332"/>
      <c r="J231" s="321"/>
    </row>
    <row r="232" spans="1:10" x14ac:dyDescent="0.25">
      <c r="A232" s="303"/>
      <c r="B232" s="333" t="s">
        <v>346</v>
      </c>
      <c r="C232" s="317"/>
      <c r="D232" s="318"/>
      <c r="E232" s="319"/>
      <c r="F232" s="319"/>
      <c r="G232" s="320"/>
      <c r="H232" s="332"/>
      <c r="I232" s="332"/>
      <c r="J232" s="321"/>
    </row>
    <row r="233" spans="1:10" x14ac:dyDescent="0.25">
      <c r="A233" s="303"/>
      <c r="B233" s="333" t="s">
        <v>346</v>
      </c>
      <c r="C233" s="317"/>
      <c r="D233" s="318"/>
      <c r="E233" s="319"/>
      <c r="F233" s="319"/>
      <c r="G233" s="320"/>
      <c r="H233" s="332"/>
      <c r="I233" s="332"/>
      <c r="J233" s="321"/>
    </row>
    <row r="234" spans="1:10" x14ac:dyDescent="0.25">
      <c r="A234" s="303"/>
      <c r="B234" s="333" t="s">
        <v>346</v>
      </c>
      <c r="C234" s="317"/>
      <c r="D234" s="318"/>
      <c r="E234" s="319"/>
      <c r="F234" s="319"/>
      <c r="G234" s="320"/>
      <c r="H234" s="332"/>
      <c r="I234" s="332"/>
      <c r="J234" s="321"/>
    </row>
    <row r="235" spans="1:10" x14ac:dyDescent="0.25">
      <c r="A235" s="303"/>
      <c r="B235" s="310"/>
      <c r="C235" s="334"/>
      <c r="D235" s="312"/>
      <c r="E235" s="313"/>
      <c r="F235" s="313"/>
      <c r="G235" s="313"/>
      <c r="H235" s="343"/>
      <c r="I235" s="335" t="s">
        <v>498</v>
      </c>
      <c r="J235" s="315">
        <v>0</v>
      </c>
    </row>
    <row r="236" spans="1:10" x14ac:dyDescent="0.25">
      <c r="A236" s="303"/>
      <c r="B236" s="310" t="s">
        <v>464</v>
      </c>
      <c r="C236" s="311" t="s">
        <v>499</v>
      </c>
      <c r="D236" s="312"/>
      <c r="E236" s="313"/>
      <c r="F236" s="313"/>
      <c r="G236" s="314" t="s">
        <v>465</v>
      </c>
      <c r="H236" s="336" t="s">
        <v>468</v>
      </c>
      <c r="I236" s="336" t="s">
        <v>491</v>
      </c>
      <c r="J236" s="322" t="s">
        <v>492</v>
      </c>
    </row>
    <row r="237" spans="1:10" x14ac:dyDescent="0.25">
      <c r="A237" s="303"/>
      <c r="B237" s="337"/>
      <c r="C237" s="311"/>
      <c r="D237" s="312"/>
      <c r="E237" s="313"/>
      <c r="F237" s="313"/>
      <c r="G237" s="314"/>
      <c r="H237" s="329"/>
      <c r="I237" s="329"/>
      <c r="J237" s="315"/>
    </row>
    <row r="238" spans="1:10" x14ac:dyDescent="0.25">
      <c r="A238" s="303"/>
      <c r="B238" s="333"/>
      <c r="C238" s="317"/>
      <c r="D238" s="318"/>
      <c r="E238" s="319"/>
      <c r="F238" s="319"/>
      <c r="G238" s="320"/>
      <c r="H238" s="332"/>
      <c r="I238" s="332"/>
      <c r="J238" s="321"/>
    </row>
    <row r="239" spans="1:10" x14ac:dyDescent="0.25">
      <c r="A239" s="303"/>
      <c r="B239" s="333"/>
      <c r="C239" s="317"/>
      <c r="D239" s="318"/>
      <c r="E239" s="319"/>
      <c r="F239" s="319"/>
      <c r="G239" s="320"/>
      <c r="H239" s="332"/>
      <c r="I239" s="332"/>
      <c r="J239" s="321"/>
    </row>
    <row r="240" spans="1:10" x14ac:dyDescent="0.25">
      <c r="A240" s="303"/>
      <c r="B240" s="333"/>
      <c r="C240" s="317"/>
      <c r="D240" s="318"/>
      <c r="E240" s="319"/>
      <c r="F240" s="319"/>
      <c r="G240" s="320"/>
      <c r="H240" s="332"/>
      <c r="I240" s="332"/>
      <c r="J240" s="321"/>
    </row>
    <row r="241" spans="1:10" x14ac:dyDescent="0.25">
      <c r="A241" s="303"/>
      <c r="B241" s="333"/>
      <c r="C241" s="317"/>
      <c r="D241" s="318"/>
      <c r="E241" s="319"/>
      <c r="F241" s="319"/>
      <c r="G241" s="320"/>
      <c r="H241" s="332"/>
      <c r="I241" s="332"/>
      <c r="J241" s="321"/>
    </row>
    <row r="242" spans="1:10" x14ac:dyDescent="0.25">
      <c r="A242" s="303"/>
      <c r="B242" s="310"/>
      <c r="C242" s="334"/>
      <c r="D242" s="312"/>
      <c r="E242" s="313"/>
      <c r="F242" s="313"/>
      <c r="G242" s="313"/>
      <c r="H242" s="343"/>
      <c r="I242" s="335" t="s">
        <v>501</v>
      </c>
      <c r="J242" s="315">
        <v>0</v>
      </c>
    </row>
    <row r="243" spans="1:10" x14ac:dyDescent="0.25">
      <c r="A243" s="303"/>
      <c r="B243" s="310" t="s">
        <v>464</v>
      </c>
      <c r="C243" s="311" t="s">
        <v>502</v>
      </c>
      <c r="D243" s="312"/>
      <c r="E243" s="313"/>
      <c r="F243" s="314" t="s">
        <v>464</v>
      </c>
      <c r="G243" s="324" t="s">
        <v>503</v>
      </c>
      <c r="H243" s="329" t="s">
        <v>465</v>
      </c>
      <c r="I243" s="336" t="s">
        <v>468</v>
      </c>
      <c r="J243" s="322" t="s">
        <v>492</v>
      </c>
    </row>
    <row r="244" spans="1:10" x14ac:dyDescent="0.25">
      <c r="A244" s="303"/>
      <c r="B244" s="337" t="s">
        <v>346</v>
      </c>
      <c r="C244" s="311"/>
      <c r="D244" s="312"/>
      <c r="E244" s="313"/>
      <c r="F244" s="314"/>
      <c r="G244" s="314"/>
      <c r="H244" s="329"/>
      <c r="I244" s="329"/>
      <c r="J244" s="315"/>
    </row>
    <row r="245" spans="1:10" x14ac:dyDescent="0.25">
      <c r="A245" s="303"/>
      <c r="B245" s="333" t="s">
        <v>346</v>
      </c>
      <c r="C245" s="317"/>
      <c r="D245" s="318"/>
      <c r="E245" s="319"/>
      <c r="F245" s="320"/>
      <c r="G245" s="320"/>
      <c r="H245" s="332"/>
      <c r="I245" s="332"/>
      <c r="J245" s="321"/>
    </row>
    <row r="246" spans="1:10" x14ac:dyDescent="0.25">
      <c r="A246" s="303"/>
      <c r="B246" s="333" t="s">
        <v>346</v>
      </c>
      <c r="C246" s="317"/>
      <c r="D246" s="318"/>
      <c r="E246" s="319"/>
      <c r="F246" s="320"/>
      <c r="G246" s="320"/>
      <c r="H246" s="332"/>
      <c r="I246" s="332"/>
      <c r="J246" s="321"/>
    </row>
    <row r="247" spans="1:10" x14ac:dyDescent="0.25">
      <c r="A247" s="303"/>
      <c r="B247" s="333" t="s">
        <v>346</v>
      </c>
      <c r="C247" s="317"/>
      <c r="D247" s="318"/>
      <c r="E247" s="319"/>
      <c r="F247" s="320"/>
      <c r="G247" s="320"/>
      <c r="H247" s="332"/>
      <c r="I247" s="332"/>
      <c r="J247" s="321"/>
    </row>
    <row r="248" spans="1:10" x14ac:dyDescent="0.25">
      <c r="A248" s="303"/>
      <c r="B248" s="333" t="s">
        <v>346</v>
      </c>
      <c r="C248" s="317"/>
      <c r="D248" s="318"/>
      <c r="E248" s="319"/>
      <c r="F248" s="320"/>
      <c r="G248" s="320"/>
      <c r="H248" s="332"/>
      <c r="I248" s="332"/>
      <c r="J248" s="321"/>
    </row>
    <row r="249" spans="1:10" x14ac:dyDescent="0.25">
      <c r="A249" s="303"/>
      <c r="B249" s="310"/>
      <c r="C249" s="334"/>
      <c r="D249" s="312"/>
      <c r="E249" s="313"/>
      <c r="F249" s="313"/>
      <c r="G249" s="313"/>
      <c r="H249" s="343"/>
      <c r="I249" s="338" t="s">
        <v>507</v>
      </c>
      <c r="J249" s="315">
        <v>0</v>
      </c>
    </row>
    <row r="250" spans="1:10" x14ac:dyDescent="0.25">
      <c r="A250" s="303"/>
      <c r="B250" s="310" t="s">
        <v>464</v>
      </c>
      <c r="C250" s="311" t="s">
        <v>508</v>
      </c>
      <c r="D250" s="345" t="s">
        <v>509</v>
      </c>
      <c r="E250" s="324" t="s">
        <v>873</v>
      </c>
      <c r="F250" s="324" t="s">
        <v>874</v>
      </c>
      <c r="G250" s="324" t="s">
        <v>875</v>
      </c>
      <c r="H250" s="336" t="s">
        <v>468</v>
      </c>
      <c r="I250" s="324" t="s">
        <v>491</v>
      </c>
      <c r="J250" s="322" t="s">
        <v>492</v>
      </c>
    </row>
    <row r="251" spans="1:10" x14ac:dyDescent="0.25">
      <c r="A251" s="303"/>
      <c r="B251" s="337" t="s">
        <v>346</v>
      </c>
      <c r="C251" s="311"/>
      <c r="D251" s="345"/>
      <c r="E251" s="314"/>
      <c r="F251" s="314"/>
      <c r="G251" s="314"/>
      <c r="H251" s="329"/>
      <c r="I251" s="314"/>
      <c r="J251" s="315"/>
    </row>
    <row r="252" spans="1:10" x14ac:dyDescent="0.25">
      <c r="A252" s="303"/>
      <c r="B252" s="333" t="s">
        <v>346</v>
      </c>
      <c r="C252" s="317"/>
      <c r="D252" s="346"/>
      <c r="E252" s="320"/>
      <c r="F252" s="320"/>
      <c r="G252" s="320"/>
      <c r="H252" s="332"/>
      <c r="I252" s="320"/>
      <c r="J252" s="321"/>
    </row>
    <row r="253" spans="1:10" x14ac:dyDescent="0.25">
      <c r="A253" s="303"/>
      <c r="B253" s="333" t="s">
        <v>346</v>
      </c>
      <c r="C253" s="317"/>
      <c r="D253" s="346"/>
      <c r="E253" s="320"/>
      <c r="F253" s="320"/>
      <c r="G253" s="320"/>
      <c r="H253" s="332"/>
      <c r="I253" s="320"/>
      <c r="J253" s="321"/>
    </row>
    <row r="254" spans="1:10" x14ac:dyDescent="0.25">
      <c r="A254" s="303"/>
      <c r="B254" s="333" t="s">
        <v>346</v>
      </c>
      <c r="C254" s="317"/>
      <c r="D254" s="346"/>
      <c r="E254" s="320"/>
      <c r="F254" s="320"/>
      <c r="G254" s="320"/>
      <c r="H254" s="332"/>
      <c r="I254" s="320"/>
      <c r="J254" s="321"/>
    </row>
    <row r="255" spans="1:10" x14ac:dyDescent="0.25">
      <c r="A255" s="303"/>
      <c r="B255" s="333" t="s">
        <v>346</v>
      </c>
      <c r="C255" s="317"/>
      <c r="D255" s="346"/>
      <c r="E255" s="320"/>
      <c r="F255" s="320"/>
      <c r="G255" s="320"/>
      <c r="H255" s="332"/>
      <c r="I255" s="320"/>
      <c r="J255" s="321"/>
    </row>
    <row r="256" spans="1:10" x14ac:dyDescent="0.25">
      <c r="A256" s="303"/>
      <c r="B256" s="333" t="s">
        <v>346</v>
      </c>
      <c r="C256" s="317"/>
      <c r="D256" s="346"/>
      <c r="E256" s="320"/>
      <c r="F256" s="320"/>
      <c r="G256" s="320"/>
      <c r="H256" s="332"/>
      <c r="I256" s="320"/>
      <c r="J256" s="321"/>
    </row>
    <row r="257" spans="1:10" x14ac:dyDescent="0.25">
      <c r="A257" s="303"/>
      <c r="B257" s="333" t="s">
        <v>346</v>
      </c>
      <c r="C257" s="317"/>
      <c r="D257" s="346"/>
      <c r="E257" s="320"/>
      <c r="F257" s="320"/>
      <c r="G257" s="320"/>
      <c r="H257" s="332"/>
      <c r="I257" s="320"/>
      <c r="J257" s="321"/>
    </row>
    <row r="258" spans="1:10" x14ac:dyDescent="0.25">
      <c r="A258" s="303"/>
      <c r="B258" s="310"/>
      <c r="C258" s="334"/>
      <c r="D258" s="312"/>
      <c r="E258" s="313"/>
      <c r="F258" s="313"/>
      <c r="G258" s="313"/>
      <c r="H258" s="313"/>
      <c r="I258" s="338" t="s">
        <v>513</v>
      </c>
      <c r="J258" s="315">
        <v>0</v>
      </c>
    </row>
    <row r="259" spans="1:10" x14ac:dyDescent="0.25">
      <c r="A259" s="303"/>
      <c r="B259" s="310" t="s">
        <v>514</v>
      </c>
      <c r="C259" s="334"/>
      <c r="D259" s="312"/>
      <c r="E259" s="313"/>
      <c r="F259" s="313"/>
      <c r="G259" s="313"/>
      <c r="H259" s="313"/>
      <c r="I259" s="313"/>
      <c r="J259" s="315">
        <v>0.2354</v>
      </c>
    </row>
    <row r="260" spans="1:10" x14ac:dyDescent="0.25">
      <c r="A260" s="303"/>
      <c r="B260" s="310" t="s">
        <v>515</v>
      </c>
      <c r="C260" s="334"/>
      <c r="D260" s="312">
        <v>0</v>
      </c>
      <c r="E260" s="313"/>
      <c r="F260" s="313"/>
      <c r="G260" s="313"/>
      <c r="H260" s="313"/>
      <c r="I260" s="313"/>
      <c r="J260" s="315">
        <v>0</v>
      </c>
    </row>
    <row r="261" spans="1:10" ht="14.4" thickBot="1" x14ac:dyDescent="0.3">
      <c r="A261" s="303"/>
      <c r="B261" s="310" t="s">
        <v>516</v>
      </c>
      <c r="C261" s="334"/>
      <c r="D261" s="312"/>
      <c r="E261" s="313"/>
      <c r="F261" s="313"/>
      <c r="G261" s="313"/>
      <c r="H261" s="313"/>
      <c r="I261" s="313"/>
      <c r="J261" s="347">
        <v>0.24</v>
      </c>
    </row>
    <row r="262" spans="1:10" x14ac:dyDescent="0.25">
      <c r="A262" s="303"/>
      <c r="B262" s="304"/>
      <c r="C262" s="305"/>
      <c r="D262" s="348"/>
      <c r="E262" s="308"/>
      <c r="F262" s="308"/>
      <c r="G262" s="308"/>
      <c r="H262" s="308"/>
      <c r="I262" s="308"/>
      <c r="J262" s="309"/>
    </row>
    <row r="263" spans="1:10" x14ac:dyDescent="0.25">
      <c r="A263" s="303"/>
      <c r="B263" s="316"/>
      <c r="C263" s="303"/>
      <c r="D263" s="318"/>
      <c r="E263" s="319"/>
      <c r="F263" s="319"/>
      <c r="G263" s="319"/>
      <c r="H263" s="319"/>
      <c r="I263" s="319"/>
      <c r="J263" s="349"/>
    </row>
    <row r="264" spans="1:10" x14ac:dyDescent="0.25">
      <c r="A264" s="303"/>
      <c r="B264" s="316"/>
      <c r="C264" s="303"/>
      <c r="D264" s="318"/>
      <c r="E264" s="319"/>
      <c r="F264" s="319"/>
      <c r="G264" s="319"/>
      <c r="H264" s="319"/>
      <c r="I264" s="319"/>
      <c r="J264" s="349"/>
    </row>
    <row r="265" spans="1:10" ht="14.4" thickBot="1" x14ac:dyDescent="0.3">
      <c r="A265" s="303"/>
      <c r="B265" s="350"/>
      <c r="C265" s="303"/>
      <c r="D265" s="318"/>
      <c r="E265" s="319"/>
      <c r="F265" s="319"/>
      <c r="G265" s="319"/>
      <c r="H265" s="319"/>
      <c r="I265" s="319"/>
      <c r="J265" s="351"/>
    </row>
    <row r="266" spans="1:10" x14ac:dyDescent="0.25">
      <c r="A266" s="303"/>
      <c r="B266" s="305"/>
      <c r="C266" s="305"/>
      <c r="D266" s="348"/>
      <c r="E266" s="308"/>
      <c r="F266" s="308"/>
      <c r="G266" s="308"/>
      <c r="H266" s="308"/>
      <c r="I266" s="308"/>
      <c r="J266" s="352"/>
    </row>
    <row r="267" spans="1:10" ht="14.4" thickBot="1" x14ac:dyDescent="0.3">
      <c r="A267" s="303"/>
      <c r="B267" s="303"/>
      <c r="C267" s="303"/>
      <c r="D267" s="318"/>
      <c r="E267" s="319"/>
      <c r="F267" s="319"/>
      <c r="G267" s="319"/>
      <c r="H267" s="319"/>
      <c r="I267" s="319"/>
      <c r="J267" s="353"/>
    </row>
    <row r="268" spans="1:10" x14ac:dyDescent="0.25">
      <c r="A268" s="303"/>
      <c r="B268" s="304"/>
      <c r="C268" s="305"/>
      <c r="D268" s="306" t="s">
        <v>463</v>
      </c>
      <c r="E268" s="307"/>
      <c r="F268" s="307"/>
      <c r="G268" s="308"/>
      <c r="H268" s="308"/>
      <c r="I268" s="308"/>
      <c r="J268" s="309"/>
    </row>
    <row r="269" spans="1:10" x14ac:dyDescent="0.25">
      <c r="A269" s="303"/>
      <c r="B269" s="310" t="s">
        <v>464</v>
      </c>
      <c r="C269" s="311" t="s">
        <v>134</v>
      </c>
      <c r="D269" s="312"/>
      <c r="E269" s="313"/>
      <c r="F269" s="313"/>
      <c r="G269" s="313"/>
      <c r="H269" s="314"/>
      <c r="I269" s="313"/>
      <c r="J269" s="315" t="s">
        <v>465</v>
      </c>
    </row>
    <row r="270" spans="1:10" x14ac:dyDescent="0.25">
      <c r="A270" s="303"/>
      <c r="B270" s="316">
        <v>4011463</v>
      </c>
      <c r="C270" s="317" t="s">
        <v>369</v>
      </c>
      <c r="D270" s="318"/>
      <c r="E270" s="319"/>
      <c r="F270" s="319"/>
      <c r="G270" s="319"/>
      <c r="H270" s="320"/>
      <c r="I270" s="319"/>
      <c r="J270" s="321" t="s">
        <v>370</v>
      </c>
    </row>
    <row r="271" spans="1:10" x14ac:dyDescent="0.25">
      <c r="A271" s="303"/>
      <c r="B271" s="310"/>
      <c r="C271" s="311"/>
      <c r="D271" s="312"/>
      <c r="E271" s="314"/>
      <c r="F271" s="314" t="s">
        <v>466</v>
      </c>
      <c r="G271" s="314"/>
      <c r="H271" s="314" t="s">
        <v>467</v>
      </c>
      <c r="I271" s="314"/>
      <c r="J271" s="322" t="s">
        <v>468</v>
      </c>
    </row>
    <row r="272" spans="1:10" x14ac:dyDescent="0.25">
      <c r="A272" s="303"/>
      <c r="B272" s="316" t="s">
        <v>464</v>
      </c>
      <c r="C272" s="317" t="s">
        <v>469</v>
      </c>
      <c r="D272" s="318"/>
      <c r="E272" s="323" t="s">
        <v>355</v>
      </c>
      <c r="F272" s="324" t="s">
        <v>470</v>
      </c>
      <c r="G272" s="324" t="s">
        <v>471</v>
      </c>
      <c r="H272" s="324" t="s">
        <v>472</v>
      </c>
      <c r="I272" s="325" t="s">
        <v>473</v>
      </c>
      <c r="J272" s="326" t="s">
        <v>474</v>
      </c>
    </row>
    <row r="273" spans="1:10" x14ac:dyDescent="0.25">
      <c r="A273" s="303"/>
      <c r="B273" s="327" t="s">
        <v>534</v>
      </c>
      <c r="C273" s="311" t="s">
        <v>535</v>
      </c>
      <c r="D273" s="312"/>
      <c r="E273" s="328">
        <v>1</v>
      </c>
      <c r="F273" s="328">
        <v>1</v>
      </c>
      <c r="G273" s="328">
        <v>0</v>
      </c>
      <c r="H273" s="329">
        <v>205.87729999999999</v>
      </c>
      <c r="I273" s="329">
        <v>86.554900000000004</v>
      </c>
      <c r="J273" s="315">
        <v>205.87729999999999</v>
      </c>
    </row>
    <row r="274" spans="1:10" x14ac:dyDescent="0.25">
      <c r="A274" s="303"/>
      <c r="B274" s="330" t="s">
        <v>536</v>
      </c>
      <c r="C274" s="317" t="s">
        <v>537</v>
      </c>
      <c r="D274" s="318"/>
      <c r="E274" s="331">
        <v>1</v>
      </c>
      <c r="F274" s="331">
        <v>0.82</v>
      </c>
      <c r="G274" s="331">
        <v>0.18</v>
      </c>
      <c r="H274" s="332">
        <v>202.0949</v>
      </c>
      <c r="I274" s="332">
        <v>71.752700000000004</v>
      </c>
      <c r="J274" s="321">
        <v>178.63329999999999</v>
      </c>
    </row>
    <row r="275" spans="1:10" x14ac:dyDescent="0.25">
      <c r="A275" s="303"/>
      <c r="B275" s="330" t="s">
        <v>538</v>
      </c>
      <c r="C275" s="317" t="s">
        <v>539</v>
      </c>
      <c r="D275" s="318"/>
      <c r="E275" s="331">
        <v>1</v>
      </c>
      <c r="F275" s="331">
        <v>0.71</v>
      </c>
      <c r="G275" s="331">
        <v>0.28999999999999998</v>
      </c>
      <c r="H275" s="332">
        <v>160.59100000000001</v>
      </c>
      <c r="I275" s="332">
        <v>74.147900000000007</v>
      </c>
      <c r="J275" s="321">
        <v>135.52250000000001</v>
      </c>
    </row>
    <row r="276" spans="1:10" x14ac:dyDescent="0.25">
      <c r="A276" s="303"/>
      <c r="B276" s="333" t="s">
        <v>346</v>
      </c>
      <c r="C276" s="317"/>
      <c r="D276" s="318"/>
      <c r="E276" s="331"/>
      <c r="F276" s="331"/>
      <c r="G276" s="331"/>
      <c r="H276" s="332"/>
      <c r="I276" s="332"/>
      <c r="J276" s="321"/>
    </row>
    <row r="277" spans="1:10" x14ac:dyDescent="0.25">
      <c r="A277" s="303"/>
      <c r="B277" s="333" t="s">
        <v>346</v>
      </c>
      <c r="C277" s="317"/>
      <c r="D277" s="318"/>
      <c r="E277" s="331"/>
      <c r="F277" s="331"/>
      <c r="G277" s="331"/>
      <c r="H277" s="332"/>
      <c r="I277" s="332"/>
      <c r="J277" s="321"/>
    </row>
    <row r="278" spans="1:10" x14ac:dyDescent="0.25">
      <c r="A278" s="303"/>
      <c r="B278" s="333" t="s">
        <v>346</v>
      </c>
      <c r="C278" s="317"/>
      <c r="D278" s="318"/>
      <c r="E278" s="331"/>
      <c r="F278" s="331"/>
      <c r="G278" s="331"/>
      <c r="H278" s="332"/>
      <c r="I278" s="332"/>
      <c r="J278" s="321"/>
    </row>
    <row r="279" spans="1:10" x14ac:dyDescent="0.25">
      <c r="A279" s="303"/>
      <c r="B279" s="333" t="s">
        <v>346</v>
      </c>
      <c r="C279" s="317"/>
      <c r="D279" s="318"/>
      <c r="E279" s="331"/>
      <c r="F279" s="331"/>
      <c r="G279" s="331"/>
      <c r="H279" s="332"/>
      <c r="I279" s="332"/>
      <c r="J279" s="321"/>
    </row>
    <row r="280" spans="1:10" x14ac:dyDescent="0.25">
      <c r="A280" s="303"/>
      <c r="B280" s="310"/>
      <c r="C280" s="334"/>
      <c r="D280" s="312"/>
      <c r="E280" s="313"/>
      <c r="F280" s="313"/>
      <c r="G280" s="313"/>
      <c r="H280" s="313"/>
      <c r="I280" s="335" t="s">
        <v>479</v>
      </c>
      <c r="J280" s="315">
        <v>520.03309999999999</v>
      </c>
    </row>
    <row r="281" spans="1:10" x14ac:dyDescent="0.25">
      <c r="A281" s="303"/>
      <c r="B281" s="310" t="s">
        <v>464</v>
      </c>
      <c r="C281" s="311" t="s">
        <v>480</v>
      </c>
      <c r="D281" s="312"/>
      <c r="E281" s="313"/>
      <c r="F281" s="313"/>
      <c r="G281" s="313"/>
      <c r="H281" s="324" t="s">
        <v>355</v>
      </c>
      <c r="I281" s="336" t="s">
        <v>481</v>
      </c>
      <c r="J281" s="322" t="s">
        <v>331</v>
      </c>
    </row>
    <row r="282" spans="1:10" x14ac:dyDescent="0.25">
      <c r="A282" s="303"/>
      <c r="B282" s="337" t="s">
        <v>482</v>
      </c>
      <c r="C282" s="311" t="s">
        <v>483</v>
      </c>
      <c r="D282" s="312"/>
      <c r="E282" s="313"/>
      <c r="F282" s="313"/>
      <c r="G282" s="313"/>
      <c r="H282" s="314">
        <v>8</v>
      </c>
      <c r="I282" s="329">
        <v>17.768000000000001</v>
      </c>
      <c r="J282" s="315">
        <v>142.14400000000001</v>
      </c>
    </row>
    <row r="283" spans="1:10" x14ac:dyDescent="0.25">
      <c r="A283" s="303"/>
      <c r="B283" s="333" t="s">
        <v>346</v>
      </c>
      <c r="C283" s="317"/>
      <c r="D283" s="318"/>
      <c r="E283" s="319"/>
      <c r="F283" s="319"/>
      <c r="G283" s="319"/>
      <c r="H283" s="320"/>
      <c r="I283" s="332"/>
      <c r="J283" s="321"/>
    </row>
    <row r="284" spans="1:10" x14ac:dyDescent="0.25">
      <c r="A284" s="303"/>
      <c r="B284" s="333" t="s">
        <v>346</v>
      </c>
      <c r="C284" s="317"/>
      <c r="D284" s="318"/>
      <c r="E284" s="319"/>
      <c r="F284" s="319"/>
      <c r="G284" s="319"/>
      <c r="H284" s="320"/>
      <c r="I284" s="332"/>
      <c r="J284" s="321"/>
    </row>
    <row r="285" spans="1:10" x14ac:dyDescent="0.25">
      <c r="A285" s="303"/>
      <c r="B285" s="333" t="s">
        <v>346</v>
      </c>
      <c r="C285" s="317"/>
      <c r="D285" s="318"/>
      <c r="E285" s="319"/>
      <c r="F285" s="319"/>
      <c r="G285" s="319"/>
      <c r="H285" s="320"/>
      <c r="I285" s="332"/>
      <c r="J285" s="321"/>
    </row>
    <row r="286" spans="1:10" x14ac:dyDescent="0.25">
      <c r="A286" s="303"/>
      <c r="B286" s="333" t="s">
        <v>346</v>
      </c>
      <c r="C286" s="317"/>
      <c r="D286" s="318"/>
      <c r="E286" s="319"/>
      <c r="F286" s="319"/>
      <c r="G286" s="319"/>
      <c r="H286" s="320"/>
      <c r="I286" s="332"/>
      <c r="J286" s="321"/>
    </row>
    <row r="287" spans="1:10" x14ac:dyDescent="0.25">
      <c r="A287" s="303"/>
      <c r="B287" s="333" t="s">
        <v>346</v>
      </c>
      <c r="C287" s="317"/>
      <c r="D287" s="318"/>
      <c r="E287" s="319"/>
      <c r="F287" s="319"/>
      <c r="G287" s="319"/>
      <c r="H287" s="320"/>
      <c r="I287" s="332"/>
      <c r="J287" s="321"/>
    </row>
    <row r="288" spans="1:10" x14ac:dyDescent="0.25">
      <c r="A288" s="303"/>
      <c r="B288" s="333" t="s">
        <v>346</v>
      </c>
      <c r="C288" s="317"/>
      <c r="D288" s="318"/>
      <c r="E288" s="319"/>
      <c r="F288" s="319"/>
      <c r="G288" s="319"/>
      <c r="H288" s="320"/>
      <c r="I288" s="332"/>
      <c r="J288" s="321"/>
    </row>
    <row r="289" spans="1:10" x14ac:dyDescent="0.25">
      <c r="A289" s="303"/>
      <c r="B289" s="310"/>
      <c r="C289" s="334"/>
      <c r="D289" s="312"/>
      <c r="E289" s="313"/>
      <c r="F289" s="313"/>
      <c r="G289" s="313"/>
      <c r="H289" s="313"/>
      <c r="I289" s="338" t="s">
        <v>484</v>
      </c>
      <c r="J289" s="315">
        <v>142.14400000000001</v>
      </c>
    </row>
    <row r="290" spans="1:10" x14ac:dyDescent="0.25">
      <c r="A290" s="303"/>
      <c r="B290" s="339"/>
      <c r="C290" s="334"/>
      <c r="D290" s="312"/>
      <c r="E290" s="313"/>
      <c r="F290" s="313"/>
      <c r="G290" s="313"/>
      <c r="H290" s="313"/>
      <c r="I290" s="338" t="s">
        <v>485</v>
      </c>
      <c r="J290" s="340">
        <v>662.1771</v>
      </c>
    </row>
    <row r="291" spans="1:10" x14ac:dyDescent="0.25">
      <c r="A291" s="303"/>
      <c r="B291" s="339"/>
      <c r="C291" s="341" t="s">
        <v>486</v>
      </c>
      <c r="D291" s="312">
        <v>99.6</v>
      </c>
      <c r="E291" s="313"/>
      <c r="F291" s="313"/>
      <c r="G291" s="313"/>
      <c r="H291" s="313"/>
      <c r="I291" s="338" t="s">
        <v>487</v>
      </c>
      <c r="J291" s="340">
        <v>6.6483999999999996</v>
      </c>
    </row>
    <row r="292" spans="1:10" x14ac:dyDescent="0.25">
      <c r="A292" s="303"/>
      <c r="B292" s="310"/>
      <c r="C292" s="334"/>
      <c r="D292" s="312"/>
      <c r="E292" s="313"/>
      <c r="F292" s="313"/>
      <c r="G292" s="313"/>
      <c r="H292" s="338" t="s">
        <v>488</v>
      </c>
      <c r="I292" s="342">
        <v>4.6299999999999996E-3</v>
      </c>
      <c r="J292" s="315">
        <v>3.0800000000000001E-2</v>
      </c>
    </row>
    <row r="293" spans="1:10" x14ac:dyDescent="0.25">
      <c r="A293" s="303"/>
      <c r="B293" s="310"/>
      <c r="C293" s="334"/>
      <c r="D293" s="312"/>
      <c r="E293" s="313"/>
      <c r="F293" s="313"/>
      <c r="G293" s="313"/>
      <c r="H293" s="335" t="s">
        <v>489</v>
      </c>
      <c r="I293" s="343">
        <v>0</v>
      </c>
      <c r="J293" s="315">
        <v>0</v>
      </c>
    </row>
    <row r="294" spans="1:10" x14ac:dyDescent="0.25">
      <c r="A294" s="303"/>
      <c r="B294" s="310" t="s">
        <v>464</v>
      </c>
      <c r="C294" s="311" t="s">
        <v>490</v>
      </c>
      <c r="D294" s="312"/>
      <c r="E294" s="313"/>
      <c r="F294" s="313"/>
      <c r="G294" s="314" t="s">
        <v>465</v>
      </c>
      <c r="H294" s="336" t="s">
        <v>468</v>
      </c>
      <c r="I294" s="336" t="s">
        <v>491</v>
      </c>
      <c r="J294" s="322" t="s">
        <v>492</v>
      </c>
    </row>
    <row r="295" spans="1:10" x14ac:dyDescent="0.25">
      <c r="A295" s="303"/>
      <c r="B295" s="337" t="s">
        <v>346</v>
      </c>
      <c r="C295" s="311"/>
      <c r="D295" s="312"/>
      <c r="E295" s="313"/>
      <c r="F295" s="313"/>
      <c r="G295" s="314"/>
      <c r="H295" s="329"/>
      <c r="I295" s="329"/>
      <c r="J295" s="315"/>
    </row>
    <row r="296" spans="1:10" x14ac:dyDescent="0.25">
      <c r="A296" s="303"/>
      <c r="B296" s="333" t="s">
        <v>346</v>
      </c>
      <c r="C296" s="317"/>
      <c r="D296" s="318"/>
      <c r="E296" s="319"/>
      <c r="F296" s="319"/>
      <c r="G296" s="320"/>
      <c r="H296" s="332"/>
      <c r="I296" s="332"/>
      <c r="J296" s="321"/>
    </row>
    <row r="297" spans="1:10" x14ac:dyDescent="0.25">
      <c r="A297" s="303"/>
      <c r="B297" s="333" t="s">
        <v>346</v>
      </c>
      <c r="C297" s="317"/>
      <c r="D297" s="318"/>
      <c r="E297" s="319"/>
      <c r="F297" s="319"/>
      <c r="G297" s="320"/>
      <c r="H297" s="332"/>
      <c r="I297" s="332"/>
      <c r="J297" s="321"/>
    </row>
    <row r="298" spans="1:10" x14ac:dyDescent="0.25">
      <c r="A298" s="303"/>
      <c r="B298" s="333" t="s">
        <v>346</v>
      </c>
      <c r="C298" s="317"/>
      <c r="D298" s="318"/>
      <c r="E298" s="319"/>
      <c r="F298" s="319"/>
      <c r="G298" s="320"/>
      <c r="H298" s="332"/>
      <c r="I298" s="332"/>
      <c r="J298" s="321"/>
    </row>
    <row r="299" spans="1:10" x14ac:dyDescent="0.25">
      <c r="A299" s="303"/>
      <c r="B299" s="333" t="s">
        <v>346</v>
      </c>
      <c r="C299" s="317"/>
      <c r="D299" s="318"/>
      <c r="E299" s="319"/>
      <c r="F299" s="319"/>
      <c r="G299" s="320"/>
      <c r="H299" s="332"/>
      <c r="I299" s="332"/>
      <c r="J299" s="321"/>
    </row>
    <row r="300" spans="1:10" x14ac:dyDescent="0.25">
      <c r="A300" s="303"/>
      <c r="B300" s="333" t="s">
        <v>346</v>
      </c>
      <c r="C300" s="317"/>
      <c r="D300" s="318"/>
      <c r="E300" s="319"/>
      <c r="F300" s="319"/>
      <c r="G300" s="320"/>
      <c r="H300" s="332"/>
      <c r="I300" s="332"/>
      <c r="J300" s="321"/>
    </row>
    <row r="301" spans="1:10" x14ac:dyDescent="0.25">
      <c r="A301" s="303"/>
      <c r="B301" s="310"/>
      <c r="C301" s="334"/>
      <c r="D301" s="312"/>
      <c r="E301" s="313"/>
      <c r="F301" s="313"/>
      <c r="G301" s="313"/>
      <c r="H301" s="343"/>
      <c r="I301" s="335" t="s">
        <v>498</v>
      </c>
      <c r="J301" s="315">
        <v>0</v>
      </c>
    </row>
    <row r="302" spans="1:10" x14ac:dyDescent="0.25">
      <c r="A302" s="303"/>
      <c r="B302" s="310" t="s">
        <v>464</v>
      </c>
      <c r="C302" s="311" t="s">
        <v>499</v>
      </c>
      <c r="D302" s="312"/>
      <c r="E302" s="313"/>
      <c r="F302" s="313"/>
      <c r="G302" s="314" t="s">
        <v>465</v>
      </c>
      <c r="H302" s="336" t="s">
        <v>468</v>
      </c>
      <c r="I302" s="336" t="s">
        <v>491</v>
      </c>
      <c r="J302" s="322" t="s">
        <v>492</v>
      </c>
    </row>
    <row r="303" spans="1:10" x14ac:dyDescent="0.25">
      <c r="A303" s="303"/>
      <c r="B303" s="337">
        <v>6416078</v>
      </c>
      <c r="C303" s="311" t="s">
        <v>540</v>
      </c>
      <c r="D303" s="312"/>
      <c r="E303" s="313"/>
      <c r="F303" s="313"/>
      <c r="G303" s="314" t="s">
        <v>370</v>
      </c>
      <c r="H303" s="329">
        <v>174.02</v>
      </c>
      <c r="I303" s="329">
        <v>1.02</v>
      </c>
      <c r="J303" s="315">
        <v>177.50040000000001</v>
      </c>
    </row>
    <row r="304" spans="1:10" x14ac:dyDescent="0.25">
      <c r="A304" s="303"/>
      <c r="B304" s="333"/>
      <c r="C304" s="317"/>
      <c r="D304" s="318"/>
      <c r="E304" s="319"/>
      <c r="F304" s="319"/>
      <c r="G304" s="320"/>
      <c r="H304" s="332"/>
      <c r="I304" s="332"/>
      <c r="J304" s="321"/>
    </row>
    <row r="305" spans="1:10" x14ac:dyDescent="0.25">
      <c r="A305" s="303"/>
      <c r="B305" s="333"/>
      <c r="C305" s="317"/>
      <c r="D305" s="318"/>
      <c r="E305" s="319"/>
      <c r="F305" s="319"/>
      <c r="G305" s="320"/>
      <c r="H305" s="332"/>
      <c r="I305" s="332"/>
      <c r="J305" s="321"/>
    </row>
    <row r="306" spans="1:10" x14ac:dyDescent="0.25">
      <c r="A306" s="303"/>
      <c r="B306" s="333"/>
      <c r="C306" s="317"/>
      <c r="D306" s="318"/>
      <c r="E306" s="319"/>
      <c r="F306" s="319"/>
      <c r="G306" s="320"/>
      <c r="H306" s="332"/>
      <c r="I306" s="332"/>
      <c r="J306" s="321"/>
    </row>
    <row r="307" spans="1:10" x14ac:dyDescent="0.25">
      <c r="A307" s="303"/>
      <c r="B307" s="333"/>
      <c r="C307" s="317"/>
      <c r="D307" s="318"/>
      <c r="E307" s="319"/>
      <c r="F307" s="319"/>
      <c r="G307" s="320"/>
      <c r="H307" s="332"/>
      <c r="I307" s="332"/>
      <c r="J307" s="321"/>
    </row>
    <row r="308" spans="1:10" x14ac:dyDescent="0.25">
      <c r="A308" s="303"/>
      <c r="B308" s="310"/>
      <c r="C308" s="334"/>
      <c r="D308" s="312"/>
      <c r="E308" s="313"/>
      <c r="F308" s="313"/>
      <c r="G308" s="313"/>
      <c r="H308" s="343"/>
      <c r="I308" s="335" t="s">
        <v>501</v>
      </c>
      <c r="J308" s="315">
        <v>177.50040000000001</v>
      </c>
    </row>
    <row r="309" spans="1:10" x14ac:dyDescent="0.25">
      <c r="A309" s="303"/>
      <c r="B309" s="310" t="s">
        <v>464</v>
      </c>
      <c r="C309" s="311" t="s">
        <v>502</v>
      </c>
      <c r="D309" s="312"/>
      <c r="E309" s="313"/>
      <c r="F309" s="314" t="s">
        <v>464</v>
      </c>
      <c r="G309" s="324" t="s">
        <v>503</v>
      </c>
      <c r="H309" s="329" t="s">
        <v>465</v>
      </c>
      <c r="I309" s="336" t="s">
        <v>468</v>
      </c>
      <c r="J309" s="322" t="s">
        <v>492</v>
      </c>
    </row>
    <row r="310" spans="1:10" x14ac:dyDescent="0.25">
      <c r="A310" s="303"/>
      <c r="B310" s="337">
        <v>560784649</v>
      </c>
      <c r="C310" s="311" t="s">
        <v>541</v>
      </c>
      <c r="D310" s="312"/>
      <c r="E310" s="313"/>
      <c r="F310" s="344" t="s">
        <v>542</v>
      </c>
      <c r="G310" s="314">
        <v>1.02</v>
      </c>
      <c r="H310" s="329" t="s">
        <v>370</v>
      </c>
      <c r="I310" s="329">
        <v>5.42</v>
      </c>
      <c r="J310" s="315">
        <v>5.5284000000000004</v>
      </c>
    </row>
    <row r="311" spans="1:10" x14ac:dyDescent="0.25">
      <c r="A311" s="303"/>
      <c r="B311" s="333" t="s">
        <v>346</v>
      </c>
      <c r="C311" s="317"/>
      <c r="D311" s="318"/>
      <c r="E311" s="319"/>
      <c r="F311" s="320"/>
      <c r="G311" s="320"/>
      <c r="H311" s="332"/>
      <c r="I311" s="332"/>
      <c r="J311" s="321"/>
    </row>
    <row r="312" spans="1:10" x14ac:dyDescent="0.25">
      <c r="A312" s="303"/>
      <c r="B312" s="333" t="s">
        <v>346</v>
      </c>
      <c r="C312" s="317"/>
      <c r="D312" s="318"/>
      <c r="E312" s="319"/>
      <c r="F312" s="320"/>
      <c r="G312" s="320"/>
      <c r="H312" s="332"/>
      <c r="I312" s="332"/>
      <c r="J312" s="321"/>
    </row>
    <row r="313" spans="1:10" x14ac:dyDescent="0.25">
      <c r="A313" s="303"/>
      <c r="B313" s="333" t="s">
        <v>346</v>
      </c>
      <c r="C313" s="317"/>
      <c r="D313" s="318"/>
      <c r="E313" s="319"/>
      <c r="F313" s="320"/>
      <c r="G313" s="320"/>
      <c r="H313" s="332"/>
      <c r="I313" s="332"/>
      <c r="J313" s="321"/>
    </row>
    <row r="314" spans="1:10" x14ac:dyDescent="0.25">
      <c r="A314" s="303"/>
      <c r="B314" s="333" t="s">
        <v>346</v>
      </c>
      <c r="C314" s="317"/>
      <c r="D314" s="318"/>
      <c r="E314" s="319"/>
      <c r="F314" s="320"/>
      <c r="G314" s="320"/>
      <c r="H314" s="332"/>
      <c r="I314" s="332"/>
      <c r="J314" s="321"/>
    </row>
    <row r="315" spans="1:10" x14ac:dyDescent="0.25">
      <c r="A315" s="303"/>
      <c r="B315" s="310"/>
      <c r="C315" s="334"/>
      <c r="D315" s="312"/>
      <c r="E315" s="313"/>
      <c r="F315" s="313"/>
      <c r="G315" s="313"/>
      <c r="H315" s="343"/>
      <c r="I315" s="338" t="s">
        <v>507</v>
      </c>
      <c r="J315" s="315">
        <v>5.5284000000000004</v>
      </c>
    </row>
    <row r="316" spans="1:10" x14ac:dyDescent="0.25">
      <c r="A316" s="303"/>
      <c r="B316" s="310" t="s">
        <v>464</v>
      </c>
      <c r="C316" s="311" t="s">
        <v>508</v>
      </c>
      <c r="D316" s="345" t="s">
        <v>509</v>
      </c>
      <c r="E316" s="324" t="s">
        <v>873</v>
      </c>
      <c r="F316" s="324" t="s">
        <v>874</v>
      </c>
      <c r="G316" s="324" t="s">
        <v>875</v>
      </c>
      <c r="H316" s="336" t="s">
        <v>468</v>
      </c>
      <c r="I316" s="324" t="s">
        <v>491</v>
      </c>
      <c r="J316" s="322" t="s">
        <v>492</v>
      </c>
    </row>
    <row r="317" spans="1:10" x14ac:dyDescent="0.25">
      <c r="A317" s="303"/>
      <c r="B317" s="337">
        <v>416078</v>
      </c>
      <c r="C317" s="311" t="s">
        <v>543</v>
      </c>
      <c r="D317" s="345" t="s">
        <v>510</v>
      </c>
      <c r="E317" s="314">
        <v>0</v>
      </c>
      <c r="F317" s="314">
        <v>0</v>
      </c>
      <c r="G317" s="314">
        <v>25.11</v>
      </c>
      <c r="H317" s="329">
        <v>0.55000000000000004</v>
      </c>
      <c r="I317" s="314">
        <v>1.02</v>
      </c>
      <c r="J317" s="315">
        <v>14.0867</v>
      </c>
    </row>
    <row r="318" spans="1:10" x14ac:dyDescent="0.25">
      <c r="A318" s="303"/>
      <c r="B318" s="333" t="s">
        <v>346</v>
      </c>
      <c r="C318" s="317"/>
      <c r="D318" s="346"/>
      <c r="E318" s="320"/>
      <c r="F318" s="320"/>
      <c r="G318" s="320"/>
      <c r="H318" s="332"/>
      <c r="I318" s="320"/>
      <c r="J318" s="321"/>
    </row>
    <row r="319" spans="1:10" x14ac:dyDescent="0.25">
      <c r="A319" s="303"/>
      <c r="B319" s="333" t="s">
        <v>346</v>
      </c>
      <c r="C319" s="317"/>
      <c r="D319" s="346"/>
      <c r="E319" s="320"/>
      <c r="F319" s="320"/>
      <c r="G319" s="320"/>
      <c r="H319" s="332"/>
      <c r="I319" s="320"/>
      <c r="J319" s="321"/>
    </row>
    <row r="320" spans="1:10" x14ac:dyDescent="0.25">
      <c r="A320" s="303"/>
      <c r="B320" s="333" t="s">
        <v>346</v>
      </c>
      <c r="C320" s="317"/>
      <c r="D320" s="346"/>
      <c r="E320" s="320"/>
      <c r="F320" s="320"/>
      <c r="G320" s="320"/>
      <c r="H320" s="332"/>
      <c r="I320" s="320"/>
      <c r="J320" s="321"/>
    </row>
    <row r="321" spans="1:10" x14ac:dyDescent="0.25">
      <c r="A321" s="303"/>
      <c r="B321" s="333" t="s">
        <v>346</v>
      </c>
      <c r="C321" s="317"/>
      <c r="D321" s="346"/>
      <c r="E321" s="320"/>
      <c r="F321" s="320"/>
      <c r="G321" s="320"/>
      <c r="H321" s="332"/>
      <c r="I321" s="320"/>
      <c r="J321" s="321"/>
    </row>
    <row r="322" spans="1:10" x14ac:dyDescent="0.25">
      <c r="A322" s="303"/>
      <c r="B322" s="333" t="s">
        <v>346</v>
      </c>
      <c r="C322" s="317"/>
      <c r="D322" s="346"/>
      <c r="E322" s="320"/>
      <c r="F322" s="320"/>
      <c r="G322" s="320"/>
      <c r="H322" s="332"/>
      <c r="I322" s="320"/>
      <c r="J322" s="321"/>
    </row>
    <row r="323" spans="1:10" x14ac:dyDescent="0.25">
      <c r="A323" s="303"/>
      <c r="B323" s="333" t="s">
        <v>346</v>
      </c>
      <c r="C323" s="317"/>
      <c r="D323" s="346"/>
      <c r="E323" s="320"/>
      <c r="F323" s="320"/>
      <c r="G323" s="320"/>
      <c r="H323" s="332"/>
      <c r="I323" s="320"/>
      <c r="J323" s="321"/>
    </row>
    <row r="324" spans="1:10" x14ac:dyDescent="0.25">
      <c r="A324" s="303"/>
      <c r="B324" s="310"/>
      <c r="C324" s="334"/>
      <c r="D324" s="312"/>
      <c r="E324" s="313"/>
      <c r="F324" s="313"/>
      <c r="G324" s="313"/>
      <c r="H324" s="313"/>
      <c r="I324" s="338" t="s">
        <v>513</v>
      </c>
      <c r="J324" s="315">
        <v>14.0867</v>
      </c>
    </row>
    <row r="325" spans="1:10" x14ac:dyDescent="0.25">
      <c r="A325" s="303"/>
      <c r="B325" s="310" t="s">
        <v>514</v>
      </c>
      <c r="C325" s="334"/>
      <c r="D325" s="312"/>
      <c r="E325" s="313"/>
      <c r="F325" s="313"/>
      <c r="G325" s="313"/>
      <c r="H325" s="313"/>
      <c r="I325" s="313"/>
      <c r="J325" s="315">
        <v>203.79470000000003</v>
      </c>
    </row>
    <row r="326" spans="1:10" x14ac:dyDescent="0.25">
      <c r="A326" s="303"/>
      <c r="B326" s="310" t="s">
        <v>515</v>
      </c>
      <c r="C326" s="334"/>
      <c r="D326" s="312">
        <v>0</v>
      </c>
      <c r="E326" s="313"/>
      <c r="F326" s="313"/>
      <c r="G326" s="313"/>
      <c r="H326" s="313"/>
      <c r="I326" s="313"/>
      <c r="J326" s="315">
        <v>0</v>
      </c>
    </row>
    <row r="327" spans="1:10" ht="14.4" thickBot="1" x14ac:dyDescent="0.3">
      <c r="A327" s="303"/>
      <c r="B327" s="310" t="s">
        <v>516</v>
      </c>
      <c r="C327" s="334"/>
      <c r="D327" s="312"/>
      <c r="E327" s="313"/>
      <c r="F327" s="313"/>
      <c r="G327" s="313"/>
      <c r="H327" s="313"/>
      <c r="I327" s="313"/>
      <c r="J327" s="347">
        <v>203.79</v>
      </c>
    </row>
    <row r="328" spans="1:10" x14ac:dyDescent="0.25">
      <c r="A328" s="303"/>
      <c r="B328" s="304"/>
      <c r="C328" s="305"/>
      <c r="D328" s="348"/>
      <c r="E328" s="308"/>
      <c r="F328" s="308"/>
      <c r="G328" s="308"/>
      <c r="H328" s="308"/>
      <c r="I328" s="308"/>
      <c r="J328" s="309"/>
    </row>
    <row r="329" spans="1:10" x14ac:dyDescent="0.25">
      <c r="A329" s="303"/>
      <c r="B329" s="316"/>
      <c r="C329" s="303"/>
      <c r="D329" s="318"/>
      <c r="E329" s="319"/>
      <c r="F329" s="319"/>
      <c r="G329" s="319"/>
      <c r="H329" s="319"/>
      <c r="I329" s="319"/>
      <c r="J329" s="349"/>
    </row>
    <row r="330" spans="1:10" x14ac:dyDescent="0.25">
      <c r="A330" s="303"/>
      <c r="B330" s="316"/>
      <c r="C330" s="303"/>
      <c r="D330" s="318"/>
      <c r="E330" s="319"/>
      <c r="F330" s="319"/>
      <c r="G330" s="319"/>
      <c r="H330" s="319"/>
      <c r="I330" s="319"/>
      <c r="J330" s="349"/>
    </row>
    <row r="331" spans="1:10" ht="14.4" thickBot="1" x14ac:dyDescent="0.3">
      <c r="A331" s="303"/>
      <c r="B331" s="350"/>
      <c r="C331" s="303"/>
      <c r="D331" s="318"/>
      <c r="E331" s="319"/>
      <c r="F331" s="319"/>
      <c r="G331" s="319"/>
      <c r="H331" s="319"/>
      <c r="I331" s="319"/>
      <c r="J331" s="351"/>
    </row>
    <row r="332" spans="1:10" x14ac:dyDescent="0.25">
      <c r="A332" s="303"/>
      <c r="B332" s="305"/>
      <c r="C332" s="305"/>
      <c r="D332" s="348"/>
      <c r="E332" s="308"/>
      <c r="F332" s="308"/>
      <c r="G332" s="308"/>
      <c r="H332" s="308"/>
      <c r="I332" s="308"/>
      <c r="J332" s="352"/>
    </row>
    <row r="333" spans="1:10" ht="14.4" thickBot="1" x14ac:dyDescent="0.3">
      <c r="A333" s="303"/>
      <c r="B333" s="303"/>
      <c r="C333" s="303"/>
      <c r="D333" s="318"/>
      <c r="E333" s="319"/>
      <c r="F333" s="319"/>
      <c r="G333" s="319"/>
      <c r="H333" s="319"/>
      <c r="I333" s="319"/>
      <c r="J333" s="353"/>
    </row>
    <row r="334" spans="1:10" x14ac:dyDescent="0.25">
      <c r="A334" s="303"/>
      <c r="B334" s="304"/>
      <c r="C334" s="305"/>
      <c r="D334" s="306" t="s">
        <v>463</v>
      </c>
      <c r="E334" s="307"/>
      <c r="F334" s="307"/>
      <c r="G334" s="308"/>
      <c r="H334" s="308"/>
      <c r="I334" s="308"/>
      <c r="J334" s="309"/>
    </row>
    <row r="335" spans="1:10" x14ac:dyDescent="0.25">
      <c r="A335" s="303"/>
      <c r="B335" s="310" t="s">
        <v>464</v>
      </c>
      <c r="C335" s="311" t="s">
        <v>134</v>
      </c>
      <c r="D335" s="312"/>
      <c r="E335" s="313"/>
      <c r="F335" s="313"/>
      <c r="G335" s="313"/>
      <c r="H335" s="314"/>
      <c r="I335" s="313"/>
      <c r="J335" s="315" t="s">
        <v>465</v>
      </c>
    </row>
    <row r="336" spans="1:10" x14ac:dyDescent="0.25">
      <c r="A336" s="303"/>
      <c r="B336" s="316">
        <v>6416078</v>
      </c>
      <c r="C336" s="317" t="s">
        <v>424</v>
      </c>
      <c r="D336" s="318"/>
      <c r="E336" s="319"/>
      <c r="F336" s="319"/>
      <c r="G336" s="319"/>
      <c r="H336" s="320"/>
      <c r="I336" s="319"/>
      <c r="J336" s="321" t="s">
        <v>370</v>
      </c>
    </row>
    <row r="337" spans="1:10" x14ac:dyDescent="0.25">
      <c r="A337" s="303"/>
      <c r="B337" s="310"/>
      <c r="C337" s="311"/>
      <c r="D337" s="312"/>
      <c r="E337" s="314"/>
      <c r="F337" s="314" t="s">
        <v>466</v>
      </c>
      <c r="G337" s="314"/>
      <c r="H337" s="314" t="s">
        <v>467</v>
      </c>
      <c r="I337" s="314"/>
      <c r="J337" s="322" t="s">
        <v>468</v>
      </c>
    </row>
    <row r="338" spans="1:10" x14ac:dyDescent="0.25">
      <c r="A338" s="303"/>
      <c r="B338" s="316" t="s">
        <v>464</v>
      </c>
      <c r="C338" s="317" t="s">
        <v>469</v>
      </c>
      <c r="D338" s="318"/>
      <c r="E338" s="323" t="s">
        <v>355</v>
      </c>
      <c r="F338" s="324" t="s">
        <v>470</v>
      </c>
      <c r="G338" s="324" t="s">
        <v>471</v>
      </c>
      <c r="H338" s="324" t="s">
        <v>472</v>
      </c>
      <c r="I338" s="325" t="s">
        <v>473</v>
      </c>
      <c r="J338" s="326" t="s">
        <v>474</v>
      </c>
    </row>
    <row r="339" spans="1:10" x14ac:dyDescent="0.25">
      <c r="A339" s="303"/>
      <c r="B339" s="327" t="s">
        <v>544</v>
      </c>
      <c r="C339" s="311" t="s">
        <v>545</v>
      </c>
      <c r="D339" s="312"/>
      <c r="E339" s="328">
        <v>1</v>
      </c>
      <c r="F339" s="328">
        <v>1</v>
      </c>
      <c r="G339" s="328">
        <v>0</v>
      </c>
      <c r="H339" s="329">
        <v>313.72609999999997</v>
      </c>
      <c r="I339" s="329">
        <v>17.539200000000001</v>
      </c>
      <c r="J339" s="315">
        <v>313.72609999999997</v>
      </c>
    </row>
    <row r="340" spans="1:10" x14ac:dyDescent="0.25">
      <c r="A340" s="303"/>
      <c r="B340" s="330" t="s">
        <v>532</v>
      </c>
      <c r="C340" s="317" t="s">
        <v>533</v>
      </c>
      <c r="D340" s="318"/>
      <c r="E340" s="331">
        <v>2</v>
      </c>
      <c r="F340" s="331">
        <v>1</v>
      </c>
      <c r="G340" s="331">
        <v>0</v>
      </c>
      <c r="H340" s="332">
        <v>55.491999999999997</v>
      </c>
      <c r="I340" s="332">
        <v>37.523200000000003</v>
      </c>
      <c r="J340" s="321">
        <v>110.98399999999999</v>
      </c>
    </row>
    <row r="341" spans="1:10" x14ac:dyDescent="0.25">
      <c r="A341" s="303"/>
      <c r="B341" s="330" t="s">
        <v>546</v>
      </c>
      <c r="C341" s="317" t="s">
        <v>547</v>
      </c>
      <c r="D341" s="318"/>
      <c r="E341" s="331">
        <v>1</v>
      </c>
      <c r="F341" s="331">
        <v>1</v>
      </c>
      <c r="G341" s="331">
        <v>0</v>
      </c>
      <c r="H341" s="332">
        <v>62.5854</v>
      </c>
      <c r="I341" s="332">
        <v>36.1751</v>
      </c>
      <c r="J341" s="321">
        <v>62.5854</v>
      </c>
    </row>
    <row r="342" spans="1:10" x14ac:dyDescent="0.25">
      <c r="A342" s="303"/>
      <c r="B342" s="330" t="s">
        <v>548</v>
      </c>
      <c r="C342" s="317" t="s">
        <v>549</v>
      </c>
      <c r="D342" s="318"/>
      <c r="E342" s="331">
        <v>1</v>
      </c>
      <c r="F342" s="331">
        <v>0.8</v>
      </c>
      <c r="G342" s="331">
        <v>0.2</v>
      </c>
      <c r="H342" s="332">
        <v>134.09780000000001</v>
      </c>
      <c r="I342" s="332">
        <v>64.019599999999997</v>
      </c>
      <c r="J342" s="321">
        <v>120.0822</v>
      </c>
    </row>
    <row r="343" spans="1:10" x14ac:dyDescent="0.25">
      <c r="A343" s="303"/>
      <c r="B343" s="330" t="s">
        <v>550</v>
      </c>
      <c r="C343" s="317" t="s">
        <v>551</v>
      </c>
      <c r="D343" s="318"/>
      <c r="E343" s="331">
        <v>1</v>
      </c>
      <c r="F343" s="331">
        <v>1</v>
      </c>
      <c r="G343" s="331">
        <v>0</v>
      </c>
      <c r="H343" s="332">
        <v>949.25469999999996</v>
      </c>
      <c r="I343" s="332">
        <v>494.21839999999997</v>
      </c>
      <c r="J343" s="321">
        <v>949.25469999999996</v>
      </c>
    </row>
    <row r="344" spans="1:10" x14ac:dyDescent="0.25">
      <c r="A344" s="303"/>
      <c r="B344" s="333" t="s">
        <v>346</v>
      </c>
      <c r="C344" s="317"/>
      <c r="D344" s="318"/>
      <c r="E344" s="331"/>
      <c r="F344" s="331"/>
      <c r="G344" s="331"/>
      <c r="H344" s="332"/>
      <c r="I344" s="332"/>
      <c r="J344" s="321"/>
    </row>
    <row r="345" spans="1:10" x14ac:dyDescent="0.25">
      <c r="A345" s="303"/>
      <c r="B345" s="333" t="s">
        <v>346</v>
      </c>
      <c r="C345" s="317"/>
      <c r="D345" s="318"/>
      <c r="E345" s="331"/>
      <c r="F345" s="331"/>
      <c r="G345" s="331"/>
      <c r="H345" s="332"/>
      <c r="I345" s="332"/>
      <c r="J345" s="321"/>
    </row>
    <row r="346" spans="1:10" x14ac:dyDescent="0.25">
      <c r="A346" s="303"/>
      <c r="B346" s="310"/>
      <c r="C346" s="334"/>
      <c r="D346" s="312"/>
      <c r="E346" s="313"/>
      <c r="F346" s="313"/>
      <c r="G346" s="313"/>
      <c r="H346" s="313"/>
      <c r="I346" s="335" t="s">
        <v>479</v>
      </c>
      <c r="J346" s="315">
        <v>1556.6324</v>
      </c>
    </row>
    <row r="347" spans="1:10" x14ac:dyDescent="0.25">
      <c r="A347" s="303"/>
      <c r="B347" s="310" t="s">
        <v>464</v>
      </c>
      <c r="C347" s="311" t="s">
        <v>480</v>
      </c>
      <c r="D347" s="312"/>
      <c r="E347" s="313"/>
      <c r="F347" s="313"/>
      <c r="G347" s="313"/>
      <c r="H347" s="324" t="s">
        <v>355</v>
      </c>
      <c r="I347" s="336" t="s">
        <v>481</v>
      </c>
      <c r="J347" s="322" t="s">
        <v>331</v>
      </c>
    </row>
    <row r="348" spans="1:10" x14ac:dyDescent="0.25">
      <c r="A348" s="303"/>
      <c r="B348" s="337" t="s">
        <v>482</v>
      </c>
      <c r="C348" s="311" t="s">
        <v>483</v>
      </c>
      <c r="D348" s="312"/>
      <c r="E348" s="313"/>
      <c r="F348" s="313"/>
      <c r="G348" s="313"/>
      <c r="H348" s="314">
        <v>4</v>
      </c>
      <c r="I348" s="329">
        <v>17.768000000000001</v>
      </c>
      <c r="J348" s="315">
        <v>71.072000000000003</v>
      </c>
    </row>
    <row r="349" spans="1:10" x14ac:dyDescent="0.25">
      <c r="A349" s="303"/>
      <c r="B349" s="333" t="s">
        <v>346</v>
      </c>
      <c r="C349" s="317"/>
      <c r="D349" s="318"/>
      <c r="E349" s="319"/>
      <c r="F349" s="319"/>
      <c r="G349" s="319"/>
      <c r="H349" s="320"/>
      <c r="I349" s="332"/>
      <c r="J349" s="321"/>
    </row>
    <row r="350" spans="1:10" x14ac:dyDescent="0.25">
      <c r="A350" s="303"/>
      <c r="B350" s="333" t="s">
        <v>346</v>
      </c>
      <c r="C350" s="317"/>
      <c r="D350" s="318"/>
      <c r="E350" s="319"/>
      <c r="F350" s="319"/>
      <c r="G350" s="319"/>
      <c r="H350" s="320"/>
      <c r="I350" s="332"/>
      <c r="J350" s="321"/>
    </row>
    <row r="351" spans="1:10" x14ac:dyDescent="0.25">
      <c r="A351" s="303"/>
      <c r="B351" s="333" t="s">
        <v>346</v>
      </c>
      <c r="C351" s="317"/>
      <c r="D351" s="318"/>
      <c r="E351" s="319"/>
      <c r="F351" s="319"/>
      <c r="G351" s="319"/>
      <c r="H351" s="320"/>
      <c r="I351" s="332"/>
      <c r="J351" s="321"/>
    </row>
    <row r="352" spans="1:10" x14ac:dyDescent="0.25">
      <c r="A352" s="303"/>
      <c r="B352" s="333" t="s">
        <v>346</v>
      </c>
      <c r="C352" s="317"/>
      <c r="D352" s="318"/>
      <c r="E352" s="319"/>
      <c r="F352" s="319"/>
      <c r="G352" s="319"/>
      <c r="H352" s="320"/>
      <c r="I352" s="332"/>
      <c r="J352" s="321"/>
    </row>
    <row r="353" spans="1:10" x14ac:dyDescent="0.25">
      <c r="A353" s="303"/>
      <c r="B353" s="333" t="s">
        <v>346</v>
      </c>
      <c r="C353" s="317"/>
      <c r="D353" s="318"/>
      <c r="E353" s="319"/>
      <c r="F353" s="319"/>
      <c r="G353" s="319"/>
      <c r="H353" s="320"/>
      <c r="I353" s="332"/>
      <c r="J353" s="321"/>
    </row>
    <row r="354" spans="1:10" x14ac:dyDescent="0.25">
      <c r="A354" s="303"/>
      <c r="B354" s="333" t="s">
        <v>346</v>
      </c>
      <c r="C354" s="317"/>
      <c r="D354" s="318"/>
      <c r="E354" s="319"/>
      <c r="F354" s="319"/>
      <c r="G354" s="319"/>
      <c r="H354" s="320"/>
      <c r="I354" s="332"/>
      <c r="J354" s="321"/>
    </row>
    <row r="355" spans="1:10" x14ac:dyDescent="0.25">
      <c r="A355" s="303"/>
      <c r="B355" s="310"/>
      <c r="C355" s="334"/>
      <c r="D355" s="312"/>
      <c r="E355" s="313"/>
      <c r="F355" s="313"/>
      <c r="G355" s="313"/>
      <c r="H355" s="313"/>
      <c r="I355" s="338" t="s">
        <v>484</v>
      </c>
      <c r="J355" s="315">
        <v>71.072000000000003</v>
      </c>
    </row>
    <row r="356" spans="1:10" x14ac:dyDescent="0.25">
      <c r="A356" s="303"/>
      <c r="B356" s="339"/>
      <c r="C356" s="334"/>
      <c r="D356" s="312"/>
      <c r="E356" s="313"/>
      <c r="F356" s="313"/>
      <c r="G356" s="313"/>
      <c r="H356" s="313"/>
      <c r="I356" s="338" t="s">
        <v>485</v>
      </c>
      <c r="J356" s="340">
        <v>1627.7044000000001</v>
      </c>
    </row>
    <row r="357" spans="1:10" x14ac:dyDescent="0.25">
      <c r="A357" s="303"/>
      <c r="B357" s="339"/>
      <c r="C357" s="341" t="s">
        <v>486</v>
      </c>
      <c r="D357" s="312">
        <v>99.6</v>
      </c>
      <c r="E357" s="313"/>
      <c r="F357" s="313"/>
      <c r="G357" s="313"/>
      <c r="H357" s="313"/>
      <c r="I357" s="338" t="s">
        <v>487</v>
      </c>
      <c r="J357" s="340">
        <v>16.342400000000001</v>
      </c>
    </row>
    <row r="358" spans="1:10" x14ac:dyDescent="0.25">
      <c r="A358" s="303"/>
      <c r="B358" s="310"/>
      <c r="C358" s="334"/>
      <c r="D358" s="312"/>
      <c r="E358" s="313"/>
      <c r="F358" s="313"/>
      <c r="G358" s="313"/>
      <c r="H358" s="338" t="s">
        <v>488</v>
      </c>
      <c r="I358" s="342">
        <v>0</v>
      </c>
      <c r="J358" s="315">
        <v>0</v>
      </c>
    </row>
    <row r="359" spans="1:10" x14ac:dyDescent="0.25">
      <c r="A359" s="303"/>
      <c r="B359" s="310"/>
      <c r="C359" s="334"/>
      <c r="D359" s="312"/>
      <c r="E359" s="313"/>
      <c r="F359" s="313"/>
      <c r="G359" s="313"/>
      <c r="H359" s="335" t="s">
        <v>489</v>
      </c>
      <c r="I359" s="343">
        <v>0</v>
      </c>
      <c r="J359" s="315">
        <v>0</v>
      </c>
    </row>
    <row r="360" spans="1:10" x14ac:dyDescent="0.25">
      <c r="A360" s="303"/>
      <c r="B360" s="310" t="s">
        <v>464</v>
      </c>
      <c r="C360" s="311" t="s">
        <v>490</v>
      </c>
      <c r="D360" s="312"/>
      <c r="E360" s="313"/>
      <c r="F360" s="313"/>
      <c r="G360" s="314" t="s">
        <v>465</v>
      </c>
      <c r="H360" s="336" t="s">
        <v>468</v>
      </c>
      <c r="I360" s="336" t="s">
        <v>491</v>
      </c>
      <c r="J360" s="322" t="s">
        <v>492</v>
      </c>
    </row>
    <row r="361" spans="1:10" x14ac:dyDescent="0.25">
      <c r="A361" s="303"/>
      <c r="B361" s="337" t="s">
        <v>552</v>
      </c>
      <c r="C361" s="311" t="s">
        <v>553</v>
      </c>
      <c r="D361" s="312"/>
      <c r="E361" s="313"/>
      <c r="F361" s="313"/>
      <c r="G361" s="314" t="s">
        <v>365</v>
      </c>
      <c r="H361" s="329">
        <v>68.72</v>
      </c>
      <c r="I361" s="329">
        <v>6.2449999999999999E-2</v>
      </c>
      <c r="J361" s="315">
        <v>4.2915999999999999</v>
      </c>
    </row>
    <row r="362" spans="1:10" x14ac:dyDescent="0.25">
      <c r="A362" s="303"/>
      <c r="B362" s="333" t="s">
        <v>554</v>
      </c>
      <c r="C362" s="317" t="s">
        <v>555</v>
      </c>
      <c r="D362" s="318"/>
      <c r="E362" s="319"/>
      <c r="F362" s="319"/>
      <c r="G362" s="320" t="s">
        <v>365</v>
      </c>
      <c r="H362" s="332">
        <v>31.9</v>
      </c>
      <c r="I362" s="332">
        <v>0.32474999999999998</v>
      </c>
      <c r="J362" s="321">
        <v>10.359500000000001</v>
      </c>
    </row>
    <row r="363" spans="1:10" x14ac:dyDescent="0.25">
      <c r="A363" s="303"/>
      <c r="B363" s="333" t="s">
        <v>556</v>
      </c>
      <c r="C363" s="317" t="s">
        <v>557</v>
      </c>
      <c r="D363" s="318"/>
      <c r="E363" s="319"/>
      <c r="F363" s="319"/>
      <c r="G363" s="320" t="s">
        <v>365</v>
      </c>
      <c r="H363" s="332">
        <v>68.72</v>
      </c>
      <c r="I363" s="332">
        <v>6.2449999999999999E-2</v>
      </c>
      <c r="J363" s="321">
        <v>4.2915999999999999</v>
      </c>
    </row>
    <row r="364" spans="1:10" x14ac:dyDescent="0.25">
      <c r="A364" s="303"/>
      <c r="B364" s="333" t="s">
        <v>558</v>
      </c>
      <c r="C364" s="317" t="s">
        <v>559</v>
      </c>
      <c r="D364" s="318"/>
      <c r="E364" s="319"/>
      <c r="F364" s="319"/>
      <c r="G364" s="320" t="s">
        <v>560</v>
      </c>
      <c r="H364" s="332">
        <v>0.34239999999999998</v>
      </c>
      <c r="I364" s="332">
        <v>56.2</v>
      </c>
      <c r="J364" s="321">
        <v>19.242899999999999</v>
      </c>
    </row>
    <row r="365" spans="1:10" x14ac:dyDescent="0.25">
      <c r="A365" s="303"/>
      <c r="B365" s="333" t="s">
        <v>561</v>
      </c>
      <c r="C365" s="317" t="s">
        <v>562</v>
      </c>
      <c r="D365" s="318"/>
      <c r="E365" s="319"/>
      <c r="F365" s="319"/>
      <c r="G365" s="320" t="s">
        <v>365</v>
      </c>
      <c r="H365" s="332">
        <v>68.72</v>
      </c>
      <c r="I365" s="332">
        <v>0.13739000000000001</v>
      </c>
      <c r="J365" s="321">
        <v>9.4413999999999998</v>
      </c>
    </row>
    <row r="366" spans="1:10" x14ac:dyDescent="0.25">
      <c r="A366" s="303"/>
      <c r="B366" s="333" t="s">
        <v>563</v>
      </c>
      <c r="C366" s="317" t="s">
        <v>880</v>
      </c>
      <c r="D366" s="318"/>
      <c r="E366" s="319"/>
      <c r="F366" s="319"/>
      <c r="G366" s="320" t="s">
        <v>376</v>
      </c>
      <c r="H366" s="332">
        <v>4.4089</v>
      </c>
      <c r="I366" s="332">
        <v>8</v>
      </c>
      <c r="J366" s="321">
        <v>35.2712</v>
      </c>
    </row>
    <row r="367" spans="1:10" x14ac:dyDescent="0.25">
      <c r="A367" s="303"/>
      <c r="B367" s="333" t="s">
        <v>564</v>
      </c>
      <c r="C367" s="317" t="s">
        <v>881</v>
      </c>
      <c r="D367" s="318"/>
      <c r="E367" s="319"/>
      <c r="F367" s="319"/>
      <c r="G367" s="320" t="s">
        <v>370</v>
      </c>
      <c r="H367" s="332">
        <v>0</v>
      </c>
      <c r="I367" s="332">
        <v>6.3229999999999995E-2</v>
      </c>
      <c r="J367" s="321">
        <v>0</v>
      </c>
    </row>
    <row r="368" spans="1:10" x14ac:dyDescent="0.25">
      <c r="A368" s="303"/>
      <c r="B368" s="310"/>
      <c r="C368" s="334"/>
      <c r="D368" s="312"/>
      <c r="E368" s="313"/>
      <c r="F368" s="313"/>
      <c r="G368" s="313"/>
      <c r="H368" s="343"/>
      <c r="I368" s="335" t="s">
        <v>498</v>
      </c>
      <c r="J368" s="315">
        <v>82.898200000000003</v>
      </c>
    </row>
    <row r="369" spans="1:10" x14ac:dyDescent="0.25">
      <c r="A369" s="303"/>
      <c r="B369" s="310" t="s">
        <v>464</v>
      </c>
      <c r="C369" s="311" t="s">
        <v>499</v>
      </c>
      <c r="D369" s="312"/>
      <c r="E369" s="313"/>
      <c r="F369" s="313"/>
      <c r="G369" s="314" t="s">
        <v>465</v>
      </c>
      <c r="H369" s="336" t="s">
        <v>468</v>
      </c>
      <c r="I369" s="336" t="s">
        <v>491</v>
      </c>
      <c r="J369" s="322" t="s">
        <v>492</v>
      </c>
    </row>
    <row r="370" spans="1:10" x14ac:dyDescent="0.25">
      <c r="A370" s="303"/>
      <c r="B370" s="337"/>
      <c r="C370" s="311"/>
      <c r="D370" s="312"/>
      <c r="E370" s="313"/>
      <c r="F370" s="313"/>
      <c r="G370" s="314"/>
      <c r="H370" s="329"/>
      <c r="I370" s="329"/>
      <c r="J370" s="315"/>
    </row>
    <row r="371" spans="1:10" x14ac:dyDescent="0.25">
      <c r="A371" s="303"/>
      <c r="B371" s="333"/>
      <c r="C371" s="317"/>
      <c r="D371" s="318"/>
      <c r="E371" s="319"/>
      <c r="F371" s="319"/>
      <c r="G371" s="320"/>
      <c r="H371" s="332"/>
      <c r="I371" s="332"/>
      <c r="J371" s="321"/>
    </row>
    <row r="372" spans="1:10" x14ac:dyDescent="0.25">
      <c r="A372" s="303"/>
      <c r="B372" s="333"/>
      <c r="C372" s="317"/>
      <c r="D372" s="318"/>
      <c r="E372" s="319"/>
      <c r="F372" s="319"/>
      <c r="G372" s="320"/>
      <c r="H372" s="332"/>
      <c r="I372" s="332"/>
      <c r="J372" s="321"/>
    </row>
    <row r="373" spans="1:10" x14ac:dyDescent="0.25">
      <c r="A373" s="303"/>
      <c r="B373" s="333"/>
      <c r="C373" s="317"/>
      <c r="D373" s="318"/>
      <c r="E373" s="319"/>
      <c r="F373" s="319"/>
      <c r="G373" s="320"/>
      <c r="H373" s="332"/>
      <c r="I373" s="332"/>
      <c r="J373" s="321"/>
    </row>
    <row r="374" spans="1:10" x14ac:dyDescent="0.25">
      <c r="A374" s="303"/>
      <c r="B374" s="333"/>
      <c r="C374" s="317"/>
      <c r="D374" s="318"/>
      <c r="E374" s="319"/>
      <c r="F374" s="319"/>
      <c r="G374" s="320"/>
      <c r="H374" s="332"/>
      <c r="I374" s="332"/>
      <c r="J374" s="321"/>
    </row>
    <row r="375" spans="1:10" x14ac:dyDescent="0.25">
      <c r="A375" s="303"/>
      <c r="B375" s="310"/>
      <c r="C375" s="334"/>
      <c r="D375" s="312"/>
      <c r="E375" s="313"/>
      <c r="F375" s="313"/>
      <c r="G375" s="313"/>
      <c r="H375" s="343"/>
      <c r="I375" s="335" t="s">
        <v>501</v>
      </c>
      <c r="J375" s="315">
        <v>0</v>
      </c>
    </row>
    <row r="376" spans="1:10" x14ac:dyDescent="0.25">
      <c r="A376" s="303"/>
      <c r="B376" s="310" t="s">
        <v>464</v>
      </c>
      <c r="C376" s="311" t="s">
        <v>502</v>
      </c>
      <c r="D376" s="312"/>
      <c r="E376" s="313"/>
      <c r="F376" s="314" t="s">
        <v>464</v>
      </c>
      <c r="G376" s="324" t="s">
        <v>503</v>
      </c>
      <c r="H376" s="329" t="s">
        <v>465</v>
      </c>
      <c r="I376" s="336" t="s">
        <v>468</v>
      </c>
      <c r="J376" s="322" t="s">
        <v>492</v>
      </c>
    </row>
    <row r="377" spans="1:10" x14ac:dyDescent="0.25">
      <c r="A377" s="303"/>
      <c r="B377" s="337" t="s">
        <v>565</v>
      </c>
      <c r="C377" s="311" t="s">
        <v>566</v>
      </c>
      <c r="D377" s="312"/>
      <c r="E377" s="313"/>
      <c r="F377" s="344" t="s">
        <v>567</v>
      </c>
      <c r="G377" s="314">
        <v>9.3679999999999999E-2</v>
      </c>
      <c r="H377" s="329" t="s">
        <v>370</v>
      </c>
      <c r="I377" s="329">
        <v>1.23</v>
      </c>
      <c r="J377" s="315">
        <v>0.1152</v>
      </c>
    </row>
    <row r="378" spans="1:10" x14ac:dyDescent="0.25">
      <c r="A378" s="303"/>
      <c r="B378" s="333" t="s">
        <v>568</v>
      </c>
      <c r="C378" s="317" t="s">
        <v>569</v>
      </c>
      <c r="D378" s="318"/>
      <c r="E378" s="319"/>
      <c r="F378" s="354" t="s">
        <v>567</v>
      </c>
      <c r="G378" s="320">
        <v>0.48713000000000001</v>
      </c>
      <c r="H378" s="332" t="s">
        <v>370</v>
      </c>
      <c r="I378" s="332">
        <v>1.23</v>
      </c>
      <c r="J378" s="321">
        <v>0.59919999999999995</v>
      </c>
    </row>
    <row r="379" spans="1:10" x14ac:dyDescent="0.25">
      <c r="A379" s="303"/>
      <c r="B379" s="333" t="s">
        <v>570</v>
      </c>
      <c r="C379" s="317" t="s">
        <v>571</v>
      </c>
      <c r="D379" s="318"/>
      <c r="E379" s="319"/>
      <c r="F379" s="354" t="s">
        <v>567</v>
      </c>
      <c r="G379" s="320">
        <v>9.3679999999999999E-2</v>
      </c>
      <c r="H379" s="332" t="s">
        <v>370</v>
      </c>
      <c r="I379" s="332">
        <v>1.23</v>
      </c>
      <c r="J379" s="321">
        <v>0.1152</v>
      </c>
    </row>
    <row r="380" spans="1:10" x14ac:dyDescent="0.25">
      <c r="A380" s="303"/>
      <c r="B380" s="333" t="s">
        <v>572</v>
      </c>
      <c r="C380" s="317" t="s">
        <v>573</v>
      </c>
      <c r="D380" s="318"/>
      <c r="E380" s="319"/>
      <c r="F380" s="354" t="s">
        <v>574</v>
      </c>
      <c r="G380" s="320">
        <v>5.62E-2</v>
      </c>
      <c r="H380" s="332" t="s">
        <v>370</v>
      </c>
      <c r="I380" s="332">
        <v>13.07</v>
      </c>
      <c r="J380" s="321">
        <v>0.73450000000000004</v>
      </c>
    </row>
    <row r="381" spans="1:10" x14ac:dyDescent="0.25">
      <c r="A381" s="303"/>
      <c r="B381" s="333" t="s">
        <v>575</v>
      </c>
      <c r="C381" s="317" t="s">
        <v>576</v>
      </c>
      <c r="D381" s="318"/>
      <c r="E381" s="319"/>
      <c r="F381" s="354" t="s">
        <v>567</v>
      </c>
      <c r="G381" s="320">
        <v>0.20609</v>
      </c>
      <c r="H381" s="332" t="s">
        <v>370</v>
      </c>
      <c r="I381" s="332">
        <v>1.23</v>
      </c>
      <c r="J381" s="321">
        <v>0.2535</v>
      </c>
    </row>
    <row r="382" spans="1:10" x14ac:dyDescent="0.25">
      <c r="A382" s="303"/>
      <c r="B382" s="310"/>
      <c r="C382" s="334"/>
      <c r="D382" s="312"/>
      <c r="E382" s="313"/>
      <c r="F382" s="313"/>
      <c r="G382" s="313"/>
      <c r="H382" s="343"/>
      <c r="I382" s="338" t="s">
        <v>507</v>
      </c>
      <c r="J382" s="315">
        <v>1.8175999999999999</v>
      </c>
    </row>
    <row r="383" spans="1:10" x14ac:dyDescent="0.25">
      <c r="A383" s="303"/>
      <c r="B383" s="310" t="s">
        <v>464</v>
      </c>
      <c r="C383" s="311" t="s">
        <v>508</v>
      </c>
      <c r="D383" s="345" t="s">
        <v>509</v>
      </c>
      <c r="E383" s="324" t="s">
        <v>873</v>
      </c>
      <c r="F383" s="324" t="s">
        <v>874</v>
      </c>
      <c r="G383" s="324" t="s">
        <v>875</v>
      </c>
      <c r="H383" s="336" t="s">
        <v>468</v>
      </c>
      <c r="I383" s="324" t="s">
        <v>491</v>
      </c>
      <c r="J383" s="322" t="s">
        <v>492</v>
      </c>
    </row>
    <row r="384" spans="1:10" x14ac:dyDescent="0.25">
      <c r="A384" s="303"/>
      <c r="B384" s="337" t="s">
        <v>577</v>
      </c>
      <c r="C384" s="311" t="s">
        <v>578</v>
      </c>
      <c r="D384" s="345" t="s">
        <v>510</v>
      </c>
      <c r="E384" s="314">
        <v>0</v>
      </c>
      <c r="F384" s="314">
        <v>0</v>
      </c>
      <c r="G384" s="314">
        <v>137.5</v>
      </c>
      <c r="H384" s="329">
        <v>0.55000000000000004</v>
      </c>
      <c r="I384" s="314">
        <v>9.3679999999999999E-2</v>
      </c>
      <c r="J384" s="315">
        <v>7.0846</v>
      </c>
    </row>
    <row r="385" spans="1:10" x14ac:dyDescent="0.25">
      <c r="A385" s="303"/>
      <c r="B385" s="333" t="s">
        <v>579</v>
      </c>
      <c r="C385" s="317" t="s">
        <v>580</v>
      </c>
      <c r="D385" s="346" t="s">
        <v>510</v>
      </c>
      <c r="E385" s="320">
        <v>0</v>
      </c>
      <c r="F385" s="320">
        <v>0</v>
      </c>
      <c r="G385" s="320">
        <v>152</v>
      </c>
      <c r="H385" s="332">
        <v>0.55000000000000004</v>
      </c>
      <c r="I385" s="320">
        <v>0.48713000000000001</v>
      </c>
      <c r="J385" s="321">
        <v>40.7241</v>
      </c>
    </row>
    <row r="386" spans="1:10" x14ac:dyDescent="0.25">
      <c r="A386" s="303"/>
      <c r="B386" s="333" t="s">
        <v>581</v>
      </c>
      <c r="C386" s="317" t="s">
        <v>582</v>
      </c>
      <c r="D386" s="346" t="s">
        <v>510</v>
      </c>
      <c r="E386" s="320">
        <v>0</v>
      </c>
      <c r="F386" s="320">
        <v>0</v>
      </c>
      <c r="G386" s="320">
        <v>137.5</v>
      </c>
      <c r="H386" s="332">
        <v>0.55000000000000004</v>
      </c>
      <c r="I386" s="320">
        <v>9.3679999999999999E-2</v>
      </c>
      <c r="J386" s="321">
        <v>7.0846</v>
      </c>
    </row>
    <row r="387" spans="1:10" x14ac:dyDescent="0.25">
      <c r="A387" s="303"/>
      <c r="B387" s="333" t="s">
        <v>583</v>
      </c>
      <c r="C387" s="317" t="s">
        <v>584</v>
      </c>
      <c r="D387" s="346" t="s">
        <v>510</v>
      </c>
      <c r="E387" s="320">
        <v>0</v>
      </c>
      <c r="F387" s="320">
        <v>0</v>
      </c>
      <c r="G387" s="320">
        <v>100.45</v>
      </c>
      <c r="H387" s="332">
        <v>0.44</v>
      </c>
      <c r="I387" s="320">
        <v>5.62E-2</v>
      </c>
      <c r="J387" s="321">
        <v>2.4839000000000002</v>
      </c>
    </row>
    <row r="388" spans="1:10" x14ac:dyDescent="0.25">
      <c r="A388" s="303"/>
      <c r="B388" s="333" t="s">
        <v>585</v>
      </c>
      <c r="C388" s="317" t="s">
        <v>586</v>
      </c>
      <c r="D388" s="346" t="s">
        <v>510</v>
      </c>
      <c r="E388" s="320">
        <v>0</v>
      </c>
      <c r="F388" s="320">
        <v>0</v>
      </c>
      <c r="G388" s="320">
        <v>137.5</v>
      </c>
      <c r="H388" s="332">
        <v>0.55000000000000004</v>
      </c>
      <c r="I388" s="320">
        <v>0.20609</v>
      </c>
      <c r="J388" s="321">
        <v>15.585599999999999</v>
      </c>
    </row>
    <row r="389" spans="1:10" x14ac:dyDescent="0.25">
      <c r="A389" s="303"/>
      <c r="B389" s="333" t="s">
        <v>346</v>
      </c>
      <c r="C389" s="317"/>
      <c r="D389" s="346"/>
      <c r="E389" s="320"/>
      <c r="F389" s="320"/>
      <c r="G389" s="320"/>
      <c r="H389" s="332"/>
      <c r="I389" s="320"/>
      <c r="J389" s="321"/>
    </row>
    <row r="390" spans="1:10" x14ac:dyDescent="0.25">
      <c r="A390" s="303"/>
      <c r="B390" s="333" t="s">
        <v>346</v>
      </c>
      <c r="C390" s="317"/>
      <c r="D390" s="346"/>
      <c r="E390" s="320"/>
      <c r="F390" s="320"/>
      <c r="G390" s="320"/>
      <c r="H390" s="332"/>
      <c r="I390" s="320"/>
      <c r="J390" s="321"/>
    </row>
    <row r="391" spans="1:10" x14ac:dyDescent="0.25">
      <c r="A391" s="303"/>
      <c r="B391" s="310"/>
      <c r="C391" s="334"/>
      <c r="D391" s="312"/>
      <c r="E391" s="313"/>
      <c r="F391" s="313"/>
      <c r="G391" s="313"/>
      <c r="H391" s="313"/>
      <c r="I391" s="338" t="s">
        <v>513</v>
      </c>
      <c r="J391" s="315">
        <v>72.962800000000001</v>
      </c>
    </row>
    <row r="392" spans="1:10" x14ac:dyDescent="0.25">
      <c r="A392" s="303"/>
      <c r="B392" s="310" t="s">
        <v>514</v>
      </c>
      <c r="C392" s="334"/>
      <c r="D392" s="312"/>
      <c r="E392" s="313"/>
      <c r="F392" s="313"/>
      <c r="G392" s="313"/>
      <c r="H392" s="313"/>
      <c r="I392" s="313"/>
      <c r="J392" s="315">
        <v>174.02099999999999</v>
      </c>
    </row>
    <row r="393" spans="1:10" x14ac:dyDescent="0.25">
      <c r="A393" s="303"/>
      <c r="B393" s="310" t="s">
        <v>515</v>
      </c>
      <c r="C393" s="334"/>
      <c r="D393" s="312">
        <v>0</v>
      </c>
      <c r="E393" s="313"/>
      <c r="F393" s="313"/>
      <c r="G393" s="313"/>
      <c r="H393" s="313"/>
      <c r="I393" s="313"/>
      <c r="J393" s="315">
        <v>0</v>
      </c>
    </row>
    <row r="394" spans="1:10" ht="14.4" thickBot="1" x14ac:dyDescent="0.3">
      <c r="A394" s="303"/>
      <c r="B394" s="310" t="s">
        <v>516</v>
      </c>
      <c r="C394" s="334"/>
      <c r="D394" s="312"/>
      <c r="E394" s="313"/>
      <c r="F394" s="313"/>
      <c r="G394" s="313"/>
      <c r="H394" s="313"/>
      <c r="I394" s="313"/>
      <c r="J394" s="347">
        <v>174.02</v>
      </c>
    </row>
    <row r="395" spans="1:10" x14ac:dyDescent="0.25">
      <c r="A395" s="303"/>
      <c r="B395" s="304"/>
      <c r="C395" s="305"/>
      <c r="D395" s="348"/>
      <c r="E395" s="308"/>
      <c r="F395" s="308"/>
      <c r="G395" s="308"/>
      <c r="H395" s="308"/>
      <c r="I395" s="308"/>
      <c r="J395" s="309"/>
    </row>
    <row r="396" spans="1:10" x14ac:dyDescent="0.25">
      <c r="A396" s="303"/>
      <c r="B396" s="316"/>
      <c r="C396" s="303"/>
      <c r="D396" s="318"/>
      <c r="E396" s="319"/>
      <c r="F396" s="319"/>
      <c r="G396" s="319"/>
      <c r="H396" s="319"/>
      <c r="I396" s="319"/>
      <c r="J396" s="349"/>
    </row>
    <row r="397" spans="1:10" x14ac:dyDescent="0.25">
      <c r="A397" s="303"/>
      <c r="B397" s="316"/>
      <c r="C397" s="303"/>
      <c r="D397" s="318"/>
      <c r="E397" s="319"/>
      <c r="F397" s="319"/>
      <c r="G397" s="319"/>
      <c r="H397" s="319"/>
      <c r="I397" s="319"/>
      <c r="J397" s="349"/>
    </row>
    <row r="398" spans="1:10" ht="14.4" thickBot="1" x14ac:dyDescent="0.3">
      <c r="A398" s="303"/>
      <c r="B398" s="350"/>
      <c r="C398" s="303"/>
      <c r="D398" s="318"/>
      <c r="E398" s="319"/>
      <c r="F398" s="319"/>
      <c r="G398" s="319"/>
      <c r="H398" s="319"/>
      <c r="I398" s="319"/>
      <c r="J398" s="351"/>
    </row>
    <row r="399" spans="1:10" x14ac:dyDescent="0.25">
      <c r="A399" s="303"/>
      <c r="B399" s="305"/>
      <c r="C399" s="305"/>
      <c r="D399" s="348"/>
      <c r="E399" s="308"/>
      <c r="F399" s="308"/>
      <c r="G399" s="308"/>
      <c r="H399" s="308"/>
      <c r="I399" s="308"/>
      <c r="J399" s="352"/>
    </row>
    <row r="400" spans="1:10" ht="14.4" thickBot="1" x14ac:dyDescent="0.3">
      <c r="A400" s="303"/>
      <c r="B400" s="303"/>
      <c r="C400" s="303"/>
      <c r="D400" s="318"/>
      <c r="E400" s="319"/>
      <c r="F400" s="319"/>
      <c r="G400" s="319"/>
      <c r="H400" s="319"/>
      <c r="I400" s="319"/>
      <c r="J400" s="353"/>
    </row>
    <row r="401" spans="1:10" x14ac:dyDescent="0.25">
      <c r="A401" s="303"/>
      <c r="B401" s="304"/>
      <c r="C401" s="305"/>
      <c r="D401" s="306" t="s">
        <v>463</v>
      </c>
      <c r="E401" s="307"/>
      <c r="F401" s="307"/>
      <c r="G401" s="308"/>
      <c r="H401" s="308"/>
      <c r="I401" s="308"/>
      <c r="J401" s="309"/>
    </row>
    <row r="402" spans="1:10" x14ac:dyDescent="0.25">
      <c r="A402" s="303"/>
      <c r="B402" s="310" t="s">
        <v>464</v>
      </c>
      <c r="C402" s="311" t="s">
        <v>134</v>
      </c>
      <c r="D402" s="312"/>
      <c r="E402" s="313"/>
      <c r="F402" s="313"/>
      <c r="G402" s="313"/>
      <c r="H402" s="314"/>
      <c r="I402" s="313"/>
      <c r="J402" s="315" t="s">
        <v>465</v>
      </c>
    </row>
    <row r="403" spans="1:10" x14ac:dyDescent="0.25">
      <c r="A403" s="303"/>
      <c r="B403" s="316">
        <v>4915694</v>
      </c>
      <c r="C403" s="317" t="s">
        <v>371</v>
      </c>
      <c r="D403" s="318"/>
      <c r="E403" s="319"/>
      <c r="F403" s="319"/>
      <c r="G403" s="319"/>
      <c r="H403" s="320"/>
      <c r="I403" s="319"/>
      <c r="J403" s="321" t="s">
        <v>372</v>
      </c>
    </row>
    <row r="404" spans="1:10" x14ac:dyDescent="0.25">
      <c r="A404" s="303"/>
      <c r="B404" s="310"/>
      <c r="C404" s="311"/>
      <c r="D404" s="312"/>
      <c r="E404" s="314"/>
      <c r="F404" s="314" t="s">
        <v>466</v>
      </c>
      <c r="G404" s="314"/>
      <c r="H404" s="314" t="s">
        <v>467</v>
      </c>
      <c r="I404" s="314"/>
      <c r="J404" s="322" t="s">
        <v>468</v>
      </c>
    </row>
    <row r="405" spans="1:10" x14ac:dyDescent="0.25">
      <c r="A405" s="303"/>
      <c r="B405" s="316" t="s">
        <v>464</v>
      </c>
      <c r="C405" s="317" t="s">
        <v>469</v>
      </c>
      <c r="D405" s="318"/>
      <c r="E405" s="323" t="s">
        <v>355</v>
      </c>
      <c r="F405" s="324" t="s">
        <v>470</v>
      </c>
      <c r="G405" s="324" t="s">
        <v>471</v>
      </c>
      <c r="H405" s="324" t="s">
        <v>472</v>
      </c>
      <c r="I405" s="325" t="s">
        <v>473</v>
      </c>
      <c r="J405" s="326" t="s">
        <v>474</v>
      </c>
    </row>
    <row r="406" spans="1:10" x14ac:dyDescent="0.25">
      <c r="A406" s="303"/>
      <c r="B406" s="327" t="s">
        <v>477</v>
      </c>
      <c r="C406" s="311" t="s">
        <v>478</v>
      </c>
      <c r="D406" s="312"/>
      <c r="E406" s="328">
        <v>1</v>
      </c>
      <c r="F406" s="328">
        <v>1</v>
      </c>
      <c r="G406" s="328">
        <v>0</v>
      </c>
      <c r="H406" s="329">
        <v>21.3766</v>
      </c>
      <c r="I406" s="329">
        <v>1.5183</v>
      </c>
      <c r="J406" s="315">
        <v>21.3766</v>
      </c>
    </row>
    <row r="407" spans="1:10" x14ac:dyDescent="0.25">
      <c r="A407" s="303"/>
      <c r="B407" s="330" t="s">
        <v>587</v>
      </c>
      <c r="C407" s="317" t="s">
        <v>588</v>
      </c>
      <c r="D407" s="318"/>
      <c r="E407" s="331">
        <v>1</v>
      </c>
      <c r="F407" s="331">
        <v>0.08</v>
      </c>
      <c r="G407" s="331">
        <v>0.92</v>
      </c>
      <c r="H407" s="332">
        <v>195.91970000000001</v>
      </c>
      <c r="I407" s="332">
        <v>58.848399999999998</v>
      </c>
      <c r="J407" s="321">
        <v>69.814099999999996</v>
      </c>
    </row>
    <row r="408" spans="1:10" x14ac:dyDescent="0.25">
      <c r="A408" s="303"/>
      <c r="B408" s="330" t="s">
        <v>882</v>
      </c>
      <c r="C408" s="317" t="s">
        <v>883</v>
      </c>
      <c r="D408" s="318"/>
      <c r="E408" s="331">
        <v>1</v>
      </c>
      <c r="F408" s="331">
        <v>1</v>
      </c>
      <c r="G408" s="331">
        <v>0</v>
      </c>
      <c r="H408" s="332">
        <v>10.705299999999999</v>
      </c>
      <c r="I408" s="332">
        <v>0.50629999999999997</v>
      </c>
      <c r="J408" s="321">
        <v>10.705299999999999</v>
      </c>
    </row>
    <row r="409" spans="1:10" x14ac:dyDescent="0.25">
      <c r="A409" s="303"/>
      <c r="B409" s="333" t="s">
        <v>346</v>
      </c>
      <c r="C409" s="317"/>
      <c r="D409" s="318"/>
      <c r="E409" s="331"/>
      <c r="F409" s="331"/>
      <c r="G409" s="331"/>
      <c r="H409" s="332"/>
      <c r="I409" s="332"/>
      <c r="J409" s="321"/>
    </row>
    <row r="410" spans="1:10" x14ac:dyDescent="0.25">
      <c r="A410" s="303"/>
      <c r="B410" s="333" t="s">
        <v>346</v>
      </c>
      <c r="C410" s="317"/>
      <c r="D410" s="318"/>
      <c r="E410" s="331"/>
      <c r="F410" s="331"/>
      <c r="G410" s="331"/>
      <c r="H410" s="332"/>
      <c r="I410" s="332"/>
      <c r="J410" s="321"/>
    </row>
    <row r="411" spans="1:10" x14ac:dyDescent="0.25">
      <c r="A411" s="303"/>
      <c r="B411" s="333" t="s">
        <v>346</v>
      </c>
      <c r="C411" s="317"/>
      <c r="D411" s="318"/>
      <c r="E411" s="331"/>
      <c r="F411" s="331"/>
      <c r="G411" s="331"/>
      <c r="H411" s="332"/>
      <c r="I411" s="332"/>
      <c r="J411" s="321"/>
    </row>
    <row r="412" spans="1:10" x14ac:dyDescent="0.25">
      <c r="A412" s="303"/>
      <c r="B412" s="333" t="s">
        <v>346</v>
      </c>
      <c r="C412" s="317"/>
      <c r="D412" s="318"/>
      <c r="E412" s="331"/>
      <c r="F412" s="331"/>
      <c r="G412" s="331"/>
      <c r="H412" s="332"/>
      <c r="I412" s="332"/>
      <c r="J412" s="321"/>
    </row>
    <row r="413" spans="1:10" x14ac:dyDescent="0.25">
      <c r="A413" s="303"/>
      <c r="B413" s="310"/>
      <c r="C413" s="334"/>
      <c r="D413" s="312"/>
      <c r="E413" s="313"/>
      <c r="F413" s="313"/>
      <c r="G413" s="313"/>
      <c r="H413" s="313"/>
      <c r="I413" s="335" t="s">
        <v>479</v>
      </c>
      <c r="J413" s="315">
        <v>101.89599999999999</v>
      </c>
    </row>
    <row r="414" spans="1:10" x14ac:dyDescent="0.25">
      <c r="A414" s="303"/>
      <c r="B414" s="310" t="s">
        <v>464</v>
      </c>
      <c r="C414" s="311" t="s">
        <v>480</v>
      </c>
      <c r="D414" s="312"/>
      <c r="E414" s="313"/>
      <c r="F414" s="313"/>
      <c r="G414" s="313"/>
      <c r="H414" s="324" t="s">
        <v>355</v>
      </c>
      <c r="I414" s="336" t="s">
        <v>481</v>
      </c>
      <c r="J414" s="322" t="s">
        <v>331</v>
      </c>
    </row>
    <row r="415" spans="1:10" x14ac:dyDescent="0.25">
      <c r="A415" s="303"/>
      <c r="B415" s="337" t="s">
        <v>482</v>
      </c>
      <c r="C415" s="311" t="s">
        <v>483</v>
      </c>
      <c r="D415" s="312"/>
      <c r="E415" s="313"/>
      <c r="F415" s="313"/>
      <c r="G415" s="313"/>
      <c r="H415" s="314">
        <v>4</v>
      </c>
      <c r="I415" s="329">
        <v>17.768000000000001</v>
      </c>
      <c r="J415" s="315">
        <v>71.072000000000003</v>
      </c>
    </row>
    <row r="416" spans="1:10" x14ac:dyDescent="0.25">
      <c r="A416" s="303"/>
      <c r="B416" s="333" t="s">
        <v>346</v>
      </c>
      <c r="C416" s="317"/>
      <c r="D416" s="318"/>
      <c r="E416" s="319"/>
      <c r="F416" s="319"/>
      <c r="G416" s="319"/>
      <c r="H416" s="320"/>
      <c r="I416" s="332"/>
      <c r="J416" s="321"/>
    </row>
    <row r="417" spans="1:10" x14ac:dyDescent="0.25">
      <c r="A417" s="303"/>
      <c r="B417" s="333" t="s">
        <v>346</v>
      </c>
      <c r="C417" s="317"/>
      <c r="D417" s="318"/>
      <c r="E417" s="319"/>
      <c r="F417" s="319"/>
      <c r="G417" s="319"/>
      <c r="H417" s="320"/>
      <c r="I417" s="332"/>
      <c r="J417" s="321"/>
    </row>
    <row r="418" spans="1:10" x14ac:dyDescent="0.25">
      <c r="A418" s="303"/>
      <c r="B418" s="333" t="s">
        <v>346</v>
      </c>
      <c r="C418" s="317"/>
      <c r="D418" s="318"/>
      <c r="E418" s="319"/>
      <c r="F418" s="319"/>
      <c r="G418" s="319"/>
      <c r="H418" s="320"/>
      <c r="I418" s="332"/>
      <c r="J418" s="321"/>
    </row>
    <row r="419" spans="1:10" x14ac:dyDescent="0.25">
      <c r="A419" s="303"/>
      <c r="B419" s="333" t="s">
        <v>346</v>
      </c>
      <c r="C419" s="317"/>
      <c r="D419" s="318"/>
      <c r="E419" s="319"/>
      <c r="F419" s="319"/>
      <c r="G419" s="319"/>
      <c r="H419" s="320"/>
      <c r="I419" s="332"/>
      <c r="J419" s="321"/>
    </row>
    <row r="420" spans="1:10" x14ac:dyDescent="0.25">
      <c r="A420" s="303"/>
      <c r="B420" s="333" t="s">
        <v>346</v>
      </c>
      <c r="C420" s="317"/>
      <c r="D420" s="318"/>
      <c r="E420" s="319"/>
      <c r="F420" s="319"/>
      <c r="G420" s="319"/>
      <c r="H420" s="320"/>
      <c r="I420" s="332"/>
      <c r="J420" s="321"/>
    </row>
    <row r="421" spans="1:10" x14ac:dyDescent="0.25">
      <c r="A421" s="303"/>
      <c r="B421" s="333" t="s">
        <v>346</v>
      </c>
      <c r="C421" s="317"/>
      <c r="D421" s="318"/>
      <c r="E421" s="319"/>
      <c r="F421" s="319"/>
      <c r="G421" s="319"/>
      <c r="H421" s="320"/>
      <c r="I421" s="332"/>
      <c r="J421" s="321"/>
    </row>
    <row r="422" spans="1:10" x14ac:dyDescent="0.25">
      <c r="A422" s="303"/>
      <c r="B422" s="310"/>
      <c r="C422" s="334"/>
      <c r="D422" s="312"/>
      <c r="E422" s="313"/>
      <c r="F422" s="313"/>
      <c r="G422" s="313"/>
      <c r="H422" s="313"/>
      <c r="I422" s="338" t="s">
        <v>484</v>
      </c>
      <c r="J422" s="315">
        <v>71.072000000000003</v>
      </c>
    </row>
    <row r="423" spans="1:10" x14ac:dyDescent="0.25">
      <c r="A423" s="303"/>
      <c r="B423" s="339"/>
      <c r="C423" s="334"/>
      <c r="D423" s="312"/>
      <c r="E423" s="313"/>
      <c r="F423" s="313"/>
      <c r="G423" s="313"/>
      <c r="H423" s="313"/>
      <c r="I423" s="338" t="s">
        <v>485</v>
      </c>
      <c r="J423" s="340">
        <v>172.96799999999999</v>
      </c>
    </row>
    <row r="424" spans="1:10" x14ac:dyDescent="0.25">
      <c r="A424" s="303"/>
      <c r="B424" s="339"/>
      <c r="C424" s="341" t="s">
        <v>486</v>
      </c>
      <c r="D424" s="312">
        <v>37.58</v>
      </c>
      <c r="E424" s="313"/>
      <c r="F424" s="313"/>
      <c r="G424" s="313"/>
      <c r="H424" s="313"/>
      <c r="I424" s="338" t="s">
        <v>487</v>
      </c>
      <c r="J424" s="340">
        <v>4.6026999999999996</v>
      </c>
    </row>
    <row r="425" spans="1:10" x14ac:dyDescent="0.25">
      <c r="A425" s="303"/>
      <c r="B425" s="310"/>
      <c r="C425" s="334"/>
      <c r="D425" s="312"/>
      <c r="E425" s="313"/>
      <c r="F425" s="313"/>
      <c r="G425" s="313"/>
      <c r="H425" s="338" t="s">
        <v>488</v>
      </c>
      <c r="I425" s="342">
        <v>0</v>
      </c>
      <c r="J425" s="315">
        <v>0</v>
      </c>
    </row>
    <row r="426" spans="1:10" x14ac:dyDescent="0.25">
      <c r="A426" s="303"/>
      <c r="B426" s="310"/>
      <c r="C426" s="334"/>
      <c r="D426" s="312"/>
      <c r="E426" s="313"/>
      <c r="F426" s="313"/>
      <c r="G426" s="313"/>
      <c r="H426" s="335" t="s">
        <v>489</v>
      </c>
      <c r="I426" s="343">
        <v>0</v>
      </c>
      <c r="J426" s="315">
        <v>0</v>
      </c>
    </row>
    <row r="427" spans="1:10" x14ac:dyDescent="0.25">
      <c r="A427" s="303"/>
      <c r="B427" s="310" t="s">
        <v>464</v>
      </c>
      <c r="C427" s="311" t="s">
        <v>490</v>
      </c>
      <c r="D427" s="312"/>
      <c r="E427" s="313"/>
      <c r="F427" s="313"/>
      <c r="G427" s="314" t="s">
        <v>465</v>
      </c>
      <c r="H427" s="336" t="s">
        <v>468</v>
      </c>
      <c r="I427" s="336" t="s">
        <v>491</v>
      </c>
      <c r="J427" s="322" t="s">
        <v>492</v>
      </c>
    </row>
    <row r="428" spans="1:10" x14ac:dyDescent="0.25">
      <c r="A428" s="303"/>
      <c r="B428" s="337" t="s">
        <v>590</v>
      </c>
      <c r="C428" s="311" t="s">
        <v>884</v>
      </c>
      <c r="D428" s="312"/>
      <c r="E428" s="313"/>
      <c r="F428" s="313"/>
      <c r="G428" s="314" t="s">
        <v>560</v>
      </c>
      <c r="H428" s="329">
        <v>72.777500000000003</v>
      </c>
      <c r="I428" s="329">
        <v>0.2175</v>
      </c>
      <c r="J428" s="315">
        <v>15.8291</v>
      </c>
    </row>
    <row r="429" spans="1:10" x14ac:dyDescent="0.25">
      <c r="A429" s="303"/>
      <c r="B429" s="333" t="s">
        <v>591</v>
      </c>
      <c r="C429" s="317" t="s">
        <v>885</v>
      </c>
      <c r="D429" s="318"/>
      <c r="E429" s="319"/>
      <c r="F429" s="319"/>
      <c r="G429" s="320" t="s">
        <v>372</v>
      </c>
      <c r="H429" s="332">
        <v>0.1711</v>
      </c>
      <c r="I429" s="332">
        <v>1</v>
      </c>
      <c r="J429" s="321">
        <v>0.1711</v>
      </c>
    </row>
    <row r="430" spans="1:10" x14ac:dyDescent="0.25">
      <c r="A430" s="303"/>
      <c r="B430" s="333" t="s">
        <v>493</v>
      </c>
      <c r="C430" s="317" t="s">
        <v>494</v>
      </c>
      <c r="D430" s="318"/>
      <c r="E430" s="319"/>
      <c r="F430" s="319"/>
      <c r="G430" s="320" t="s">
        <v>433</v>
      </c>
      <c r="H430" s="332">
        <v>348.2038</v>
      </c>
      <c r="I430" s="332">
        <v>6.6699999999999997E-3</v>
      </c>
      <c r="J430" s="321">
        <v>2.3224999999999998</v>
      </c>
    </row>
    <row r="431" spans="1:10" x14ac:dyDescent="0.25">
      <c r="A431" s="303"/>
      <c r="B431" s="333" t="s">
        <v>346</v>
      </c>
      <c r="C431" s="317"/>
      <c r="D431" s="318"/>
      <c r="E431" s="319"/>
      <c r="F431" s="319"/>
      <c r="G431" s="320"/>
      <c r="H431" s="332"/>
      <c r="I431" s="332"/>
      <c r="J431" s="321"/>
    </row>
    <row r="432" spans="1:10" x14ac:dyDescent="0.25">
      <c r="A432" s="303"/>
      <c r="B432" s="333" t="s">
        <v>346</v>
      </c>
      <c r="C432" s="317"/>
      <c r="D432" s="318"/>
      <c r="E432" s="319"/>
      <c r="F432" s="319"/>
      <c r="G432" s="320"/>
      <c r="H432" s="332"/>
      <c r="I432" s="332"/>
      <c r="J432" s="321"/>
    </row>
    <row r="433" spans="1:10" x14ac:dyDescent="0.25">
      <c r="A433" s="303"/>
      <c r="B433" s="333" t="s">
        <v>346</v>
      </c>
      <c r="C433" s="317"/>
      <c r="D433" s="318"/>
      <c r="E433" s="319"/>
      <c r="F433" s="319"/>
      <c r="G433" s="320"/>
      <c r="H433" s="332"/>
      <c r="I433" s="332"/>
      <c r="J433" s="321"/>
    </row>
    <row r="434" spans="1:10" x14ac:dyDescent="0.25">
      <c r="A434" s="303"/>
      <c r="B434" s="333" t="s">
        <v>346</v>
      </c>
      <c r="C434" s="317"/>
      <c r="D434" s="318"/>
      <c r="E434" s="319"/>
      <c r="F434" s="319"/>
      <c r="G434" s="320"/>
      <c r="H434" s="332"/>
      <c r="I434" s="332"/>
      <c r="J434" s="321"/>
    </row>
    <row r="435" spans="1:10" x14ac:dyDescent="0.25">
      <c r="A435" s="303"/>
      <c r="B435" s="310"/>
      <c r="C435" s="334"/>
      <c r="D435" s="312"/>
      <c r="E435" s="313"/>
      <c r="F435" s="313"/>
      <c r="G435" s="313"/>
      <c r="H435" s="343"/>
      <c r="I435" s="335" t="s">
        <v>498</v>
      </c>
      <c r="J435" s="315">
        <v>18.322699999999998</v>
      </c>
    </row>
    <row r="436" spans="1:10" x14ac:dyDescent="0.25">
      <c r="A436" s="303"/>
      <c r="B436" s="310" t="s">
        <v>464</v>
      </c>
      <c r="C436" s="311" t="s">
        <v>499</v>
      </c>
      <c r="D436" s="312"/>
      <c r="E436" s="313"/>
      <c r="F436" s="313"/>
      <c r="G436" s="314" t="s">
        <v>465</v>
      </c>
      <c r="H436" s="336" t="s">
        <v>468</v>
      </c>
      <c r="I436" s="336" t="s">
        <v>491</v>
      </c>
      <c r="J436" s="322" t="s">
        <v>492</v>
      </c>
    </row>
    <row r="437" spans="1:10" x14ac:dyDescent="0.25">
      <c r="A437" s="303"/>
      <c r="B437" s="337"/>
      <c r="C437" s="311"/>
      <c r="D437" s="312"/>
      <c r="E437" s="313"/>
      <c r="F437" s="313"/>
      <c r="G437" s="314"/>
      <c r="H437" s="329"/>
      <c r="I437" s="329"/>
      <c r="J437" s="315"/>
    </row>
    <row r="438" spans="1:10" x14ac:dyDescent="0.25">
      <c r="A438" s="303"/>
      <c r="B438" s="333"/>
      <c r="C438" s="317"/>
      <c r="D438" s="318"/>
      <c r="E438" s="319"/>
      <c r="F438" s="319"/>
      <c r="G438" s="320"/>
      <c r="H438" s="332"/>
      <c r="I438" s="332"/>
      <c r="J438" s="321"/>
    </row>
    <row r="439" spans="1:10" x14ac:dyDescent="0.25">
      <c r="A439" s="303"/>
      <c r="B439" s="333"/>
      <c r="C439" s="317"/>
      <c r="D439" s="318"/>
      <c r="E439" s="319"/>
      <c r="F439" s="319"/>
      <c r="G439" s="320"/>
      <c r="H439" s="332"/>
      <c r="I439" s="332"/>
      <c r="J439" s="321"/>
    </row>
    <row r="440" spans="1:10" x14ac:dyDescent="0.25">
      <c r="A440" s="303"/>
      <c r="B440" s="333"/>
      <c r="C440" s="317"/>
      <c r="D440" s="318"/>
      <c r="E440" s="319"/>
      <c r="F440" s="319"/>
      <c r="G440" s="320"/>
      <c r="H440" s="332"/>
      <c r="I440" s="332"/>
      <c r="J440" s="321"/>
    </row>
    <row r="441" spans="1:10" x14ac:dyDescent="0.25">
      <c r="A441" s="303"/>
      <c r="B441" s="333"/>
      <c r="C441" s="317"/>
      <c r="D441" s="318"/>
      <c r="E441" s="319"/>
      <c r="F441" s="319"/>
      <c r="G441" s="320"/>
      <c r="H441" s="332"/>
      <c r="I441" s="332"/>
      <c r="J441" s="321"/>
    </row>
    <row r="442" spans="1:10" x14ac:dyDescent="0.25">
      <c r="A442" s="303"/>
      <c r="B442" s="310"/>
      <c r="C442" s="334"/>
      <c r="D442" s="312"/>
      <c r="E442" s="313"/>
      <c r="F442" s="313"/>
      <c r="G442" s="313"/>
      <c r="H442" s="343"/>
      <c r="I442" s="335" t="s">
        <v>501</v>
      </c>
      <c r="J442" s="315">
        <v>0</v>
      </c>
    </row>
    <row r="443" spans="1:10" x14ac:dyDescent="0.25">
      <c r="A443" s="303"/>
      <c r="B443" s="310" t="s">
        <v>464</v>
      </c>
      <c r="C443" s="311" t="s">
        <v>502</v>
      </c>
      <c r="D443" s="312"/>
      <c r="E443" s="313"/>
      <c r="F443" s="314" t="s">
        <v>464</v>
      </c>
      <c r="G443" s="324" t="s">
        <v>503</v>
      </c>
      <c r="H443" s="329" t="s">
        <v>465</v>
      </c>
      <c r="I443" s="336" t="s">
        <v>468</v>
      </c>
      <c r="J443" s="322" t="s">
        <v>492</v>
      </c>
    </row>
    <row r="444" spans="1:10" x14ac:dyDescent="0.25">
      <c r="A444" s="303"/>
      <c r="B444" s="337" t="s">
        <v>592</v>
      </c>
      <c r="C444" s="311" t="s">
        <v>886</v>
      </c>
      <c r="D444" s="312"/>
      <c r="E444" s="313"/>
      <c r="F444" s="344" t="s">
        <v>593</v>
      </c>
      <c r="G444" s="314">
        <v>2.2000000000000001E-4</v>
      </c>
      <c r="H444" s="329" t="s">
        <v>370</v>
      </c>
      <c r="I444" s="329">
        <v>23.88</v>
      </c>
      <c r="J444" s="315">
        <v>5.3E-3</v>
      </c>
    </row>
    <row r="445" spans="1:10" x14ac:dyDescent="0.25">
      <c r="A445" s="303"/>
      <c r="B445" s="333" t="s">
        <v>346</v>
      </c>
      <c r="C445" s="317"/>
      <c r="D445" s="318"/>
      <c r="E445" s="319"/>
      <c r="F445" s="320"/>
      <c r="G445" s="320"/>
      <c r="H445" s="332"/>
      <c r="I445" s="332"/>
      <c r="J445" s="321"/>
    </row>
    <row r="446" spans="1:10" x14ac:dyDescent="0.25">
      <c r="A446" s="303"/>
      <c r="B446" s="333" t="s">
        <v>346</v>
      </c>
      <c r="C446" s="317"/>
      <c r="D446" s="318"/>
      <c r="E446" s="319"/>
      <c r="F446" s="320"/>
      <c r="G446" s="320"/>
      <c r="H446" s="332"/>
      <c r="I446" s="332"/>
      <c r="J446" s="321"/>
    </row>
    <row r="447" spans="1:10" x14ac:dyDescent="0.25">
      <c r="A447" s="303"/>
      <c r="B447" s="333" t="s">
        <v>346</v>
      </c>
      <c r="C447" s="317"/>
      <c r="D447" s="318"/>
      <c r="E447" s="319"/>
      <c r="F447" s="320"/>
      <c r="G447" s="320"/>
      <c r="H447" s="332"/>
      <c r="I447" s="332"/>
      <c r="J447" s="321"/>
    </row>
    <row r="448" spans="1:10" x14ac:dyDescent="0.25">
      <c r="A448" s="303"/>
      <c r="B448" s="333" t="s">
        <v>346</v>
      </c>
      <c r="C448" s="317"/>
      <c r="D448" s="318"/>
      <c r="E448" s="319"/>
      <c r="F448" s="320"/>
      <c r="G448" s="320"/>
      <c r="H448" s="332"/>
      <c r="I448" s="332"/>
      <c r="J448" s="321"/>
    </row>
    <row r="449" spans="1:10" x14ac:dyDescent="0.25">
      <c r="A449" s="303"/>
      <c r="B449" s="310"/>
      <c r="C449" s="334"/>
      <c r="D449" s="312"/>
      <c r="E449" s="313"/>
      <c r="F449" s="313"/>
      <c r="G449" s="313"/>
      <c r="H449" s="343"/>
      <c r="I449" s="338" t="s">
        <v>507</v>
      </c>
      <c r="J449" s="315">
        <v>5.3E-3</v>
      </c>
    </row>
    <row r="450" spans="1:10" x14ac:dyDescent="0.25">
      <c r="A450" s="303"/>
      <c r="B450" s="310" t="s">
        <v>464</v>
      </c>
      <c r="C450" s="311" t="s">
        <v>508</v>
      </c>
      <c r="D450" s="345" t="s">
        <v>509</v>
      </c>
      <c r="E450" s="324" t="s">
        <v>873</v>
      </c>
      <c r="F450" s="324" t="s">
        <v>874</v>
      </c>
      <c r="G450" s="324" t="s">
        <v>875</v>
      </c>
      <c r="H450" s="336" t="s">
        <v>468</v>
      </c>
      <c r="I450" s="324" t="s">
        <v>491</v>
      </c>
      <c r="J450" s="322" t="s">
        <v>492</v>
      </c>
    </row>
    <row r="451" spans="1:10" x14ac:dyDescent="0.25">
      <c r="A451" s="303"/>
      <c r="B451" s="337" t="s">
        <v>594</v>
      </c>
      <c r="C451" s="311" t="s">
        <v>887</v>
      </c>
      <c r="D451" s="345" t="s">
        <v>510</v>
      </c>
      <c r="E451" s="314">
        <v>0</v>
      </c>
      <c r="F451" s="314">
        <v>0</v>
      </c>
      <c r="G451" s="314">
        <v>100.45</v>
      </c>
      <c r="H451" s="329">
        <v>0.91</v>
      </c>
      <c r="I451" s="314">
        <v>2.2000000000000001E-4</v>
      </c>
      <c r="J451" s="315">
        <v>2.01E-2</v>
      </c>
    </row>
    <row r="452" spans="1:10" x14ac:dyDescent="0.25">
      <c r="A452" s="303"/>
      <c r="B452" s="333" t="s">
        <v>346</v>
      </c>
      <c r="C452" s="317"/>
      <c r="D452" s="346"/>
      <c r="E452" s="320"/>
      <c r="F452" s="320"/>
      <c r="G452" s="320"/>
      <c r="H452" s="332"/>
      <c r="I452" s="320"/>
      <c r="J452" s="321"/>
    </row>
    <row r="453" spans="1:10" x14ac:dyDescent="0.25">
      <c r="A453" s="303"/>
      <c r="B453" s="333" t="s">
        <v>346</v>
      </c>
      <c r="C453" s="317"/>
      <c r="D453" s="346"/>
      <c r="E453" s="320"/>
      <c r="F453" s="320"/>
      <c r="G453" s="320"/>
      <c r="H453" s="332"/>
      <c r="I453" s="320"/>
      <c r="J453" s="321"/>
    </row>
    <row r="454" spans="1:10" x14ac:dyDescent="0.25">
      <c r="A454" s="303"/>
      <c r="B454" s="333" t="s">
        <v>346</v>
      </c>
      <c r="C454" s="317"/>
      <c r="D454" s="346"/>
      <c r="E454" s="320"/>
      <c r="F454" s="320"/>
      <c r="G454" s="320"/>
      <c r="H454" s="332"/>
      <c r="I454" s="320"/>
      <c r="J454" s="321"/>
    </row>
    <row r="455" spans="1:10" x14ac:dyDescent="0.25">
      <c r="A455" s="303"/>
      <c r="B455" s="333" t="s">
        <v>346</v>
      </c>
      <c r="C455" s="317"/>
      <c r="D455" s="346"/>
      <c r="E455" s="320"/>
      <c r="F455" s="320"/>
      <c r="G455" s="320"/>
      <c r="H455" s="332"/>
      <c r="I455" s="320"/>
      <c r="J455" s="321"/>
    </row>
    <row r="456" spans="1:10" x14ac:dyDescent="0.25">
      <c r="A456" s="303"/>
      <c r="B456" s="333" t="s">
        <v>346</v>
      </c>
      <c r="C456" s="317"/>
      <c r="D456" s="346"/>
      <c r="E456" s="320"/>
      <c r="F456" s="320"/>
      <c r="G456" s="320"/>
      <c r="H456" s="332"/>
      <c r="I456" s="320"/>
      <c r="J456" s="321"/>
    </row>
    <row r="457" spans="1:10" x14ac:dyDescent="0.25">
      <c r="A457" s="303"/>
      <c r="B457" s="333" t="s">
        <v>346</v>
      </c>
      <c r="C457" s="317"/>
      <c r="D457" s="346"/>
      <c r="E457" s="320"/>
      <c r="F457" s="320"/>
      <c r="G457" s="320"/>
      <c r="H457" s="332"/>
      <c r="I457" s="320"/>
      <c r="J457" s="321"/>
    </row>
    <row r="458" spans="1:10" x14ac:dyDescent="0.25">
      <c r="A458" s="303"/>
      <c r="B458" s="310"/>
      <c r="C458" s="334"/>
      <c r="D458" s="312"/>
      <c r="E458" s="313"/>
      <c r="F458" s="313"/>
      <c r="G458" s="313"/>
      <c r="H458" s="313"/>
      <c r="I458" s="338" t="s">
        <v>513</v>
      </c>
      <c r="J458" s="315">
        <v>2.01E-2</v>
      </c>
    </row>
    <row r="459" spans="1:10" x14ac:dyDescent="0.25">
      <c r="A459" s="303"/>
      <c r="B459" s="310" t="s">
        <v>514</v>
      </c>
      <c r="C459" s="334"/>
      <c r="D459" s="312"/>
      <c r="E459" s="313"/>
      <c r="F459" s="313"/>
      <c r="G459" s="313"/>
      <c r="H459" s="313"/>
      <c r="I459" s="313"/>
      <c r="J459" s="315">
        <v>22.950799999999994</v>
      </c>
    </row>
    <row r="460" spans="1:10" x14ac:dyDescent="0.25">
      <c r="A460" s="303"/>
      <c r="B460" s="310" t="s">
        <v>515</v>
      </c>
      <c r="C460" s="334"/>
      <c r="D460" s="312">
        <v>0</v>
      </c>
      <c r="E460" s="313"/>
      <c r="F460" s="313"/>
      <c r="G460" s="313"/>
      <c r="H460" s="313"/>
      <c r="I460" s="313"/>
      <c r="J460" s="315">
        <v>0</v>
      </c>
    </row>
    <row r="461" spans="1:10" ht="14.4" thickBot="1" x14ac:dyDescent="0.3">
      <c r="A461" s="303"/>
      <c r="B461" s="310" t="s">
        <v>516</v>
      </c>
      <c r="C461" s="334"/>
      <c r="D461" s="312"/>
      <c r="E461" s="313"/>
      <c r="F461" s="313"/>
      <c r="G461" s="313"/>
      <c r="H461" s="313"/>
      <c r="I461" s="313"/>
      <c r="J461" s="347">
        <v>22.95</v>
      </c>
    </row>
    <row r="462" spans="1:10" x14ac:dyDescent="0.25">
      <c r="A462" s="303"/>
      <c r="B462" s="304"/>
      <c r="C462" s="305"/>
      <c r="D462" s="348"/>
      <c r="E462" s="308"/>
      <c r="F462" s="308"/>
      <c r="G462" s="308"/>
      <c r="H462" s="308"/>
      <c r="I462" s="308"/>
      <c r="J462" s="309"/>
    </row>
    <row r="463" spans="1:10" x14ac:dyDescent="0.25">
      <c r="A463" s="303"/>
      <c r="B463" s="316"/>
      <c r="C463" s="303"/>
      <c r="D463" s="318"/>
      <c r="E463" s="319"/>
      <c r="F463" s="319"/>
      <c r="G463" s="319"/>
      <c r="H463" s="319"/>
      <c r="I463" s="319"/>
      <c r="J463" s="349"/>
    </row>
    <row r="464" spans="1:10" x14ac:dyDescent="0.25">
      <c r="A464" s="303"/>
      <c r="B464" s="316"/>
      <c r="C464" s="303"/>
      <c r="D464" s="318"/>
      <c r="E464" s="319"/>
      <c r="F464" s="319"/>
      <c r="G464" s="319"/>
      <c r="H464" s="319"/>
      <c r="I464" s="319"/>
      <c r="J464" s="349"/>
    </row>
    <row r="465" spans="1:10" ht="14.4" thickBot="1" x14ac:dyDescent="0.3">
      <c r="A465" s="303"/>
      <c r="B465" s="350"/>
      <c r="C465" s="303"/>
      <c r="D465" s="318"/>
      <c r="E465" s="319"/>
      <c r="F465" s="319"/>
      <c r="G465" s="319"/>
      <c r="H465" s="319"/>
      <c r="I465" s="319"/>
      <c r="J465" s="351"/>
    </row>
    <row r="466" spans="1:10" x14ac:dyDescent="0.25">
      <c r="A466" s="303"/>
      <c r="B466" s="305"/>
      <c r="C466" s="305"/>
      <c r="D466" s="348"/>
      <c r="E466" s="308"/>
      <c r="F466" s="308"/>
      <c r="G466" s="308"/>
      <c r="H466" s="308"/>
      <c r="I466" s="308"/>
      <c r="J466" s="352"/>
    </row>
    <row r="467" spans="1:10" ht="14.4" thickBot="1" x14ac:dyDescent="0.3">
      <c r="A467" s="303"/>
      <c r="B467" s="303"/>
      <c r="C467" s="303"/>
      <c r="D467" s="318"/>
      <c r="E467" s="319"/>
      <c r="F467" s="319"/>
      <c r="G467" s="319"/>
      <c r="H467" s="319"/>
      <c r="I467" s="319"/>
      <c r="J467" s="353"/>
    </row>
    <row r="468" spans="1:10" x14ac:dyDescent="0.25">
      <c r="A468" s="303"/>
      <c r="B468" s="304"/>
      <c r="C468" s="305"/>
      <c r="D468" s="306" t="s">
        <v>463</v>
      </c>
      <c r="E468" s="307"/>
      <c r="F468" s="307"/>
      <c r="G468" s="308"/>
      <c r="H468" s="308"/>
      <c r="I468" s="308"/>
      <c r="J468" s="309"/>
    </row>
    <row r="469" spans="1:10" x14ac:dyDescent="0.25">
      <c r="A469" s="303"/>
      <c r="B469" s="310" t="s">
        <v>464</v>
      </c>
      <c r="C469" s="311" t="s">
        <v>134</v>
      </c>
      <c r="D469" s="312"/>
      <c r="E469" s="313"/>
      <c r="F469" s="313"/>
      <c r="G469" s="313"/>
      <c r="H469" s="314"/>
      <c r="I469" s="313"/>
      <c r="J469" s="315" t="s">
        <v>465</v>
      </c>
    </row>
    <row r="470" spans="1:10" x14ac:dyDescent="0.25">
      <c r="A470" s="303"/>
      <c r="B470" s="316">
        <v>4915698</v>
      </c>
      <c r="C470" s="317" t="s">
        <v>373</v>
      </c>
      <c r="D470" s="318"/>
      <c r="E470" s="319"/>
      <c r="F470" s="319"/>
      <c r="G470" s="319"/>
      <c r="H470" s="320"/>
      <c r="I470" s="319"/>
      <c r="J470" s="321" t="s">
        <v>370</v>
      </c>
    </row>
    <row r="471" spans="1:10" x14ac:dyDescent="0.25">
      <c r="A471" s="303"/>
      <c r="B471" s="310"/>
      <c r="C471" s="311"/>
      <c r="D471" s="312"/>
      <c r="E471" s="314"/>
      <c r="F471" s="314" t="s">
        <v>466</v>
      </c>
      <c r="G471" s="314"/>
      <c r="H471" s="314" t="s">
        <v>467</v>
      </c>
      <c r="I471" s="314"/>
      <c r="J471" s="322" t="s">
        <v>468</v>
      </c>
    </row>
    <row r="472" spans="1:10" x14ac:dyDescent="0.25">
      <c r="A472" s="303"/>
      <c r="B472" s="316" t="s">
        <v>464</v>
      </c>
      <c r="C472" s="317" t="s">
        <v>469</v>
      </c>
      <c r="D472" s="318"/>
      <c r="E472" s="323" t="s">
        <v>355</v>
      </c>
      <c r="F472" s="324" t="s">
        <v>470</v>
      </c>
      <c r="G472" s="324" t="s">
        <v>471</v>
      </c>
      <c r="H472" s="324" t="s">
        <v>472</v>
      </c>
      <c r="I472" s="325" t="s">
        <v>473</v>
      </c>
      <c r="J472" s="326" t="s">
        <v>474</v>
      </c>
    </row>
    <row r="473" spans="1:10" x14ac:dyDescent="0.25">
      <c r="A473" s="303"/>
      <c r="B473" s="327" t="s">
        <v>525</v>
      </c>
      <c r="C473" s="311" t="s">
        <v>876</v>
      </c>
      <c r="D473" s="312"/>
      <c r="E473" s="328">
        <v>1</v>
      </c>
      <c r="F473" s="328">
        <v>1</v>
      </c>
      <c r="G473" s="328">
        <v>0</v>
      </c>
      <c r="H473" s="329">
        <v>109.5994</v>
      </c>
      <c r="I473" s="329">
        <v>45.166899999999998</v>
      </c>
      <c r="J473" s="315">
        <v>109.5994</v>
      </c>
    </row>
    <row r="474" spans="1:10" x14ac:dyDescent="0.25">
      <c r="A474" s="303"/>
      <c r="B474" s="333" t="s">
        <v>346</v>
      </c>
      <c r="C474" s="317"/>
      <c r="D474" s="318"/>
      <c r="E474" s="331"/>
      <c r="F474" s="331"/>
      <c r="G474" s="331"/>
      <c r="H474" s="332"/>
      <c r="I474" s="332"/>
      <c r="J474" s="321"/>
    </row>
    <row r="475" spans="1:10" x14ac:dyDescent="0.25">
      <c r="A475" s="303"/>
      <c r="B475" s="333" t="s">
        <v>346</v>
      </c>
      <c r="C475" s="317"/>
      <c r="D475" s="318"/>
      <c r="E475" s="331"/>
      <c r="F475" s="331"/>
      <c r="G475" s="331"/>
      <c r="H475" s="332"/>
      <c r="I475" s="332"/>
      <c r="J475" s="321"/>
    </row>
    <row r="476" spans="1:10" x14ac:dyDescent="0.25">
      <c r="A476" s="303"/>
      <c r="B476" s="333" t="s">
        <v>346</v>
      </c>
      <c r="C476" s="317"/>
      <c r="D476" s="318"/>
      <c r="E476" s="331"/>
      <c r="F476" s="331"/>
      <c r="G476" s="331"/>
      <c r="H476" s="332"/>
      <c r="I476" s="332"/>
      <c r="J476" s="321"/>
    </row>
    <row r="477" spans="1:10" x14ac:dyDescent="0.25">
      <c r="A477" s="303"/>
      <c r="B477" s="333" t="s">
        <v>346</v>
      </c>
      <c r="C477" s="317"/>
      <c r="D477" s="318"/>
      <c r="E477" s="331"/>
      <c r="F477" s="331"/>
      <c r="G477" s="331"/>
      <c r="H477" s="332"/>
      <c r="I477" s="332"/>
      <c r="J477" s="321"/>
    </row>
    <row r="478" spans="1:10" x14ac:dyDescent="0.25">
      <c r="A478" s="303"/>
      <c r="B478" s="333" t="s">
        <v>346</v>
      </c>
      <c r="C478" s="317"/>
      <c r="D478" s="318"/>
      <c r="E478" s="331"/>
      <c r="F478" s="331"/>
      <c r="G478" s="331"/>
      <c r="H478" s="332"/>
      <c r="I478" s="332"/>
      <c r="J478" s="321"/>
    </row>
    <row r="479" spans="1:10" x14ac:dyDescent="0.25">
      <c r="A479" s="303"/>
      <c r="B479" s="333" t="s">
        <v>346</v>
      </c>
      <c r="C479" s="317"/>
      <c r="D479" s="318"/>
      <c r="E479" s="331"/>
      <c r="F479" s="331"/>
      <c r="G479" s="331"/>
      <c r="H479" s="332"/>
      <c r="I479" s="332"/>
      <c r="J479" s="321"/>
    </row>
    <row r="480" spans="1:10" x14ac:dyDescent="0.25">
      <c r="A480" s="303"/>
      <c r="B480" s="310"/>
      <c r="C480" s="334"/>
      <c r="D480" s="312"/>
      <c r="E480" s="313"/>
      <c r="F480" s="313"/>
      <c r="G480" s="313"/>
      <c r="H480" s="313"/>
      <c r="I480" s="335" t="s">
        <v>479</v>
      </c>
      <c r="J480" s="315">
        <v>109.5994</v>
      </c>
    </row>
    <row r="481" spans="1:10" x14ac:dyDescent="0.25">
      <c r="A481" s="303"/>
      <c r="B481" s="310" t="s">
        <v>464</v>
      </c>
      <c r="C481" s="311" t="s">
        <v>480</v>
      </c>
      <c r="D481" s="312"/>
      <c r="E481" s="313"/>
      <c r="F481" s="313"/>
      <c r="G481" s="313"/>
      <c r="H481" s="324" t="s">
        <v>355</v>
      </c>
      <c r="I481" s="336" t="s">
        <v>481</v>
      </c>
      <c r="J481" s="322" t="s">
        <v>331</v>
      </c>
    </row>
    <row r="482" spans="1:10" x14ac:dyDescent="0.25">
      <c r="A482" s="303"/>
      <c r="B482" s="337" t="s">
        <v>482</v>
      </c>
      <c r="C482" s="311" t="s">
        <v>483</v>
      </c>
      <c r="D482" s="312"/>
      <c r="E482" s="313"/>
      <c r="F482" s="313"/>
      <c r="G482" s="313"/>
      <c r="H482" s="314">
        <v>1</v>
      </c>
      <c r="I482" s="329">
        <v>17.768000000000001</v>
      </c>
      <c r="J482" s="315">
        <v>17.768000000000001</v>
      </c>
    </row>
    <row r="483" spans="1:10" x14ac:dyDescent="0.25">
      <c r="A483" s="303"/>
      <c r="B483" s="333" t="s">
        <v>346</v>
      </c>
      <c r="C483" s="317"/>
      <c r="D483" s="318"/>
      <c r="E483" s="319"/>
      <c r="F483" s="319"/>
      <c r="G483" s="319"/>
      <c r="H483" s="320"/>
      <c r="I483" s="332"/>
      <c r="J483" s="321"/>
    </row>
    <row r="484" spans="1:10" x14ac:dyDescent="0.25">
      <c r="A484" s="303"/>
      <c r="B484" s="333" t="s">
        <v>346</v>
      </c>
      <c r="C484" s="317"/>
      <c r="D484" s="318"/>
      <c r="E484" s="319"/>
      <c r="F484" s="319"/>
      <c r="G484" s="319"/>
      <c r="H484" s="320"/>
      <c r="I484" s="332"/>
      <c r="J484" s="321"/>
    </row>
    <row r="485" spans="1:10" x14ac:dyDescent="0.25">
      <c r="A485" s="303"/>
      <c r="B485" s="333" t="s">
        <v>346</v>
      </c>
      <c r="C485" s="317"/>
      <c r="D485" s="318"/>
      <c r="E485" s="319"/>
      <c r="F485" s="319"/>
      <c r="G485" s="319"/>
      <c r="H485" s="320"/>
      <c r="I485" s="332"/>
      <c r="J485" s="321"/>
    </row>
    <row r="486" spans="1:10" x14ac:dyDescent="0.25">
      <c r="A486" s="303"/>
      <c r="B486" s="333" t="s">
        <v>346</v>
      </c>
      <c r="C486" s="317"/>
      <c r="D486" s="318"/>
      <c r="E486" s="319"/>
      <c r="F486" s="319"/>
      <c r="G486" s="319"/>
      <c r="H486" s="320"/>
      <c r="I486" s="332"/>
      <c r="J486" s="321"/>
    </row>
    <row r="487" spans="1:10" x14ac:dyDescent="0.25">
      <c r="A487" s="303"/>
      <c r="B487" s="333" t="s">
        <v>346</v>
      </c>
      <c r="C487" s="317"/>
      <c r="D487" s="318"/>
      <c r="E487" s="319"/>
      <c r="F487" s="319"/>
      <c r="G487" s="319"/>
      <c r="H487" s="320"/>
      <c r="I487" s="332"/>
      <c r="J487" s="321"/>
    </row>
    <row r="488" spans="1:10" x14ac:dyDescent="0.25">
      <c r="A488" s="303"/>
      <c r="B488" s="333" t="s">
        <v>346</v>
      </c>
      <c r="C488" s="317"/>
      <c r="D488" s="318"/>
      <c r="E488" s="319"/>
      <c r="F488" s="319"/>
      <c r="G488" s="319"/>
      <c r="H488" s="320"/>
      <c r="I488" s="332"/>
      <c r="J488" s="321"/>
    </row>
    <row r="489" spans="1:10" x14ac:dyDescent="0.25">
      <c r="A489" s="303"/>
      <c r="B489" s="310"/>
      <c r="C489" s="334"/>
      <c r="D489" s="312"/>
      <c r="E489" s="313"/>
      <c r="F489" s="313"/>
      <c r="G489" s="313"/>
      <c r="H489" s="313"/>
      <c r="I489" s="338" t="s">
        <v>484</v>
      </c>
      <c r="J489" s="315">
        <v>17.768000000000001</v>
      </c>
    </row>
    <row r="490" spans="1:10" x14ac:dyDescent="0.25">
      <c r="A490" s="303"/>
      <c r="B490" s="339"/>
      <c r="C490" s="334"/>
      <c r="D490" s="312"/>
      <c r="E490" s="313"/>
      <c r="F490" s="313"/>
      <c r="G490" s="313"/>
      <c r="H490" s="313"/>
      <c r="I490" s="338" t="s">
        <v>485</v>
      </c>
      <c r="J490" s="340">
        <v>127.3674</v>
      </c>
    </row>
    <row r="491" spans="1:10" x14ac:dyDescent="0.25">
      <c r="A491" s="303"/>
      <c r="B491" s="339"/>
      <c r="C491" s="341" t="s">
        <v>486</v>
      </c>
      <c r="D491" s="312">
        <v>15.19</v>
      </c>
      <c r="E491" s="313"/>
      <c r="F491" s="313"/>
      <c r="G491" s="313"/>
      <c r="H491" s="313"/>
      <c r="I491" s="338" t="s">
        <v>487</v>
      </c>
      <c r="J491" s="340">
        <v>8.3849999999999998</v>
      </c>
    </row>
    <row r="492" spans="1:10" x14ac:dyDescent="0.25">
      <c r="A492" s="303"/>
      <c r="B492" s="310"/>
      <c r="C492" s="334"/>
      <c r="D492" s="312"/>
      <c r="E492" s="313"/>
      <c r="F492" s="313"/>
      <c r="G492" s="313"/>
      <c r="H492" s="338" t="s">
        <v>488</v>
      </c>
      <c r="I492" s="342">
        <v>0</v>
      </c>
      <c r="J492" s="315">
        <v>0</v>
      </c>
    </row>
    <row r="493" spans="1:10" x14ac:dyDescent="0.25">
      <c r="A493" s="303"/>
      <c r="B493" s="310"/>
      <c r="C493" s="334"/>
      <c r="D493" s="312"/>
      <c r="E493" s="313"/>
      <c r="F493" s="313"/>
      <c r="G493" s="313"/>
      <c r="H493" s="335" t="s">
        <v>489</v>
      </c>
      <c r="I493" s="343">
        <v>0</v>
      </c>
      <c r="J493" s="315">
        <v>0</v>
      </c>
    </row>
    <row r="494" spans="1:10" x14ac:dyDescent="0.25">
      <c r="A494" s="303"/>
      <c r="B494" s="310" t="s">
        <v>464</v>
      </c>
      <c r="C494" s="311" t="s">
        <v>490</v>
      </c>
      <c r="D494" s="312"/>
      <c r="E494" s="313"/>
      <c r="F494" s="313"/>
      <c r="G494" s="314" t="s">
        <v>465</v>
      </c>
      <c r="H494" s="336" t="s">
        <v>468</v>
      </c>
      <c r="I494" s="336" t="s">
        <v>491</v>
      </c>
      <c r="J494" s="322" t="s">
        <v>492</v>
      </c>
    </row>
    <row r="495" spans="1:10" x14ac:dyDescent="0.25">
      <c r="A495" s="303"/>
      <c r="B495" s="337" t="s">
        <v>597</v>
      </c>
      <c r="C495" s="311" t="s">
        <v>888</v>
      </c>
      <c r="D495" s="312"/>
      <c r="E495" s="313"/>
      <c r="F495" s="313"/>
      <c r="G495" s="314" t="s">
        <v>370</v>
      </c>
      <c r="H495" s="329">
        <v>0</v>
      </c>
      <c r="I495" s="329">
        <v>1</v>
      </c>
      <c r="J495" s="315">
        <v>0</v>
      </c>
    </row>
    <row r="496" spans="1:10" x14ac:dyDescent="0.25">
      <c r="A496" s="303"/>
      <c r="B496" s="333" t="s">
        <v>346</v>
      </c>
      <c r="C496" s="317"/>
      <c r="D496" s="318"/>
      <c r="E496" s="319"/>
      <c r="F496" s="319"/>
      <c r="G496" s="320"/>
      <c r="H496" s="332"/>
      <c r="I496" s="332"/>
      <c r="J496" s="321"/>
    </row>
    <row r="497" spans="1:10" x14ac:dyDescent="0.25">
      <c r="A497" s="303"/>
      <c r="B497" s="333" t="s">
        <v>346</v>
      </c>
      <c r="C497" s="317"/>
      <c r="D497" s="318"/>
      <c r="E497" s="319"/>
      <c r="F497" s="319"/>
      <c r="G497" s="320"/>
      <c r="H497" s="332"/>
      <c r="I497" s="332"/>
      <c r="J497" s="321"/>
    </row>
    <row r="498" spans="1:10" x14ac:dyDescent="0.25">
      <c r="A498" s="303"/>
      <c r="B498" s="333" t="s">
        <v>346</v>
      </c>
      <c r="C498" s="317"/>
      <c r="D498" s="318"/>
      <c r="E498" s="319"/>
      <c r="F498" s="319"/>
      <c r="G498" s="320"/>
      <c r="H498" s="332"/>
      <c r="I498" s="332"/>
      <c r="J498" s="321"/>
    </row>
    <row r="499" spans="1:10" x14ac:dyDescent="0.25">
      <c r="A499" s="303"/>
      <c r="B499" s="333" t="s">
        <v>346</v>
      </c>
      <c r="C499" s="317"/>
      <c r="D499" s="318"/>
      <c r="E499" s="319"/>
      <c r="F499" s="319"/>
      <c r="G499" s="320"/>
      <c r="H499" s="332"/>
      <c r="I499" s="332"/>
      <c r="J499" s="321"/>
    </row>
    <row r="500" spans="1:10" x14ac:dyDescent="0.25">
      <c r="A500" s="303"/>
      <c r="B500" s="333" t="s">
        <v>346</v>
      </c>
      <c r="C500" s="317"/>
      <c r="D500" s="318"/>
      <c r="E500" s="319"/>
      <c r="F500" s="319"/>
      <c r="G500" s="320"/>
      <c r="H500" s="332"/>
      <c r="I500" s="332"/>
      <c r="J500" s="321"/>
    </row>
    <row r="501" spans="1:10" x14ac:dyDescent="0.25">
      <c r="A501" s="303"/>
      <c r="B501" s="333" t="s">
        <v>346</v>
      </c>
      <c r="C501" s="317"/>
      <c r="D501" s="318"/>
      <c r="E501" s="319"/>
      <c r="F501" s="319"/>
      <c r="G501" s="320"/>
      <c r="H501" s="332"/>
      <c r="I501" s="332"/>
      <c r="J501" s="321"/>
    </row>
    <row r="502" spans="1:10" x14ac:dyDescent="0.25">
      <c r="A502" s="303"/>
      <c r="B502" s="310"/>
      <c r="C502" s="334"/>
      <c r="D502" s="312"/>
      <c r="E502" s="313"/>
      <c r="F502" s="313"/>
      <c r="G502" s="313"/>
      <c r="H502" s="343"/>
      <c r="I502" s="335" t="s">
        <v>498</v>
      </c>
      <c r="J502" s="315">
        <v>0</v>
      </c>
    </row>
    <row r="503" spans="1:10" x14ac:dyDescent="0.25">
      <c r="A503" s="303"/>
      <c r="B503" s="310" t="s">
        <v>464</v>
      </c>
      <c r="C503" s="311" t="s">
        <v>499</v>
      </c>
      <c r="D503" s="312"/>
      <c r="E503" s="313"/>
      <c r="F503" s="313"/>
      <c r="G503" s="314" t="s">
        <v>465</v>
      </c>
      <c r="H503" s="336" t="s">
        <v>468</v>
      </c>
      <c r="I503" s="336" t="s">
        <v>491</v>
      </c>
      <c r="J503" s="322" t="s">
        <v>492</v>
      </c>
    </row>
    <row r="504" spans="1:10" x14ac:dyDescent="0.25">
      <c r="A504" s="303"/>
      <c r="B504" s="337"/>
      <c r="C504" s="311"/>
      <c r="D504" s="312"/>
      <c r="E504" s="313"/>
      <c r="F504" s="313"/>
      <c r="G504" s="314"/>
      <c r="H504" s="329"/>
      <c r="I504" s="329"/>
      <c r="J504" s="315"/>
    </row>
    <row r="505" spans="1:10" x14ac:dyDescent="0.25">
      <c r="A505" s="303"/>
      <c r="B505" s="333"/>
      <c r="C505" s="317"/>
      <c r="D505" s="318"/>
      <c r="E505" s="319"/>
      <c r="F505" s="319"/>
      <c r="G505" s="320"/>
      <c r="H505" s="332"/>
      <c r="I505" s="332"/>
      <c r="J505" s="321"/>
    </row>
    <row r="506" spans="1:10" x14ac:dyDescent="0.25">
      <c r="A506" s="303"/>
      <c r="B506" s="333"/>
      <c r="C506" s="317"/>
      <c r="D506" s="318"/>
      <c r="E506" s="319"/>
      <c r="F506" s="319"/>
      <c r="G506" s="320"/>
      <c r="H506" s="332"/>
      <c r="I506" s="332"/>
      <c r="J506" s="321"/>
    </row>
    <row r="507" spans="1:10" x14ac:dyDescent="0.25">
      <c r="A507" s="303"/>
      <c r="B507" s="333"/>
      <c r="C507" s="317"/>
      <c r="D507" s="318"/>
      <c r="E507" s="319"/>
      <c r="F507" s="319"/>
      <c r="G507" s="320"/>
      <c r="H507" s="332"/>
      <c r="I507" s="332"/>
      <c r="J507" s="321"/>
    </row>
    <row r="508" spans="1:10" x14ac:dyDescent="0.25">
      <c r="A508" s="303"/>
      <c r="B508" s="333"/>
      <c r="C508" s="317"/>
      <c r="D508" s="318"/>
      <c r="E508" s="319"/>
      <c r="F508" s="319"/>
      <c r="G508" s="320"/>
      <c r="H508" s="332"/>
      <c r="I508" s="332"/>
      <c r="J508" s="321"/>
    </row>
    <row r="509" spans="1:10" x14ac:dyDescent="0.25">
      <c r="A509" s="303"/>
      <c r="B509" s="310"/>
      <c r="C509" s="334"/>
      <c r="D509" s="312"/>
      <c r="E509" s="313"/>
      <c r="F509" s="313"/>
      <c r="G509" s="313"/>
      <c r="H509" s="343"/>
      <c r="I509" s="335" t="s">
        <v>501</v>
      </c>
      <c r="J509" s="315">
        <v>0</v>
      </c>
    </row>
    <row r="510" spans="1:10" x14ac:dyDescent="0.25">
      <c r="A510" s="303"/>
      <c r="B510" s="310" t="s">
        <v>464</v>
      </c>
      <c r="C510" s="311" t="s">
        <v>502</v>
      </c>
      <c r="D510" s="312"/>
      <c r="E510" s="313"/>
      <c r="F510" s="314" t="s">
        <v>464</v>
      </c>
      <c r="G510" s="324" t="s">
        <v>503</v>
      </c>
      <c r="H510" s="329" t="s">
        <v>465</v>
      </c>
      <c r="I510" s="336" t="s">
        <v>468</v>
      </c>
      <c r="J510" s="322" t="s">
        <v>492</v>
      </c>
    </row>
    <row r="511" spans="1:10" x14ac:dyDescent="0.25">
      <c r="A511" s="303"/>
      <c r="B511" s="337" t="s">
        <v>889</v>
      </c>
      <c r="C511" s="311" t="s">
        <v>890</v>
      </c>
      <c r="D511" s="312"/>
      <c r="E511" s="313"/>
      <c r="F511" s="344" t="s">
        <v>891</v>
      </c>
      <c r="G511" s="314">
        <v>1</v>
      </c>
      <c r="H511" s="329" t="s">
        <v>370</v>
      </c>
      <c r="I511" s="329">
        <v>5.48</v>
      </c>
      <c r="J511" s="315">
        <v>5.48</v>
      </c>
    </row>
    <row r="512" spans="1:10" x14ac:dyDescent="0.25">
      <c r="A512" s="303"/>
      <c r="B512" s="333" t="s">
        <v>346</v>
      </c>
      <c r="C512" s="317"/>
      <c r="D512" s="318"/>
      <c r="E512" s="319"/>
      <c r="F512" s="320"/>
      <c r="G512" s="320"/>
      <c r="H512" s="332"/>
      <c r="I512" s="332"/>
      <c r="J512" s="321"/>
    </row>
    <row r="513" spans="1:10" x14ac:dyDescent="0.25">
      <c r="A513" s="303"/>
      <c r="B513" s="333" t="s">
        <v>346</v>
      </c>
      <c r="C513" s="317"/>
      <c r="D513" s="318"/>
      <c r="E513" s="319"/>
      <c r="F513" s="320"/>
      <c r="G513" s="320"/>
      <c r="H513" s="332"/>
      <c r="I513" s="332"/>
      <c r="J513" s="321"/>
    </row>
    <row r="514" spans="1:10" x14ac:dyDescent="0.25">
      <c r="A514" s="303"/>
      <c r="B514" s="333" t="s">
        <v>346</v>
      </c>
      <c r="C514" s="317"/>
      <c r="D514" s="318"/>
      <c r="E514" s="319"/>
      <c r="F514" s="320"/>
      <c r="G514" s="320"/>
      <c r="H514" s="332"/>
      <c r="I514" s="332"/>
      <c r="J514" s="321"/>
    </row>
    <row r="515" spans="1:10" x14ac:dyDescent="0.25">
      <c r="A515" s="303"/>
      <c r="B515" s="333" t="s">
        <v>346</v>
      </c>
      <c r="C515" s="317"/>
      <c r="D515" s="318"/>
      <c r="E515" s="319"/>
      <c r="F515" s="320"/>
      <c r="G515" s="320"/>
      <c r="H515" s="332"/>
      <c r="I515" s="332"/>
      <c r="J515" s="321"/>
    </row>
    <row r="516" spans="1:10" x14ac:dyDescent="0.25">
      <c r="A516" s="303"/>
      <c r="B516" s="310"/>
      <c r="C516" s="334"/>
      <c r="D516" s="312"/>
      <c r="E516" s="313"/>
      <c r="F516" s="313"/>
      <c r="G516" s="313"/>
      <c r="H516" s="343"/>
      <c r="I516" s="338" t="s">
        <v>507</v>
      </c>
      <c r="J516" s="315">
        <v>5.48</v>
      </c>
    </row>
    <row r="517" spans="1:10" x14ac:dyDescent="0.25">
      <c r="A517" s="303"/>
      <c r="B517" s="310" t="s">
        <v>464</v>
      </c>
      <c r="C517" s="311" t="s">
        <v>508</v>
      </c>
      <c r="D517" s="345" t="s">
        <v>509</v>
      </c>
      <c r="E517" s="324" t="s">
        <v>873</v>
      </c>
      <c r="F517" s="324" t="s">
        <v>874</v>
      </c>
      <c r="G517" s="324" t="s">
        <v>875</v>
      </c>
      <c r="H517" s="336" t="s">
        <v>468</v>
      </c>
      <c r="I517" s="324" t="s">
        <v>491</v>
      </c>
      <c r="J517" s="322" t="s">
        <v>492</v>
      </c>
    </row>
    <row r="518" spans="1:10" x14ac:dyDescent="0.25">
      <c r="A518" s="303"/>
      <c r="B518" s="337" t="s">
        <v>598</v>
      </c>
      <c r="C518" s="311" t="s">
        <v>892</v>
      </c>
      <c r="D518" s="345" t="s">
        <v>510</v>
      </c>
      <c r="E518" s="314">
        <v>0</v>
      </c>
      <c r="F518" s="314">
        <v>0</v>
      </c>
      <c r="G518" s="314">
        <v>25.11</v>
      </c>
      <c r="H518" s="329">
        <v>0.64</v>
      </c>
      <c r="I518" s="314">
        <v>1</v>
      </c>
      <c r="J518" s="315">
        <v>16.070399999999999</v>
      </c>
    </row>
    <row r="519" spans="1:10" x14ac:dyDescent="0.25">
      <c r="A519" s="303"/>
      <c r="B519" s="333" t="s">
        <v>346</v>
      </c>
      <c r="C519" s="317"/>
      <c r="D519" s="346"/>
      <c r="E519" s="320"/>
      <c r="F519" s="320"/>
      <c r="G519" s="320"/>
      <c r="H519" s="332"/>
      <c r="I519" s="320"/>
      <c r="J519" s="321"/>
    </row>
    <row r="520" spans="1:10" x14ac:dyDescent="0.25">
      <c r="A520" s="303"/>
      <c r="B520" s="333" t="s">
        <v>346</v>
      </c>
      <c r="C520" s="317"/>
      <c r="D520" s="346"/>
      <c r="E520" s="320"/>
      <c r="F520" s="320"/>
      <c r="G520" s="320"/>
      <c r="H520" s="332"/>
      <c r="I520" s="320"/>
      <c r="J520" s="321"/>
    </row>
    <row r="521" spans="1:10" x14ac:dyDescent="0.25">
      <c r="A521" s="303"/>
      <c r="B521" s="333" t="s">
        <v>346</v>
      </c>
      <c r="C521" s="317"/>
      <c r="D521" s="346"/>
      <c r="E521" s="320"/>
      <c r="F521" s="320"/>
      <c r="G521" s="320"/>
      <c r="H521" s="332"/>
      <c r="I521" s="320"/>
      <c r="J521" s="321"/>
    </row>
    <row r="522" spans="1:10" x14ac:dyDescent="0.25">
      <c r="A522" s="303"/>
      <c r="B522" s="333" t="s">
        <v>346</v>
      </c>
      <c r="C522" s="317"/>
      <c r="D522" s="346"/>
      <c r="E522" s="320"/>
      <c r="F522" s="320"/>
      <c r="G522" s="320"/>
      <c r="H522" s="332"/>
      <c r="I522" s="320"/>
      <c r="J522" s="321"/>
    </row>
    <row r="523" spans="1:10" x14ac:dyDescent="0.25">
      <c r="A523" s="303"/>
      <c r="B523" s="333" t="s">
        <v>346</v>
      </c>
      <c r="C523" s="317"/>
      <c r="D523" s="346"/>
      <c r="E523" s="320"/>
      <c r="F523" s="320"/>
      <c r="G523" s="320"/>
      <c r="H523" s="332"/>
      <c r="I523" s="320"/>
      <c r="J523" s="321"/>
    </row>
    <row r="524" spans="1:10" x14ac:dyDescent="0.25">
      <c r="A524" s="303"/>
      <c r="B524" s="333" t="s">
        <v>346</v>
      </c>
      <c r="C524" s="317"/>
      <c r="D524" s="346"/>
      <c r="E524" s="320"/>
      <c r="F524" s="320"/>
      <c r="G524" s="320"/>
      <c r="H524" s="332"/>
      <c r="I524" s="320"/>
      <c r="J524" s="321"/>
    </row>
    <row r="525" spans="1:10" x14ac:dyDescent="0.25">
      <c r="A525" s="303"/>
      <c r="B525" s="310"/>
      <c r="C525" s="334"/>
      <c r="D525" s="312"/>
      <c r="E525" s="313"/>
      <c r="F525" s="313"/>
      <c r="G525" s="313"/>
      <c r="H525" s="313"/>
      <c r="I525" s="338" t="s">
        <v>513</v>
      </c>
      <c r="J525" s="315">
        <v>16.070399999999999</v>
      </c>
    </row>
    <row r="526" spans="1:10" x14ac:dyDescent="0.25">
      <c r="A526" s="303"/>
      <c r="B526" s="310" t="s">
        <v>514</v>
      </c>
      <c r="C526" s="334"/>
      <c r="D526" s="312"/>
      <c r="E526" s="313"/>
      <c r="F526" s="313"/>
      <c r="G526" s="313"/>
      <c r="H526" s="313"/>
      <c r="I526" s="313"/>
      <c r="J526" s="315">
        <v>29.935400000000001</v>
      </c>
    </row>
    <row r="527" spans="1:10" x14ac:dyDescent="0.25">
      <c r="A527" s="303"/>
      <c r="B527" s="310" t="s">
        <v>515</v>
      </c>
      <c r="C527" s="334"/>
      <c r="D527" s="312">
        <v>0</v>
      </c>
      <c r="E527" s="313"/>
      <c r="F527" s="313"/>
      <c r="G527" s="313"/>
      <c r="H527" s="313"/>
      <c r="I527" s="313"/>
      <c r="J527" s="315">
        <v>0</v>
      </c>
    </row>
    <row r="528" spans="1:10" ht="14.4" thickBot="1" x14ac:dyDescent="0.3">
      <c r="A528" s="303"/>
      <c r="B528" s="310" t="s">
        <v>516</v>
      </c>
      <c r="C528" s="334"/>
      <c r="D528" s="312"/>
      <c r="E528" s="313"/>
      <c r="F528" s="313"/>
      <c r="G528" s="313"/>
      <c r="H528" s="313"/>
      <c r="I528" s="313"/>
      <c r="J528" s="347">
        <v>29.94</v>
      </c>
    </row>
    <row r="529" spans="1:10" x14ac:dyDescent="0.25">
      <c r="A529" s="303"/>
      <c r="B529" s="304"/>
      <c r="C529" s="305"/>
      <c r="D529" s="348"/>
      <c r="E529" s="308"/>
      <c r="F529" s="308"/>
      <c r="G529" s="308"/>
      <c r="H529" s="308"/>
      <c r="I529" s="308"/>
      <c r="J529" s="309"/>
    </row>
    <row r="530" spans="1:10" x14ac:dyDescent="0.25">
      <c r="A530" s="303"/>
      <c r="B530" s="316"/>
      <c r="C530" s="303"/>
      <c r="D530" s="318"/>
      <c r="E530" s="319"/>
      <c r="F530" s="319"/>
      <c r="G530" s="319"/>
      <c r="H530" s="319"/>
      <c r="I530" s="319"/>
      <c r="J530" s="349"/>
    </row>
    <row r="531" spans="1:10" x14ac:dyDescent="0.25">
      <c r="A531" s="303"/>
      <c r="B531" s="316"/>
      <c r="C531" s="303"/>
      <c r="D531" s="318"/>
      <c r="E531" s="319"/>
      <c r="F531" s="319"/>
      <c r="G531" s="319"/>
      <c r="H531" s="319"/>
      <c r="I531" s="319"/>
      <c r="J531" s="349"/>
    </row>
    <row r="532" spans="1:10" ht="14.4" thickBot="1" x14ac:dyDescent="0.3">
      <c r="A532" s="303"/>
      <c r="B532" s="350"/>
      <c r="C532" s="303"/>
      <c r="D532" s="318"/>
      <c r="E532" s="319"/>
      <c r="F532" s="319"/>
      <c r="G532" s="319"/>
      <c r="H532" s="319"/>
      <c r="I532" s="319"/>
      <c r="J532" s="351"/>
    </row>
    <row r="533" spans="1:10" x14ac:dyDescent="0.25">
      <c r="A533" s="303"/>
      <c r="B533" s="305"/>
      <c r="C533" s="305"/>
      <c r="D533" s="348"/>
      <c r="E533" s="308"/>
      <c r="F533" s="308"/>
      <c r="G533" s="308"/>
      <c r="H533" s="308"/>
      <c r="I533" s="308"/>
      <c r="J533" s="352"/>
    </row>
    <row r="534" spans="1:10" ht="14.4" thickBot="1" x14ac:dyDescent="0.3">
      <c r="A534" s="303"/>
      <c r="B534" s="303"/>
      <c r="C534" s="303"/>
      <c r="D534" s="318"/>
      <c r="E534" s="319"/>
      <c r="F534" s="319"/>
      <c r="G534" s="319"/>
      <c r="H534" s="319"/>
      <c r="I534" s="319"/>
      <c r="J534" s="353"/>
    </row>
    <row r="535" spans="1:10" x14ac:dyDescent="0.25">
      <c r="A535" s="303"/>
      <c r="B535" s="304"/>
      <c r="C535" s="305"/>
      <c r="D535" s="306" t="s">
        <v>463</v>
      </c>
      <c r="E535" s="307"/>
      <c r="F535" s="307"/>
      <c r="G535" s="308"/>
      <c r="H535" s="308"/>
      <c r="I535" s="308"/>
      <c r="J535" s="309"/>
    </row>
    <row r="536" spans="1:10" x14ac:dyDescent="0.25">
      <c r="A536" s="303"/>
      <c r="B536" s="310" t="s">
        <v>464</v>
      </c>
      <c r="C536" s="311" t="s">
        <v>134</v>
      </c>
      <c r="D536" s="312"/>
      <c r="E536" s="313"/>
      <c r="F536" s="313"/>
      <c r="G536" s="313"/>
      <c r="H536" s="314"/>
      <c r="I536" s="313"/>
      <c r="J536" s="315" t="s">
        <v>465</v>
      </c>
    </row>
    <row r="537" spans="1:10" x14ac:dyDescent="0.25">
      <c r="A537" s="303"/>
      <c r="B537" s="316">
        <v>4915753</v>
      </c>
      <c r="C537" s="317" t="s">
        <v>374</v>
      </c>
      <c r="D537" s="318"/>
      <c r="E537" s="319"/>
      <c r="F537" s="319"/>
      <c r="G537" s="319"/>
      <c r="H537" s="320"/>
      <c r="I537" s="319"/>
      <c r="J537" s="321" t="s">
        <v>365</v>
      </c>
    </row>
    <row r="538" spans="1:10" x14ac:dyDescent="0.25">
      <c r="A538" s="303"/>
      <c r="B538" s="310"/>
      <c r="C538" s="311"/>
      <c r="D538" s="312"/>
      <c r="E538" s="314"/>
      <c r="F538" s="314" t="s">
        <v>466</v>
      </c>
      <c r="G538" s="314"/>
      <c r="H538" s="314" t="s">
        <v>467</v>
      </c>
      <c r="I538" s="314"/>
      <c r="J538" s="322" t="s">
        <v>468</v>
      </c>
    </row>
    <row r="539" spans="1:10" x14ac:dyDescent="0.25">
      <c r="A539" s="303"/>
      <c r="B539" s="316" t="s">
        <v>464</v>
      </c>
      <c r="C539" s="317" t="s">
        <v>469</v>
      </c>
      <c r="D539" s="318"/>
      <c r="E539" s="323" t="s">
        <v>355</v>
      </c>
      <c r="F539" s="324" t="s">
        <v>470</v>
      </c>
      <c r="G539" s="324" t="s">
        <v>471</v>
      </c>
      <c r="H539" s="324" t="s">
        <v>472</v>
      </c>
      <c r="I539" s="325" t="s">
        <v>473</v>
      </c>
      <c r="J539" s="326" t="s">
        <v>474</v>
      </c>
    </row>
    <row r="540" spans="1:10" x14ac:dyDescent="0.25">
      <c r="A540" s="303"/>
      <c r="B540" s="327" t="s">
        <v>519</v>
      </c>
      <c r="C540" s="311" t="s">
        <v>520</v>
      </c>
      <c r="D540" s="312"/>
      <c r="E540" s="328">
        <v>1</v>
      </c>
      <c r="F540" s="328">
        <v>0.01</v>
      </c>
      <c r="G540" s="328">
        <v>0.99</v>
      </c>
      <c r="H540" s="329">
        <v>5.4848999999999997</v>
      </c>
      <c r="I540" s="329">
        <v>0.35249999999999998</v>
      </c>
      <c r="J540" s="315">
        <v>0.40379999999999999</v>
      </c>
    </row>
    <row r="541" spans="1:10" x14ac:dyDescent="0.25">
      <c r="A541" s="303"/>
      <c r="B541" s="330" t="s">
        <v>477</v>
      </c>
      <c r="C541" s="317" t="s">
        <v>478</v>
      </c>
      <c r="D541" s="318"/>
      <c r="E541" s="331">
        <v>1</v>
      </c>
      <c r="F541" s="331">
        <v>0.18</v>
      </c>
      <c r="G541" s="331">
        <v>0.82</v>
      </c>
      <c r="H541" s="332">
        <v>21.3766</v>
      </c>
      <c r="I541" s="332">
        <v>1.5183</v>
      </c>
      <c r="J541" s="321">
        <v>5.0928000000000004</v>
      </c>
    </row>
    <row r="542" spans="1:10" x14ac:dyDescent="0.25">
      <c r="A542" s="303"/>
      <c r="B542" s="330" t="s">
        <v>589</v>
      </c>
      <c r="C542" s="317" t="s">
        <v>893</v>
      </c>
      <c r="D542" s="318"/>
      <c r="E542" s="331">
        <v>1</v>
      </c>
      <c r="F542" s="331">
        <v>1</v>
      </c>
      <c r="G542" s="331">
        <v>0</v>
      </c>
      <c r="H542" s="332">
        <v>21.064599999999999</v>
      </c>
      <c r="I542" s="332">
        <v>6.2096</v>
      </c>
      <c r="J542" s="321">
        <v>21.064599999999999</v>
      </c>
    </row>
    <row r="543" spans="1:10" x14ac:dyDescent="0.25">
      <c r="A543" s="303"/>
      <c r="B543" s="330" t="s">
        <v>894</v>
      </c>
      <c r="C543" s="317" t="s">
        <v>895</v>
      </c>
      <c r="D543" s="318"/>
      <c r="E543" s="331">
        <v>1</v>
      </c>
      <c r="F543" s="331">
        <v>1</v>
      </c>
      <c r="G543" s="331">
        <v>0</v>
      </c>
      <c r="H543" s="332">
        <v>22.7193</v>
      </c>
      <c r="I543" s="332">
        <v>21.686900000000001</v>
      </c>
      <c r="J543" s="321">
        <v>22.7193</v>
      </c>
    </row>
    <row r="544" spans="1:10" x14ac:dyDescent="0.25">
      <c r="A544" s="303"/>
      <c r="B544" s="333" t="s">
        <v>346</v>
      </c>
      <c r="C544" s="317"/>
      <c r="D544" s="318"/>
      <c r="E544" s="331"/>
      <c r="F544" s="331"/>
      <c r="G544" s="331"/>
      <c r="H544" s="332"/>
      <c r="I544" s="332"/>
      <c r="J544" s="321"/>
    </row>
    <row r="545" spans="1:10" x14ac:dyDescent="0.25">
      <c r="A545" s="303"/>
      <c r="B545" s="333" t="s">
        <v>346</v>
      </c>
      <c r="C545" s="317"/>
      <c r="D545" s="318"/>
      <c r="E545" s="331"/>
      <c r="F545" s="331"/>
      <c r="G545" s="331"/>
      <c r="H545" s="332"/>
      <c r="I545" s="332"/>
      <c r="J545" s="321"/>
    </row>
    <row r="546" spans="1:10" x14ac:dyDescent="0.25">
      <c r="A546" s="303"/>
      <c r="B546" s="333" t="s">
        <v>346</v>
      </c>
      <c r="C546" s="317"/>
      <c r="D546" s="318"/>
      <c r="E546" s="331"/>
      <c r="F546" s="331"/>
      <c r="G546" s="331"/>
      <c r="H546" s="332"/>
      <c r="I546" s="332"/>
      <c r="J546" s="321"/>
    </row>
    <row r="547" spans="1:10" x14ac:dyDescent="0.25">
      <c r="A547" s="303"/>
      <c r="B547" s="310"/>
      <c r="C547" s="334"/>
      <c r="D547" s="312"/>
      <c r="E547" s="313"/>
      <c r="F547" s="313"/>
      <c r="G547" s="313"/>
      <c r="H547" s="313"/>
      <c r="I547" s="335" t="s">
        <v>479</v>
      </c>
      <c r="J547" s="315">
        <v>49.280500000000004</v>
      </c>
    </row>
    <row r="548" spans="1:10" x14ac:dyDescent="0.25">
      <c r="A548" s="303"/>
      <c r="B548" s="310" t="s">
        <v>464</v>
      </c>
      <c r="C548" s="311" t="s">
        <v>480</v>
      </c>
      <c r="D548" s="312"/>
      <c r="E548" s="313"/>
      <c r="F548" s="313"/>
      <c r="G548" s="313"/>
      <c r="H548" s="324" t="s">
        <v>355</v>
      </c>
      <c r="I548" s="336" t="s">
        <v>481</v>
      </c>
      <c r="J548" s="322" t="s">
        <v>331</v>
      </c>
    </row>
    <row r="549" spans="1:10" x14ac:dyDescent="0.25">
      <c r="A549" s="303"/>
      <c r="B549" s="337" t="s">
        <v>482</v>
      </c>
      <c r="C549" s="311" t="s">
        <v>483</v>
      </c>
      <c r="D549" s="312"/>
      <c r="E549" s="313"/>
      <c r="F549" s="313"/>
      <c r="G549" s="313"/>
      <c r="H549" s="314">
        <v>3</v>
      </c>
      <c r="I549" s="329">
        <v>17.768000000000001</v>
      </c>
      <c r="J549" s="315">
        <v>53.304000000000002</v>
      </c>
    </row>
    <row r="550" spans="1:10" x14ac:dyDescent="0.25">
      <c r="A550" s="303"/>
      <c r="B550" s="333" t="s">
        <v>346</v>
      </c>
      <c r="C550" s="317"/>
      <c r="D550" s="318"/>
      <c r="E550" s="319"/>
      <c r="F550" s="319"/>
      <c r="G550" s="319"/>
      <c r="H550" s="320"/>
      <c r="I550" s="332"/>
      <c r="J550" s="321"/>
    </row>
    <row r="551" spans="1:10" x14ac:dyDescent="0.25">
      <c r="A551" s="303"/>
      <c r="B551" s="333" t="s">
        <v>346</v>
      </c>
      <c r="C551" s="317"/>
      <c r="D551" s="318"/>
      <c r="E551" s="319"/>
      <c r="F551" s="319"/>
      <c r="G551" s="319"/>
      <c r="H551" s="320"/>
      <c r="I551" s="332"/>
      <c r="J551" s="321"/>
    </row>
    <row r="552" spans="1:10" x14ac:dyDescent="0.25">
      <c r="A552" s="303"/>
      <c r="B552" s="333" t="s">
        <v>346</v>
      </c>
      <c r="C552" s="317"/>
      <c r="D552" s="318"/>
      <c r="E552" s="319"/>
      <c r="F552" s="319"/>
      <c r="G552" s="319"/>
      <c r="H552" s="320"/>
      <c r="I552" s="332"/>
      <c r="J552" s="321"/>
    </row>
    <row r="553" spans="1:10" x14ac:dyDescent="0.25">
      <c r="A553" s="303"/>
      <c r="B553" s="333" t="s">
        <v>346</v>
      </c>
      <c r="C553" s="317"/>
      <c r="D553" s="318"/>
      <c r="E553" s="319"/>
      <c r="F553" s="319"/>
      <c r="G553" s="319"/>
      <c r="H553" s="320"/>
      <c r="I553" s="332"/>
      <c r="J553" s="321"/>
    </row>
    <row r="554" spans="1:10" x14ac:dyDescent="0.25">
      <c r="A554" s="303"/>
      <c r="B554" s="333" t="s">
        <v>346</v>
      </c>
      <c r="C554" s="317"/>
      <c r="D554" s="318"/>
      <c r="E554" s="319"/>
      <c r="F554" s="319"/>
      <c r="G554" s="319"/>
      <c r="H554" s="320"/>
      <c r="I554" s="332"/>
      <c r="J554" s="321"/>
    </row>
    <row r="555" spans="1:10" x14ac:dyDescent="0.25">
      <c r="A555" s="303"/>
      <c r="B555" s="333" t="s">
        <v>346</v>
      </c>
      <c r="C555" s="317"/>
      <c r="D555" s="318"/>
      <c r="E555" s="319"/>
      <c r="F555" s="319"/>
      <c r="G555" s="319"/>
      <c r="H555" s="320"/>
      <c r="I555" s="332"/>
      <c r="J555" s="321"/>
    </row>
    <row r="556" spans="1:10" x14ac:dyDescent="0.25">
      <c r="A556" s="303"/>
      <c r="B556" s="310"/>
      <c r="C556" s="334"/>
      <c r="D556" s="312"/>
      <c r="E556" s="313"/>
      <c r="F556" s="313"/>
      <c r="G556" s="313"/>
      <c r="H556" s="313"/>
      <c r="I556" s="338" t="s">
        <v>484</v>
      </c>
      <c r="J556" s="315">
        <v>53.304000000000002</v>
      </c>
    </row>
    <row r="557" spans="1:10" x14ac:dyDescent="0.25">
      <c r="A557" s="303"/>
      <c r="B557" s="339"/>
      <c r="C557" s="334"/>
      <c r="D557" s="312"/>
      <c r="E557" s="313"/>
      <c r="F557" s="313"/>
      <c r="G557" s="313"/>
      <c r="H557" s="313"/>
      <c r="I557" s="338" t="s">
        <v>485</v>
      </c>
      <c r="J557" s="340">
        <v>102.58450000000001</v>
      </c>
    </row>
    <row r="558" spans="1:10" x14ac:dyDescent="0.25">
      <c r="A558" s="303"/>
      <c r="B558" s="339"/>
      <c r="C558" s="341" t="s">
        <v>486</v>
      </c>
      <c r="D558" s="312">
        <v>0.73894000000000004</v>
      </c>
      <c r="E558" s="313"/>
      <c r="F558" s="313"/>
      <c r="G558" s="313"/>
      <c r="H558" s="313"/>
      <c r="I558" s="338" t="s">
        <v>487</v>
      </c>
      <c r="J558" s="340">
        <v>138.82660000000001</v>
      </c>
    </row>
    <row r="559" spans="1:10" x14ac:dyDescent="0.25">
      <c r="A559" s="303"/>
      <c r="B559" s="310"/>
      <c r="C559" s="334"/>
      <c r="D559" s="312"/>
      <c r="E559" s="313"/>
      <c r="F559" s="313"/>
      <c r="G559" s="313"/>
      <c r="H559" s="338" t="s">
        <v>488</v>
      </c>
      <c r="I559" s="342">
        <v>1.8530000000000001E-2</v>
      </c>
      <c r="J559" s="315">
        <v>2.5724999999999998</v>
      </c>
    </row>
    <row r="560" spans="1:10" x14ac:dyDescent="0.25">
      <c r="A560" s="303"/>
      <c r="B560" s="310"/>
      <c r="C560" s="334"/>
      <c r="D560" s="312"/>
      <c r="E560" s="313"/>
      <c r="F560" s="313"/>
      <c r="G560" s="313"/>
      <c r="H560" s="335" t="s">
        <v>489</v>
      </c>
      <c r="I560" s="343">
        <v>0</v>
      </c>
      <c r="J560" s="315">
        <v>0</v>
      </c>
    </row>
    <row r="561" spans="1:10" x14ac:dyDescent="0.25">
      <c r="A561" s="303"/>
      <c r="B561" s="310" t="s">
        <v>464</v>
      </c>
      <c r="C561" s="311" t="s">
        <v>490</v>
      </c>
      <c r="D561" s="312"/>
      <c r="E561" s="313"/>
      <c r="F561" s="313"/>
      <c r="G561" s="314" t="s">
        <v>465</v>
      </c>
      <c r="H561" s="336" t="s">
        <v>468</v>
      </c>
      <c r="I561" s="336" t="s">
        <v>491</v>
      </c>
      <c r="J561" s="322" t="s">
        <v>492</v>
      </c>
    </row>
    <row r="562" spans="1:10" x14ac:dyDescent="0.25">
      <c r="A562" s="303"/>
      <c r="B562" s="337" t="s">
        <v>602</v>
      </c>
      <c r="C562" s="311" t="s">
        <v>896</v>
      </c>
      <c r="D562" s="312"/>
      <c r="E562" s="313"/>
      <c r="F562" s="313"/>
      <c r="G562" s="314" t="s">
        <v>368</v>
      </c>
      <c r="H562" s="329">
        <v>1.1623000000000001</v>
      </c>
      <c r="I562" s="329">
        <v>5</v>
      </c>
      <c r="J562" s="315">
        <v>5.8114999999999997</v>
      </c>
    </row>
    <row r="563" spans="1:10" x14ac:dyDescent="0.25">
      <c r="A563" s="303"/>
      <c r="B563" s="333" t="s">
        <v>493</v>
      </c>
      <c r="C563" s="317" t="s">
        <v>494</v>
      </c>
      <c r="D563" s="318"/>
      <c r="E563" s="319"/>
      <c r="F563" s="319"/>
      <c r="G563" s="320" t="s">
        <v>433</v>
      </c>
      <c r="H563" s="332">
        <v>348.2038</v>
      </c>
      <c r="I563" s="332">
        <v>6.25E-2</v>
      </c>
      <c r="J563" s="321">
        <v>21.762699999999999</v>
      </c>
    </row>
    <row r="564" spans="1:10" x14ac:dyDescent="0.25">
      <c r="A564" s="303"/>
      <c r="B564" s="333" t="s">
        <v>603</v>
      </c>
      <c r="C564" s="317" t="s">
        <v>604</v>
      </c>
      <c r="D564" s="318"/>
      <c r="E564" s="319"/>
      <c r="F564" s="319"/>
      <c r="G564" s="320" t="s">
        <v>560</v>
      </c>
      <c r="H564" s="332">
        <v>41.124200000000002</v>
      </c>
      <c r="I564" s="332">
        <v>9.5625</v>
      </c>
      <c r="J564" s="321">
        <v>393.25020000000001</v>
      </c>
    </row>
    <row r="565" spans="1:10" x14ac:dyDescent="0.25">
      <c r="A565" s="303"/>
      <c r="B565" s="333" t="s">
        <v>605</v>
      </c>
      <c r="C565" s="317" t="s">
        <v>606</v>
      </c>
      <c r="D565" s="318"/>
      <c r="E565" s="319"/>
      <c r="F565" s="319"/>
      <c r="G565" s="320" t="s">
        <v>433</v>
      </c>
      <c r="H565" s="332">
        <v>239.453</v>
      </c>
      <c r="I565" s="332">
        <v>0.16667000000000001</v>
      </c>
      <c r="J565" s="321">
        <v>39.909599999999998</v>
      </c>
    </row>
    <row r="566" spans="1:10" x14ac:dyDescent="0.25">
      <c r="A566" s="303"/>
      <c r="B566" s="333" t="s">
        <v>346</v>
      </c>
      <c r="C566" s="317"/>
      <c r="D566" s="318"/>
      <c r="E566" s="319"/>
      <c r="F566" s="319"/>
      <c r="G566" s="320"/>
      <c r="H566" s="332"/>
      <c r="I566" s="332"/>
      <c r="J566" s="321"/>
    </row>
    <row r="567" spans="1:10" x14ac:dyDescent="0.25">
      <c r="A567" s="303"/>
      <c r="B567" s="333" t="s">
        <v>346</v>
      </c>
      <c r="C567" s="317"/>
      <c r="D567" s="318"/>
      <c r="E567" s="319"/>
      <c r="F567" s="319"/>
      <c r="G567" s="320"/>
      <c r="H567" s="332"/>
      <c r="I567" s="332"/>
      <c r="J567" s="321"/>
    </row>
    <row r="568" spans="1:10" x14ac:dyDescent="0.25">
      <c r="A568" s="303"/>
      <c r="B568" s="310"/>
      <c r="C568" s="334"/>
      <c r="D568" s="312"/>
      <c r="E568" s="313"/>
      <c r="F568" s="313"/>
      <c r="G568" s="313"/>
      <c r="H568" s="343"/>
      <c r="I568" s="335" t="s">
        <v>498</v>
      </c>
      <c r="J568" s="315">
        <v>460.73400000000004</v>
      </c>
    </row>
    <row r="569" spans="1:10" x14ac:dyDescent="0.25">
      <c r="A569" s="303"/>
      <c r="B569" s="310" t="s">
        <v>464</v>
      </c>
      <c r="C569" s="311" t="s">
        <v>499</v>
      </c>
      <c r="D569" s="312"/>
      <c r="E569" s="313"/>
      <c r="F569" s="313"/>
      <c r="G569" s="314" t="s">
        <v>465</v>
      </c>
      <c r="H569" s="336" t="s">
        <v>468</v>
      </c>
      <c r="I569" s="336" t="s">
        <v>491</v>
      </c>
      <c r="J569" s="322" t="s">
        <v>492</v>
      </c>
    </row>
    <row r="570" spans="1:10" x14ac:dyDescent="0.25">
      <c r="A570" s="303"/>
      <c r="B570" s="337">
        <v>1100657</v>
      </c>
      <c r="C570" s="311" t="s">
        <v>897</v>
      </c>
      <c r="D570" s="312"/>
      <c r="E570" s="313"/>
      <c r="F570" s="313"/>
      <c r="G570" s="314" t="s">
        <v>365</v>
      </c>
      <c r="H570" s="329">
        <v>2.94</v>
      </c>
      <c r="I570" s="329">
        <v>1</v>
      </c>
      <c r="J570" s="315">
        <v>2.94</v>
      </c>
    </row>
    <row r="571" spans="1:10" x14ac:dyDescent="0.25">
      <c r="A571" s="303"/>
      <c r="B571" s="333">
        <v>1107900</v>
      </c>
      <c r="C571" s="317" t="s">
        <v>607</v>
      </c>
      <c r="D571" s="318"/>
      <c r="E571" s="319"/>
      <c r="F571" s="319"/>
      <c r="G571" s="320" t="s">
        <v>365</v>
      </c>
      <c r="H571" s="332">
        <v>492.15</v>
      </c>
      <c r="I571" s="332">
        <v>1</v>
      </c>
      <c r="J571" s="321">
        <v>492.15</v>
      </c>
    </row>
    <row r="572" spans="1:10" x14ac:dyDescent="0.25">
      <c r="A572" s="303"/>
      <c r="B572" s="333"/>
      <c r="C572" s="317"/>
      <c r="D572" s="318"/>
      <c r="E572" s="319"/>
      <c r="F572" s="319"/>
      <c r="G572" s="320"/>
      <c r="H572" s="332"/>
      <c r="I572" s="332"/>
      <c r="J572" s="321"/>
    </row>
    <row r="573" spans="1:10" x14ac:dyDescent="0.25">
      <c r="A573" s="303"/>
      <c r="B573" s="333"/>
      <c r="C573" s="317"/>
      <c r="D573" s="318"/>
      <c r="E573" s="319"/>
      <c r="F573" s="319"/>
      <c r="G573" s="320"/>
      <c r="H573" s="332"/>
      <c r="I573" s="332"/>
      <c r="J573" s="321"/>
    </row>
    <row r="574" spans="1:10" x14ac:dyDescent="0.25">
      <c r="A574" s="303"/>
      <c r="B574" s="333"/>
      <c r="C574" s="317"/>
      <c r="D574" s="318"/>
      <c r="E574" s="319"/>
      <c r="F574" s="319"/>
      <c r="G574" s="320"/>
      <c r="H574" s="332"/>
      <c r="I574" s="332"/>
      <c r="J574" s="321"/>
    </row>
    <row r="575" spans="1:10" x14ac:dyDescent="0.25">
      <c r="A575" s="303"/>
      <c r="B575" s="310"/>
      <c r="C575" s="334"/>
      <c r="D575" s="312"/>
      <c r="E575" s="313"/>
      <c r="F575" s="313"/>
      <c r="G575" s="313"/>
      <c r="H575" s="343"/>
      <c r="I575" s="335" t="s">
        <v>501</v>
      </c>
      <c r="J575" s="315">
        <v>495.09</v>
      </c>
    </row>
    <row r="576" spans="1:10" x14ac:dyDescent="0.25">
      <c r="A576" s="303"/>
      <c r="B576" s="310" t="s">
        <v>464</v>
      </c>
      <c r="C576" s="311" t="s">
        <v>502</v>
      </c>
      <c r="D576" s="312"/>
      <c r="E576" s="313"/>
      <c r="F576" s="314" t="s">
        <v>464</v>
      </c>
      <c r="G576" s="324" t="s">
        <v>503</v>
      </c>
      <c r="H576" s="329" t="s">
        <v>465</v>
      </c>
      <c r="I576" s="336" t="s">
        <v>468</v>
      </c>
      <c r="J576" s="322" t="s">
        <v>492</v>
      </c>
    </row>
    <row r="577" spans="1:10" x14ac:dyDescent="0.25">
      <c r="A577" s="303"/>
      <c r="B577" s="337" t="s">
        <v>898</v>
      </c>
      <c r="C577" s="311" t="s">
        <v>899</v>
      </c>
      <c r="D577" s="312"/>
      <c r="E577" s="313"/>
      <c r="F577" s="344" t="s">
        <v>593</v>
      </c>
      <c r="G577" s="314">
        <v>2.9999999999999997E-4</v>
      </c>
      <c r="H577" s="329" t="s">
        <v>370</v>
      </c>
      <c r="I577" s="329">
        <v>23.88</v>
      </c>
      <c r="J577" s="315">
        <v>7.1999999999999998E-3</v>
      </c>
    </row>
    <row r="578" spans="1:10" x14ac:dyDescent="0.25">
      <c r="A578" s="303"/>
      <c r="B578" s="333" t="s">
        <v>608</v>
      </c>
      <c r="C578" s="317" t="s">
        <v>609</v>
      </c>
      <c r="D578" s="318"/>
      <c r="E578" s="319"/>
      <c r="F578" s="354" t="s">
        <v>593</v>
      </c>
      <c r="G578" s="320">
        <v>9.5600000000000008E-3</v>
      </c>
      <c r="H578" s="332" t="s">
        <v>370</v>
      </c>
      <c r="I578" s="332">
        <v>23.88</v>
      </c>
      <c r="J578" s="321">
        <v>0.2283</v>
      </c>
    </row>
    <row r="579" spans="1:10" x14ac:dyDescent="0.25">
      <c r="A579" s="303"/>
      <c r="B579" s="333" t="s">
        <v>346</v>
      </c>
      <c r="C579" s="317"/>
      <c r="D579" s="318"/>
      <c r="E579" s="319"/>
      <c r="F579" s="320"/>
      <c r="G579" s="320"/>
      <c r="H579" s="332"/>
      <c r="I579" s="332"/>
      <c r="J579" s="321"/>
    </row>
    <row r="580" spans="1:10" x14ac:dyDescent="0.25">
      <c r="A580" s="303"/>
      <c r="B580" s="333" t="s">
        <v>346</v>
      </c>
      <c r="C580" s="317"/>
      <c r="D580" s="318"/>
      <c r="E580" s="319"/>
      <c r="F580" s="320"/>
      <c r="G580" s="320"/>
      <c r="H580" s="332"/>
      <c r="I580" s="332"/>
      <c r="J580" s="321"/>
    </row>
    <row r="581" spans="1:10" x14ac:dyDescent="0.25">
      <c r="A581" s="303"/>
      <c r="B581" s="333" t="s">
        <v>346</v>
      </c>
      <c r="C581" s="317"/>
      <c r="D581" s="318"/>
      <c r="E581" s="319"/>
      <c r="F581" s="320"/>
      <c r="G581" s="320"/>
      <c r="H581" s="332"/>
      <c r="I581" s="332"/>
      <c r="J581" s="321"/>
    </row>
    <row r="582" spans="1:10" x14ac:dyDescent="0.25">
      <c r="A582" s="303"/>
      <c r="B582" s="310"/>
      <c r="C582" s="334"/>
      <c r="D582" s="312"/>
      <c r="E582" s="313"/>
      <c r="F582" s="313"/>
      <c r="G582" s="313"/>
      <c r="H582" s="343"/>
      <c r="I582" s="338" t="s">
        <v>507</v>
      </c>
      <c r="J582" s="315">
        <v>0.23550000000000001</v>
      </c>
    </row>
    <row r="583" spans="1:10" x14ac:dyDescent="0.25">
      <c r="A583" s="303"/>
      <c r="B583" s="310" t="s">
        <v>464</v>
      </c>
      <c r="C583" s="311" t="s">
        <v>508</v>
      </c>
      <c r="D583" s="345" t="s">
        <v>509</v>
      </c>
      <c r="E583" s="324" t="s">
        <v>873</v>
      </c>
      <c r="F583" s="324" t="s">
        <v>874</v>
      </c>
      <c r="G583" s="324" t="s">
        <v>875</v>
      </c>
      <c r="H583" s="336" t="s">
        <v>468</v>
      </c>
      <c r="I583" s="324" t="s">
        <v>491</v>
      </c>
      <c r="J583" s="322" t="s">
        <v>492</v>
      </c>
    </row>
    <row r="584" spans="1:10" x14ac:dyDescent="0.25">
      <c r="A584" s="303"/>
      <c r="B584" s="337" t="s">
        <v>900</v>
      </c>
      <c r="C584" s="311" t="s">
        <v>901</v>
      </c>
      <c r="D584" s="345" t="s">
        <v>510</v>
      </c>
      <c r="E584" s="314">
        <v>0</v>
      </c>
      <c r="F584" s="314">
        <v>0</v>
      </c>
      <c r="G584" s="314">
        <v>100.45</v>
      </c>
      <c r="H584" s="329">
        <v>0.55000000000000004</v>
      </c>
      <c r="I584" s="314">
        <v>2.9999999999999997E-4</v>
      </c>
      <c r="J584" s="315">
        <v>1.66E-2</v>
      </c>
    </row>
    <row r="585" spans="1:10" x14ac:dyDescent="0.25">
      <c r="A585" s="303"/>
      <c r="B585" s="333" t="s">
        <v>610</v>
      </c>
      <c r="C585" s="317" t="s">
        <v>611</v>
      </c>
      <c r="D585" s="346" t="s">
        <v>510</v>
      </c>
      <c r="E585" s="320">
        <v>0</v>
      </c>
      <c r="F585" s="320">
        <v>0</v>
      </c>
      <c r="G585" s="320">
        <v>100.45</v>
      </c>
      <c r="H585" s="332">
        <v>0.55000000000000004</v>
      </c>
      <c r="I585" s="320">
        <v>9.5600000000000008E-3</v>
      </c>
      <c r="J585" s="321">
        <v>0.5282</v>
      </c>
    </row>
    <row r="586" spans="1:10" x14ac:dyDescent="0.25">
      <c r="A586" s="303"/>
      <c r="B586" s="333" t="s">
        <v>346</v>
      </c>
      <c r="C586" s="317"/>
      <c r="D586" s="346"/>
      <c r="E586" s="320"/>
      <c r="F586" s="320"/>
      <c r="G586" s="320"/>
      <c r="H586" s="332"/>
      <c r="I586" s="320"/>
      <c r="J586" s="321"/>
    </row>
    <row r="587" spans="1:10" x14ac:dyDescent="0.25">
      <c r="A587" s="303"/>
      <c r="B587" s="333" t="s">
        <v>346</v>
      </c>
      <c r="C587" s="317"/>
      <c r="D587" s="346"/>
      <c r="E587" s="320"/>
      <c r="F587" s="320"/>
      <c r="G587" s="320"/>
      <c r="H587" s="332"/>
      <c r="I587" s="320"/>
      <c r="J587" s="321"/>
    </row>
    <row r="588" spans="1:10" x14ac:dyDescent="0.25">
      <c r="A588" s="303"/>
      <c r="B588" s="333" t="s">
        <v>346</v>
      </c>
      <c r="C588" s="317"/>
      <c r="D588" s="346"/>
      <c r="E588" s="320"/>
      <c r="F588" s="320"/>
      <c r="G588" s="320"/>
      <c r="H588" s="332"/>
      <c r="I588" s="320"/>
      <c r="J588" s="321"/>
    </row>
    <row r="589" spans="1:10" x14ac:dyDescent="0.25">
      <c r="A589" s="303"/>
      <c r="B589" s="333" t="s">
        <v>346</v>
      </c>
      <c r="C589" s="317"/>
      <c r="D589" s="346"/>
      <c r="E589" s="320"/>
      <c r="F589" s="320"/>
      <c r="G589" s="320"/>
      <c r="H589" s="332"/>
      <c r="I589" s="320"/>
      <c r="J589" s="321"/>
    </row>
    <row r="590" spans="1:10" x14ac:dyDescent="0.25">
      <c r="A590" s="303"/>
      <c r="B590" s="333" t="s">
        <v>346</v>
      </c>
      <c r="C590" s="317"/>
      <c r="D590" s="346"/>
      <c r="E590" s="320"/>
      <c r="F590" s="320"/>
      <c r="G590" s="320"/>
      <c r="H590" s="332"/>
      <c r="I590" s="320"/>
      <c r="J590" s="321"/>
    </row>
    <row r="591" spans="1:10" x14ac:dyDescent="0.25">
      <c r="A591" s="303"/>
      <c r="B591" s="310"/>
      <c r="C591" s="334"/>
      <c r="D591" s="312"/>
      <c r="E591" s="313"/>
      <c r="F591" s="313"/>
      <c r="G591" s="313"/>
      <c r="H591" s="313"/>
      <c r="I591" s="338" t="s">
        <v>513</v>
      </c>
      <c r="J591" s="315">
        <v>0.54479999999999995</v>
      </c>
    </row>
    <row r="592" spans="1:10" x14ac:dyDescent="0.25">
      <c r="A592" s="303"/>
      <c r="B592" s="310" t="s">
        <v>514</v>
      </c>
      <c r="C592" s="334"/>
      <c r="D592" s="312"/>
      <c r="E592" s="313"/>
      <c r="F592" s="313"/>
      <c r="G592" s="313"/>
      <c r="H592" s="313"/>
      <c r="I592" s="313"/>
      <c r="J592" s="315">
        <v>1098.0034000000001</v>
      </c>
    </row>
    <row r="593" spans="1:10" x14ac:dyDescent="0.25">
      <c r="A593" s="303"/>
      <c r="B593" s="310" t="s">
        <v>515</v>
      </c>
      <c r="C593" s="334"/>
      <c r="D593" s="312">
        <v>0</v>
      </c>
      <c r="E593" s="313"/>
      <c r="F593" s="313"/>
      <c r="G593" s="313"/>
      <c r="H593" s="313"/>
      <c r="I593" s="313"/>
      <c r="J593" s="315">
        <v>0</v>
      </c>
    </row>
    <row r="594" spans="1:10" ht="14.4" thickBot="1" x14ac:dyDescent="0.3">
      <c r="A594" s="303"/>
      <c r="B594" s="310" t="s">
        <v>516</v>
      </c>
      <c r="C594" s="334"/>
      <c r="D594" s="312"/>
      <c r="E594" s="313"/>
      <c r="F594" s="313"/>
      <c r="G594" s="313"/>
      <c r="H594" s="313"/>
      <c r="I594" s="313"/>
      <c r="J594" s="347">
        <v>1098</v>
      </c>
    </row>
    <row r="595" spans="1:10" x14ac:dyDescent="0.25">
      <c r="A595" s="303"/>
      <c r="B595" s="304"/>
      <c r="C595" s="305"/>
      <c r="D595" s="348"/>
      <c r="E595" s="308"/>
      <c r="F595" s="308"/>
      <c r="G595" s="308"/>
      <c r="H595" s="308"/>
      <c r="I595" s="308"/>
      <c r="J595" s="309"/>
    </row>
    <row r="596" spans="1:10" x14ac:dyDescent="0.25">
      <c r="A596" s="303"/>
      <c r="B596" s="316"/>
      <c r="C596" s="303"/>
      <c r="D596" s="318"/>
      <c r="E596" s="319"/>
      <c r="F596" s="319"/>
      <c r="G596" s="319"/>
      <c r="H596" s="319"/>
      <c r="I596" s="319"/>
      <c r="J596" s="349"/>
    </row>
    <row r="597" spans="1:10" x14ac:dyDescent="0.25">
      <c r="A597" s="303"/>
      <c r="B597" s="316"/>
      <c r="C597" s="303"/>
      <c r="D597" s="318"/>
      <c r="E597" s="319"/>
      <c r="F597" s="319"/>
      <c r="G597" s="319"/>
      <c r="H597" s="319"/>
      <c r="I597" s="319"/>
      <c r="J597" s="349"/>
    </row>
    <row r="598" spans="1:10" ht="14.4" thickBot="1" x14ac:dyDescent="0.3">
      <c r="A598" s="303"/>
      <c r="B598" s="350"/>
      <c r="C598" s="303"/>
      <c r="D598" s="318"/>
      <c r="E598" s="319"/>
      <c r="F598" s="319"/>
      <c r="G598" s="319"/>
      <c r="H598" s="319"/>
      <c r="I598" s="319"/>
      <c r="J598" s="351"/>
    </row>
    <row r="599" spans="1:10" x14ac:dyDescent="0.25">
      <c r="A599" s="303"/>
      <c r="B599" s="305"/>
      <c r="C599" s="305"/>
      <c r="D599" s="348"/>
      <c r="E599" s="308"/>
      <c r="F599" s="308"/>
      <c r="G599" s="308"/>
      <c r="H599" s="308"/>
      <c r="I599" s="308"/>
      <c r="J599" s="352"/>
    </row>
    <row r="600" spans="1:10" ht="14.4" thickBot="1" x14ac:dyDescent="0.3">
      <c r="A600" s="303"/>
      <c r="B600" s="303"/>
      <c r="C600" s="303"/>
      <c r="D600" s="318"/>
      <c r="E600" s="319"/>
      <c r="F600" s="319"/>
      <c r="G600" s="319"/>
      <c r="H600" s="319"/>
      <c r="I600" s="319"/>
      <c r="J600" s="353"/>
    </row>
    <row r="601" spans="1:10" x14ac:dyDescent="0.25">
      <c r="A601" s="303"/>
      <c r="B601" s="304"/>
      <c r="C601" s="305"/>
      <c r="D601" s="306" t="s">
        <v>463</v>
      </c>
      <c r="E601" s="307"/>
      <c r="F601" s="307"/>
      <c r="G601" s="308"/>
      <c r="H601" s="308"/>
      <c r="I601" s="308"/>
      <c r="J601" s="309"/>
    </row>
    <row r="602" spans="1:10" x14ac:dyDescent="0.25">
      <c r="A602" s="303"/>
      <c r="B602" s="310" t="s">
        <v>464</v>
      </c>
      <c r="C602" s="311" t="s">
        <v>134</v>
      </c>
      <c r="D602" s="312"/>
      <c r="E602" s="313"/>
      <c r="F602" s="313"/>
      <c r="G602" s="313"/>
      <c r="H602" s="314"/>
      <c r="I602" s="313"/>
      <c r="J602" s="315" t="s">
        <v>465</v>
      </c>
    </row>
    <row r="603" spans="1:10" x14ac:dyDescent="0.25">
      <c r="A603" s="303"/>
      <c r="B603" s="316">
        <v>1100657</v>
      </c>
      <c r="C603" s="317" t="s">
        <v>902</v>
      </c>
      <c r="D603" s="318"/>
      <c r="E603" s="319"/>
      <c r="F603" s="319"/>
      <c r="G603" s="319"/>
      <c r="H603" s="320"/>
      <c r="I603" s="319"/>
      <c r="J603" s="321" t="s">
        <v>365</v>
      </c>
    </row>
    <row r="604" spans="1:10" x14ac:dyDescent="0.25">
      <c r="A604" s="303"/>
      <c r="B604" s="310"/>
      <c r="C604" s="311"/>
      <c r="D604" s="312"/>
      <c r="E604" s="314"/>
      <c r="F604" s="314" t="s">
        <v>466</v>
      </c>
      <c r="G604" s="314"/>
      <c r="H604" s="314" t="s">
        <v>467</v>
      </c>
      <c r="I604" s="314"/>
      <c r="J604" s="322" t="s">
        <v>468</v>
      </c>
    </row>
    <row r="605" spans="1:10" x14ac:dyDescent="0.25">
      <c r="A605" s="303"/>
      <c r="B605" s="316" t="s">
        <v>464</v>
      </c>
      <c r="C605" s="317" t="s">
        <v>469</v>
      </c>
      <c r="D605" s="318"/>
      <c r="E605" s="323" t="s">
        <v>355</v>
      </c>
      <c r="F605" s="324" t="s">
        <v>470</v>
      </c>
      <c r="G605" s="324" t="s">
        <v>471</v>
      </c>
      <c r="H605" s="324" t="s">
        <v>472</v>
      </c>
      <c r="I605" s="325" t="s">
        <v>473</v>
      </c>
      <c r="J605" s="326" t="s">
        <v>474</v>
      </c>
    </row>
    <row r="606" spans="1:10" x14ac:dyDescent="0.25">
      <c r="A606" s="303"/>
      <c r="B606" s="327" t="s">
        <v>714</v>
      </c>
      <c r="C606" s="311" t="s">
        <v>715</v>
      </c>
      <c r="D606" s="312"/>
      <c r="E606" s="328">
        <v>1</v>
      </c>
      <c r="F606" s="328">
        <v>1</v>
      </c>
      <c r="G606" s="328">
        <v>0</v>
      </c>
      <c r="H606" s="329">
        <v>8.7225999999999999</v>
      </c>
      <c r="I606" s="329">
        <v>0.68010000000000004</v>
      </c>
      <c r="J606" s="315">
        <v>8.7225999999999999</v>
      </c>
    </row>
    <row r="607" spans="1:10" x14ac:dyDescent="0.25">
      <c r="A607" s="303"/>
      <c r="B607" s="333" t="s">
        <v>346</v>
      </c>
      <c r="C607" s="317"/>
      <c r="D607" s="318"/>
      <c r="E607" s="331"/>
      <c r="F607" s="331"/>
      <c r="G607" s="331"/>
      <c r="H607" s="332"/>
      <c r="I607" s="332"/>
      <c r="J607" s="321"/>
    </row>
    <row r="608" spans="1:10" x14ac:dyDescent="0.25">
      <c r="A608" s="303"/>
      <c r="B608" s="333" t="s">
        <v>346</v>
      </c>
      <c r="C608" s="317"/>
      <c r="D608" s="318"/>
      <c r="E608" s="331"/>
      <c r="F608" s="331"/>
      <c r="G608" s="331"/>
      <c r="H608" s="332"/>
      <c r="I608" s="332"/>
      <c r="J608" s="321"/>
    </row>
    <row r="609" spans="1:10" x14ac:dyDescent="0.25">
      <c r="A609" s="303"/>
      <c r="B609" s="333" t="s">
        <v>346</v>
      </c>
      <c r="C609" s="317"/>
      <c r="D609" s="318"/>
      <c r="E609" s="331"/>
      <c r="F609" s="331"/>
      <c r="G609" s="331"/>
      <c r="H609" s="332"/>
      <c r="I609" s="332"/>
      <c r="J609" s="321"/>
    </row>
    <row r="610" spans="1:10" x14ac:dyDescent="0.25">
      <c r="A610" s="303"/>
      <c r="B610" s="333" t="s">
        <v>346</v>
      </c>
      <c r="C610" s="317"/>
      <c r="D610" s="318"/>
      <c r="E610" s="331"/>
      <c r="F610" s="331"/>
      <c r="G610" s="331"/>
      <c r="H610" s="332"/>
      <c r="I610" s="332"/>
      <c r="J610" s="321"/>
    </row>
    <row r="611" spans="1:10" x14ac:dyDescent="0.25">
      <c r="A611" s="303"/>
      <c r="B611" s="333" t="s">
        <v>346</v>
      </c>
      <c r="C611" s="317"/>
      <c r="D611" s="318"/>
      <c r="E611" s="331"/>
      <c r="F611" s="331"/>
      <c r="G611" s="331"/>
      <c r="H611" s="332"/>
      <c r="I611" s="332"/>
      <c r="J611" s="321"/>
    </row>
    <row r="612" spans="1:10" x14ac:dyDescent="0.25">
      <c r="A612" s="303"/>
      <c r="B612" s="333" t="s">
        <v>346</v>
      </c>
      <c r="C612" s="317"/>
      <c r="D612" s="318"/>
      <c r="E612" s="331"/>
      <c r="F612" s="331"/>
      <c r="G612" s="331"/>
      <c r="H612" s="332"/>
      <c r="I612" s="332"/>
      <c r="J612" s="321"/>
    </row>
    <row r="613" spans="1:10" x14ac:dyDescent="0.25">
      <c r="A613" s="303"/>
      <c r="B613" s="310"/>
      <c r="C613" s="334"/>
      <c r="D613" s="312"/>
      <c r="E613" s="313"/>
      <c r="F613" s="313"/>
      <c r="G613" s="313"/>
      <c r="H613" s="313"/>
      <c r="I613" s="335" t="s">
        <v>479</v>
      </c>
      <c r="J613" s="315">
        <v>8.7225999999999999</v>
      </c>
    </row>
    <row r="614" spans="1:10" x14ac:dyDescent="0.25">
      <c r="A614" s="303"/>
      <c r="B614" s="310" t="s">
        <v>464</v>
      </c>
      <c r="C614" s="311" t="s">
        <v>480</v>
      </c>
      <c r="D614" s="312"/>
      <c r="E614" s="313"/>
      <c r="F614" s="313"/>
      <c r="G614" s="313"/>
      <c r="H614" s="324" t="s">
        <v>355</v>
      </c>
      <c r="I614" s="336" t="s">
        <v>481</v>
      </c>
      <c r="J614" s="322" t="s">
        <v>331</v>
      </c>
    </row>
    <row r="615" spans="1:10" x14ac:dyDescent="0.25">
      <c r="A615" s="303"/>
      <c r="B615" s="337" t="s">
        <v>482</v>
      </c>
      <c r="C615" s="311" t="s">
        <v>483</v>
      </c>
      <c r="D615" s="312"/>
      <c r="E615" s="313"/>
      <c r="F615" s="313"/>
      <c r="G615" s="313"/>
      <c r="H615" s="314">
        <v>1</v>
      </c>
      <c r="I615" s="329">
        <v>17.768000000000001</v>
      </c>
      <c r="J615" s="315">
        <v>17.768000000000001</v>
      </c>
    </row>
    <row r="616" spans="1:10" x14ac:dyDescent="0.25">
      <c r="A616" s="303"/>
      <c r="B616" s="333" t="s">
        <v>346</v>
      </c>
      <c r="C616" s="317"/>
      <c r="D616" s="318"/>
      <c r="E616" s="319"/>
      <c r="F616" s="319"/>
      <c r="G616" s="319"/>
      <c r="H616" s="320"/>
      <c r="I616" s="332"/>
      <c r="J616" s="321"/>
    </row>
    <row r="617" spans="1:10" x14ac:dyDescent="0.25">
      <c r="A617" s="303"/>
      <c r="B617" s="333" t="s">
        <v>346</v>
      </c>
      <c r="C617" s="317"/>
      <c r="D617" s="318"/>
      <c r="E617" s="319"/>
      <c r="F617" s="319"/>
      <c r="G617" s="319"/>
      <c r="H617" s="320"/>
      <c r="I617" s="332"/>
      <c r="J617" s="321"/>
    </row>
    <row r="618" spans="1:10" x14ac:dyDescent="0.25">
      <c r="A618" s="303"/>
      <c r="B618" s="333" t="s">
        <v>346</v>
      </c>
      <c r="C618" s="317"/>
      <c r="D618" s="318"/>
      <c r="E618" s="319"/>
      <c r="F618" s="319"/>
      <c r="G618" s="319"/>
      <c r="H618" s="320"/>
      <c r="I618" s="332"/>
      <c r="J618" s="321"/>
    </row>
    <row r="619" spans="1:10" x14ac:dyDescent="0.25">
      <c r="A619" s="303"/>
      <c r="B619" s="333" t="s">
        <v>346</v>
      </c>
      <c r="C619" s="317"/>
      <c r="D619" s="318"/>
      <c r="E619" s="319"/>
      <c r="F619" s="319"/>
      <c r="G619" s="319"/>
      <c r="H619" s="320"/>
      <c r="I619" s="332"/>
      <c r="J619" s="321"/>
    </row>
    <row r="620" spans="1:10" x14ac:dyDescent="0.25">
      <c r="A620" s="303"/>
      <c r="B620" s="333" t="s">
        <v>346</v>
      </c>
      <c r="C620" s="317"/>
      <c r="D620" s="318"/>
      <c r="E620" s="319"/>
      <c r="F620" s="319"/>
      <c r="G620" s="319"/>
      <c r="H620" s="320"/>
      <c r="I620" s="332"/>
      <c r="J620" s="321"/>
    </row>
    <row r="621" spans="1:10" x14ac:dyDescent="0.25">
      <c r="A621" s="303"/>
      <c r="B621" s="333" t="s">
        <v>346</v>
      </c>
      <c r="C621" s="317"/>
      <c r="D621" s="318"/>
      <c r="E621" s="319"/>
      <c r="F621" s="319"/>
      <c r="G621" s="319"/>
      <c r="H621" s="320"/>
      <c r="I621" s="332"/>
      <c r="J621" s="321"/>
    </row>
    <row r="622" spans="1:10" x14ac:dyDescent="0.25">
      <c r="A622" s="303"/>
      <c r="B622" s="310"/>
      <c r="C622" s="334"/>
      <c r="D622" s="312"/>
      <c r="E622" s="313"/>
      <c r="F622" s="313"/>
      <c r="G622" s="313"/>
      <c r="H622" s="313"/>
      <c r="I622" s="338" t="s">
        <v>484</v>
      </c>
      <c r="J622" s="315">
        <v>17.768000000000001</v>
      </c>
    </row>
    <row r="623" spans="1:10" x14ac:dyDescent="0.25">
      <c r="A623" s="303"/>
      <c r="B623" s="339"/>
      <c r="C623" s="334"/>
      <c r="D623" s="312"/>
      <c r="E623" s="313"/>
      <c r="F623" s="313"/>
      <c r="G623" s="313"/>
      <c r="H623" s="313"/>
      <c r="I623" s="338" t="s">
        <v>485</v>
      </c>
      <c r="J623" s="340">
        <v>26.490600000000001</v>
      </c>
    </row>
    <row r="624" spans="1:10" x14ac:dyDescent="0.25">
      <c r="A624" s="303"/>
      <c r="B624" s="339"/>
      <c r="C624" s="341" t="s">
        <v>486</v>
      </c>
      <c r="D624" s="312">
        <v>9</v>
      </c>
      <c r="E624" s="313"/>
      <c r="F624" s="313"/>
      <c r="G624" s="313"/>
      <c r="H624" s="313"/>
      <c r="I624" s="338" t="s">
        <v>487</v>
      </c>
      <c r="J624" s="340">
        <v>2.9434</v>
      </c>
    </row>
    <row r="625" spans="1:10" x14ac:dyDescent="0.25">
      <c r="A625" s="303"/>
      <c r="B625" s="310"/>
      <c r="C625" s="334"/>
      <c r="D625" s="312"/>
      <c r="E625" s="313"/>
      <c r="F625" s="313"/>
      <c r="G625" s="313"/>
      <c r="H625" s="338" t="s">
        <v>488</v>
      </c>
      <c r="I625" s="342">
        <v>0</v>
      </c>
      <c r="J625" s="315">
        <v>0</v>
      </c>
    </row>
    <row r="626" spans="1:10" x14ac:dyDescent="0.25">
      <c r="A626" s="303"/>
      <c r="B626" s="310"/>
      <c r="C626" s="334"/>
      <c r="D626" s="312"/>
      <c r="E626" s="313"/>
      <c r="F626" s="313"/>
      <c r="G626" s="313"/>
      <c r="H626" s="335" t="s">
        <v>489</v>
      </c>
      <c r="I626" s="343">
        <v>0</v>
      </c>
      <c r="J626" s="315">
        <v>0</v>
      </c>
    </row>
    <row r="627" spans="1:10" x14ac:dyDescent="0.25">
      <c r="A627" s="303"/>
      <c r="B627" s="310" t="s">
        <v>464</v>
      </c>
      <c r="C627" s="311" t="s">
        <v>490</v>
      </c>
      <c r="D627" s="312"/>
      <c r="E627" s="313"/>
      <c r="F627" s="313"/>
      <c r="G627" s="314" t="s">
        <v>465</v>
      </c>
      <c r="H627" s="336" t="s">
        <v>468</v>
      </c>
      <c r="I627" s="336" t="s">
        <v>491</v>
      </c>
      <c r="J627" s="322" t="s">
        <v>492</v>
      </c>
    </row>
    <row r="628" spans="1:10" x14ac:dyDescent="0.25">
      <c r="A628" s="303"/>
      <c r="B628" s="337" t="s">
        <v>346</v>
      </c>
      <c r="C628" s="311"/>
      <c r="D628" s="312"/>
      <c r="E628" s="313"/>
      <c r="F628" s="313"/>
      <c r="G628" s="314"/>
      <c r="H628" s="329"/>
      <c r="I628" s="329"/>
      <c r="J628" s="315"/>
    </row>
    <row r="629" spans="1:10" x14ac:dyDescent="0.25">
      <c r="A629" s="303"/>
      <c r="B629" s="333" t="s">
        <v>346</v>
      </c>
      <c r="C629" s="317"/>
      <c r="D629" s="318"/>
      <c r="E629" s="319"/>
      <c r="F629" s="319"/>
      <c r="G629" s="320"/>
      <c r="H629" s="332"/>
      <c r="I629" s="332"/>
      <c r="J629" s="321"/>
    </row>
    <row r="630" spans="1:10" x14ac:dyDescent="0.25">
      <c r="A630" s="303"/>
      <c r="B630" s="333" t="s">
        <v>346</v>
      </c>
      <c r="C630" s="317"/>
      <c r="D630" s="318"/>
      <c r="E630" s="319"/>
      <c r="F630" s="319"/>
      <c r="G630" s="320"/>
      <c r="H630" s="332"/>
      <c r="I630" s="332"/>
      <c r="J630" s="321"/>
    </row>
    <row r="631" spans="1:10" x14ac:dyDescent="0.25">
      <c r="A631" s="303"/>
      <c r="B631" s="333" t="s">
        <v>346</v>
      </c>
      <c r="C631" s="317"/>
      <c r="D631" s="318"/>
      <c r="E631" s="319"/>
      <c r="F631" s="319"/>
      <c r="G631" s="320"/>
      <c r="H631" s="332"/>
      <c r="I631" s="332"/>
      <c r="J631" s="321"/>
    </row>
    <row r="632" spans="1:10" x14ac:dyDescent="0.25">
      <c r="A632" s="303"/>
      <c r="B632" s="333" t="s">
        <v>346</v>
      </c>
      <c r="C632" s="317"/>
      <c r="D632" s="318"/>
      <c r="E632" s="319"/>
      <c r="F632" s="319"/>
      <c r="G632" s="320"/>
      <c r="H632" s="332"/>
      <c r="I632" s="332"/>
      <c r="J632" s="321"/>
    </row>
    <row r="633" spans="1:10" x14ac:dyDescent="0.25">
      <c r="A633" s="303"/>
      <c r="B633" s="333" t="s">
        <v>346</v>
      </c>
      <c r="C633" s="317"/>
      <c r="D633" s="318"/>
      <c r="E633" s="319"/>
      <c r="F633" s="319"/>
      <c r="G633" s="320"/>
      <c r="H633" s="332"/>
      <c r="I633" s="332"/>
      <c r="J633" s="321"/>
    </row>
    <row r="634" spans="1:10" x14ac:dyDescent="0.25">
      <c r="A634" s="303"/>
      <c r="B634" s="333" t="s">
        <v>346</v>
      </c>
      <c r="C634" s="317"/>
      <c r="D634" s="318"/>
      <c r="E634" s="319"/>
      <c r="F634" s="319"/>
      <c r="G634" s="320"/>
      <c r="H634" s="332"/>
      <c r="I634" s="332"/>
      <c r="J634" s="321"/>
    </row>
    <row r="635" spans="1:10" x14ac:dyDescent="0.25">
      <c r="A635" s="303"/>
      <c r="B635" s="310"/>
      <c r="C635" s="334"/>
      <c r="D635" s="312"/>
      <c r="E635" s="313"/>
      <c r="F635" s="313"/>
      <c r="G635" s="313"/>
      <c r="H635" s="343"/>
      <c r="I635" s="335" t="s">
        <v>498</v>
      </c>
      <c r="J635" s="315">
        <v>0</v>
      </c>
    </row>
    <row r="636" spans="1:10" x14ac:dyDescent="0.25">
      <c r="A636" s="303"/>
      <c r="B636" s="310" t="s">
        <v>464</v>
      </c>
      <c r="C636" s="311" t="s">
        <v>499</v>
      </c>
      <c r="D636" s="312"/>
      <c r="E636" s="313"/>
      <c r="F636" s="313"/>
      <c r="G636" s="314" t="s">
        <v>465</v>
      </c>
      <c r="H636" s="336" t="s">
        <v>468</v>
      </c>
      <c r="I636" s="336" t="s">
        <v>491</v>
      </c>
      <c r="J636" s="322" t="s">
        <v>492</v>
      </c>
    </row>
    <row r="637" spans="1:10" x14ac:dyDescent="0.25">
      <c r="A637" s="303"/>
      <c r="B637" s="337"/>
      <c r="C637" s="311"/>
      <c r="D637" s="312"/>
      <c r="E637" s="313"/>
      <c r="F637" s="313"/>
      <c r="G637" s="314"/>
      <c r="H637" s="329"/>
      <c r="I637" s="329"/>
      <c r="J637" s="315"/>
    </row>
    <row r="638" spans="1:10" x14ac:dyDescent="0.25">
      <c r="A638" s="303"/>
      <c r="B638" s="333"/>
      <c r="C638" s="317"/>
      <c r="D638" s="318"/>
      <c r="E638" s="319"/>
      <c r="F638" s="319"/>
      <c r="G638" s="320"/>
      <c r="H638" s="332"/>
      <c r="I638" s="332"/>
      <c r="J638" s="321"/>
    </row>
    <row r="639" spans="1:10" x14ac:dyDescent="0.25">
      <c r="A639" s="303"/>
      <c r="B639" s="333"/>
      <c r="C639" s="317"/>
      <c r="D639" s="318"/>
      <c r="E639" s="319"/>
      <c r="F639" s="319"/>
      <c r="G639" s="320"/>
      <c r="H639" s="332"/>
      <c r="I639" s="332"/>
      <c r="J639" s="321"/>
    </row>
    <row r="640" spans="1:10" x14ac:dyDescent="0.25">
      <c r="A640" s="303"/>
      <c r="B640" s="333"/>
      <c r="C640" s="317"/>
      <c r="D640" s="318"/>
      <c r="E640" s="319"/>
      <c r="F640" s="319"/>
      <c r="G640" s="320"/>
      <c r="H640" s="332"/>
      <c r="I640" s="332"/>
      <c r="J640" s="321"/>
    </row>
    <row r="641" spans="1:10" x14ac:dyDescent="0.25">
      <c r="A641" s="303"/>
      <c r="B641" s="333"/>
      <c r="C641" s="317"/>
      <c r="D641" s="318"/>
      <c r="E641" s="319"/>
      <c r="F641" s="319"/>
      <c r="G641" s="320"/>
      <c r="H641" s="332"/>
      <c r="I641" s="332"/>
      <c r="J641" s="321"/>
    </row>
    <row r="642" spans="1:10" x14ac:dyDescent="0.25">
      <c r="A642" s="303"/>
      <c r="B642" s="310"/>
      <c r="C642" s="334"/>
      <c r="D642" s="312"/>
      <c r="E642" s="313"/>
      <c r="F642" s="313"/>
      <c r="G642" s="313"/>
      <c r="H642" s="343"/>
      <c r="I642" s="335" t="s">
        <v>501</v>
      </c>
      <c r="J642" s="315">
        <v>0</v>
      </c>
    </row>
    <row r="643" spans="1:10" x14ac:dyDescent="0.25">
      <c r="A643" s="303"/>
      <c r="B643" s="310" t="s">
        <v>464</v>
      </c>
      <c r="C643" s="311" t="s">
        <v>502</v>
      </c>
      <c r="D643" s="312"/>
      <c r="E643" s="313"/>
      <c r="F643" s="314" t="s">
        <v>464</v>
      </c>
      <c r="G643" s="324" t="s">
        <v>503</v>
      </c>
      <c r="H643" s="329" t="s">
        <v>465</v>
      </c>
      <c r="I643" s="336" t="s">
        <v>468</v>
      </c>
      <c r="J643" s="322" t="s">
        <v>492</v>
      </c>
    </row>
    <row r="644" spans="1:10" x14ac:dyDescent="0.25">
      <c r="A644" s="303"/>
      <c r="B644" s="337" t="s">
        <v>346</v>
      </c>
      <c r="C644" s="311"/>
      <c r="D644" s="312"/>
      <c r="E644" s="313"/>
      <c r="F644" s="314"/>
      <c r="G644" s="314"/>
      <c r="H644" s="329"/>
      <c r="I644" s="329"/>
      <c r="J644" s="315"/>
    </row>
    <row r="645" spans="1:10" x14ac:dyDescent="0.25">
      <c r="A645" s="303"/>
      <c r="B645" s="333" t="s">
        <v>346</v>
      </c>
      <c r="C645" s="317"/>
      <c r="D645" s="318"/>
      <c r="E645" s="319"/>
      <c r="F645" s="320"/>
      <c r="G645" s="320"/>
      <c r="H645" s="332"/>
      <c r="I645" s="332"/>
      <c r="J645" s="321"/>
    </row>
    <row r="646" spans="1:10" x14ac:dyDescent="0.25">
      <c r="A646" s="303"/>
      <c r="B646" s="333" t="s">
        <v>346</v>
      </c>
      <c r="C646" s="317"/>
      <c r="D646" s="318"/>
      <c r="E646" s="319"/>
      <c r="F646" s="320"/>
      <c r="G646" s="320"/>
      <c r="H646" s="332"/>
      <c r="I646" s="332"/>
      <c r="J646" s="321"/>
    </row>
    <row r="647" spans="1:10" x14ac:dyDescent="0.25">
      <c r="A647" s="303"/>
      <c r="B647" s="333" t="s">
        <v>346</v>
      </c>
      <c r="C647" s="317"/>
      <c r="D647" s="318"/>
      <c r="E647" s="319"/>
      <c r="F647" s="320"/>
      <c r="G647" s="320"/>
      <c r="H647" s="332"/>
      <c r="I647" s="332"/>
      <c r="J647" s="321"/>
    </row>
    <row r="648" spans="1:10" x14ac:dyDescent="0.25">
      <c r="A648" s="303"/>
      <c r="B648" s="333" t="s">
        <v>346</v>
      </c>
      <c r="C648" s="317"/>
      <c r="D648" s="318"/>
      <c r="E648" s="319"/>
      <c r="F648" s="320"/>
      <c r="G648" s="320"/>
      <c r="H648" s="332"/>
      <c r="I648" s="332"/>
      <c r="J648" s="321"/>
    </row>
    <row r="649" spans="1:10" x14ac:dyDescent="0.25">
      <c r="A649" s="303"/>
      <c r="B649" s="310"/>
      <c r="C649" s="334"/>
      <c r="D649" s="312"/>
      <c r="E649" s="313"/>
      <c r="F649" s="313"/>
      <c r="G649" s="313"/>
      <c r="H649" s="343"/>
      <c r="I649" s="338" t="s">
        <v>507</v>
      </c>
      <c r="J649" s="315">
        <v>0</v>
      </c>
    </row>
    <row r="650" spans="1:10" x14ac:dyDescent="0.25">
      <c r="A650" s="303"/>
      <c r="B650" s="310" t="s">
        <v>464</v>
      </c>
      <c r="C650" s="311" t="s">
        <v>508</v>
      </c>
      <c r="D650" s="345" t="s">
        <v>509</v>
      </c>
      <c r="E650" s="324" t="s">
        <v>873</v>
      </c>
      <c r="F650" s="324" t="s">
        <v>874</v>
      </c>
      <c r="G650" s="324" t="s">
        <v>875</v>
      </c>
      <c r="H650" s="336" t="s">
        <v>468</v>
      </c>
      <c r="I650" s="324" t="s">
        <v>491</v>
      </c>
      <c r="J650" s="322" t="s">
        <v>492</v>
      </c>
    </row>
    <row r="651" spans="1:10" x14ac:dyDescent="0.25">
      <c r="A651" s="303"/>
      <c r="B651" s="337" t="s">
        <v>346</v>
      </c>
      <c r="C651" s="311"/>
      <c r="D651" s="345"/>
      <c r="E651" s="314"/>
      <c r="F651" s="314"/>
      <c r="G651" s="314"/>
      <c r="H651" s="329"/>
      <c r="I651" s="314"/>
      <c r="J651" s="315"/>
    </row>
    <row r="652" spans="1:10" x14ac:dyDescent="0.25">
      <c r="A652" s="303"/>
      <c r="B652" s="333" t="s">
        <v>346</v>
      </c>
      <c r="C652" s="317"/>
      <c r="D652" s="346"/>
      <c r="E652" s="320"/>
      <c r="F652" s="320"/>
      <c r="G652" s="320"/>
      <c r="H652" s="332"/>
      <c r="I652" s="320"/>
      <c r="J652" s="321"/>
    </row>
    <row r="653" spans="1:10" x14ac:dyDescent="0.25">
      <c r="A653" s="303"/>
      <c r="B653" s="333" t="s">
        <v>346</v>
      </c>
      <c r="C653" s="317"/>
      <c r="D653" s="346"/>
      <c r="E653" s="320"/>
      <c r="F653" s="320"/>
      <c r="G653" s="320"/>
      <c r="H653" s="332"/>
      <c r="I653" s="320"/>
      <c r="J653" s="321"/>
    </row>
    <row r="654" spans="1:10" x14ac:dyDescent="0.25">
      <c r="A654" s="303"/>
      <c r="B654" s="333" t="s">
        <v>346</v>
      </c>
      <c r="C654" s="317"/>
      <c r="D654" s="346"/>
      <c r="E654" s="320"/>
      <c r="F654" s="320"/>
      <c r="G654" s="320"/>
      <c r="H654" s="332"/>
      <c r="I654" s="320"/>
      <c r="J654" s="321"/>
    </row>
    <row r="655" spans="1:10" x14ac:dyDescent="0.25">
      <c r="A655" s="303"/>
      <c r="B655" s="333" t="s">
        <v>346</v>
      </c>
      <c r="C655" s="317"/>
      <c r="D655" s="346"/>
      <c r="E655" s="320"/>
      <c r="F655" s="320"/>
      <c r="G655" s="320"/>
      <c r="H655" s="332"/>
      <c r="I655" s="320"/>
      <c r="J655" s="321"/>
    </row>
    <row r="656" spans="1:10" x14ac:dyDescent="0.25">
      <c r="A656" s="303"/>
      <c r="B656" s="333" t="s">
        <v>346</v>
      </c>
      <c r="C656" s="317"/>
      <c r="D656" s="346"/>
      <c r="E656" s="320"/>
      <c r="F656" s="320"/>
      <c r="G656" s="320"/>
      <c r="H656" s="332"/>
      <c r="I656" s="320"/>
      <c r="J656" s="321"/>
    </row>
    <row r="657" spans="1:10" x14ac:dyDescent="0.25">
      <c r="A657" s="303"/>
      <c r="B657" s="333" t="s">
        <v>346</v>
      </c>
      <c r="C657" s="317"/>
      <c r="D657" s="346"/>
      <c r="E657" s="320"/>
      <c r="F657" s="320"/>
      <c r="G657" s="320"/>
      <c r="H657" s="332"/>
      <c r="I657" s="320"/>
      <c r="J657" s="321"/>
    </row>
    <row r="658" spans="1:10" x14ac:dyDescent="0.25">
      <c r="A658" s="303"/>
      <c r="B658" s="310"/>
      <c r="C658" s="334"/>
      <c r="D658" s="312"/>
      <c r="E658" s="313"/>
      <c r="F658" s="313"/>
      <c r="G658" s="313"/>
      <c r="H658" s="313"/>
      <c r="I658" s="338" t="s">
        <v>513</v>
      </c>
      <c r="J658" s="315">
        <v>0</v>
      </c>
    </row>
    <row r="659" spans="1:10" x14ac:dyDescent="0.25">
      <c r="A659" s="303"/>
      <c r="B659" s="310" t="s">
        <v>514</v>
      </c>
      <c r="C659" s="334"/>
      <c r="D659" s="312"/>
      <c r="E659" s="313"/>
      <c r="F659" s="313"/>
      <c r="G659" s="313"/>
      <c r="H659" s="313"/>
      <c r="I659" s="313"/>
      <c r="J659" s="315">
        <v>2.9434</v>
      </c>
    </row>
    <row r="660" spans="1:10" x14ac:dyDescent="0.25">
      <c r="A660" s="303"/>
      <c r="B660" s="310" t="s">
        <v>515</v>
      </c>
      <c r="C660" s="334"/>
      <c r="D660" s="312">
        <v>0</v>
      </c>
      <c r="E660" s="313"/>
      <c r="F660" s="313"/>
      <c r="G660" s="313"/>
      <c r="H660" s="313"/>
      <c r="I660" s="313"/>
      <c r="J660" s="315">
        <v>0</v>
      </c>
    </row>
    <row r="661" spans="1:10" ht="14.4" thickBot="1" x14ac:dyDescent="0.3">
      <c r="A661" s="303"/>
      <c r="B661" s="310" t="s">
        <v>516</v>
      </c>
      <c r="C661" s="334"/>
      <c r="D661" s="312"/>
      <c r="E661" s="313"/>
      <c r="F661" s="313"/>
      <c r="G661" s="313"/>
      <c r="H661" s="313"/>
      <c r="I661" s="313"/>
      <c r="J661" s="347">
        <v>2.94</v>
      </c>
    </row>
    <row r="662" spans="1:10" x14ac:dyDescent="0.25">
      <c r="A662" s="303"/>
      <c r="B662" s="304"/>
      <c r="C662" s="305"/>
      <c r="D662" s="348"/>
      <c r="E662" s="308"/>
      <c r="F662" s="308"/>
      <c r="G662" s="308"/>
      <c r="H662" s="308"/>
      <c r="I662" s="308"/>
      <c r="J662" s="309"/>
    </row>
    <row r="663" spans="1:10" x14ac:dyDescent="0.25">
      <c r="A663" s="303"/>
      <c r="B663" s="316"/>
      <c r="C663" s="303"/>
      <c r="D663" s="318"/>
      <c r="E663" s="319"/>
      <c r="F663" s="319"/>
      <c r="G663" s="319"/>
      <c r="H663" s="319"/>
      <c r="I663" s="319"/>
      <c r="J663" s="349"/>
    </row>
    <row r="664" spans="1:10" x14ac:dyDescent="0.25">
      <c r="A664" s="303"/>
      <c r="B664" s="316"/>
      <c r="C664" s="303"/>
      <c r="D664" s="318"/>
      <c r="E664" s="319"/>
      <c r="F664" s="319"/>
      <c r="G664" s="319"/>
      <c r="H664" s="319"/>
      <c r="I664" s="319"/>
      <c r="J664" s="349"/>
    </row>
    <row r="665" spans="1:10" ht="14.4" thickBot="1" x14ac:dyDescent="0.3">
      <c r="A665" s="303"/>
      <c r="B665" s="350"/>
      <c r="C665" s="303"/>
      <c r="D665" s="318"/>
      <c r="E665" s="319"/>
      <c r="F665" s="319"/>
      <c r="G665" s="319"/>
      <c r="H665" s="319"/>
      <c r="I665" s="319"/>
      <c r="J665" s="351"/>
    </row>
    <row r="666" spans="1:10" x14ac:dyDescent="0.25">
      <c r="A666" s="303"/>
      <c r="B666" s="305"/>
      <c r="C666" s="305"/>
      <c r="D666" s="348"/>
      <c r="E666" s="308"/>
      <c r="F666" s="308"/>
      <c r="G666" s="308"/>
      <c r="H666" s="308"/>
      <c r="I666" s="308"/>
      <c r="J666" s="352"/>
    </row>
    <row r="667" spans="1:10" ht="14.4" thickBot="1" x14ac:dyDescent="0.3">
      <c r="A667" s="303"/>
      <c r="B667" s="303"/>
      <c r="C667" s="303"/>
      <c r="D667" s="318"/>
      <c r="E667" s="319"/>
      <c r="F667" s="319"/>
      <c r="G667" s="319"/>
      <c r="H667" s="319"/>
      <c r="I667" s="319"/>
      <c r="J667" s="353"/>
    </row>
    <row r="668" spans="1:10" x14ac:dyDescent="0.25">
      <c r="A668" s="303"/>
      <c r="B668" s="304"/>
      <c r="C668" s="305"/>
      <c r="D668" s="306" t="s">
        <v>463</v>
      </c>
      <c r="E668" s="307"/>
      <c r="F668" s="307"/>
      <c r="G668" s="308"/>
      <c r="H668" s="308"/>
      <c r="I668" s="308"/>
      <c r="J668" s="309"/>
    </row>
    <row r="669" spans="1:10" x14ac:dyDescent="0.25">
      <c r="A669" s="303"/>
      <c r="B669" s="310" t="s">
        <v>464</v>
      </c>
      <c r="C669" s="311" t="s">
        <v>134</v>
      </c>
      <c r="D669" s="312"/>
      <c r="E669" s="313"/>
      <c r="F669" s="313"/>
      <c r="G669" s="313"/>
      <c r="H669" s="314"/>
      <c r="I669" s="313"/>
      <c r="J669" s="315" t="s">
        <v>465</v>
      </c>
    </row>
    <row r="670" spans="1:10" x14ac:dyDescent="0.25">
      <c r="A670" s="303"/>
      <c r="B670" s="316">
        <v>1107900</v>
      </c>
      <c r="C670" s="317" t="s">
        <v>425</v>
      </c>
      <c r="D670" s="318"/>
      <c r="E670" s="319"/>
      <c r="F670" s="319"/>
      <c r="G670" s="319"/>
      <c r="H670" s="320"/>
      <c r="I670" s="319"/>
      <c r="J670" s="321" t="s">
        <v>365</v>
      </c>
    </row>
    <row r="671" spans="1:10" x14ac:dyDescent="0.25">
      <c r="A671" s="303"/>
      <c r="B671" s="310"/>
      <c r="C671" s="311"/>
      <c r="D671" s="312"/>
      <c r="E671" s="314"/>
      <c r="F671" s="314" t="s">
        <v>466</v>
      </c>
      <c r="G671" s="314"/>
      <c r="H671" s="314" t="s">
        <v>467</v>
      </c>
      <c r="I671" s="314"/>
      <c r="J671" s="322" t="s">
        <v>468</v>
      </c>
    </row>
    <row r="672" spans="1:10" x14ac:dyDescent="0.25">
      <c r="A672" s="303"/>
      <c r="B672" s="316" t="s">
        <v>464</v>
      </c>
      <c r="C672" s="317" t="s">
        <v>469</v>
      </c>
      <c r="D672" s="318"/>
      <c r="E672" s="323" t="s">
        <v>355</v>
      </c>
      <c r="F672" s="324" t="s">
        <v>470</v>
      </c>
      <c r="G672" s="324" t="s">
        <v>471</v>
      </c>
      <c r="H672" s="324" t="s">
        <v>472</v>
      </c>
      <c r="I672" s="325" t="s">
        <v>473</v>
      </c>
      <c r="J672" s="326" t="s">
        <v>474</v>
      </c>
    </row>
    <row r="673" spans="1:10" x14ac:dyDescent="0.25">
      <c r="A673" s="303"/>
      <c r="B673" s="327" t="s">
        <v>612</v>
      </c>
      <c r="C673" s="311" t="s">
        <v>613</v>
      </c>
      <c r="D673" s="312"/>
      <c r="E673" s="328">
        <v>1</v>
      </c>
      <c r="F673" s="328">
        <v>1</v>
      </c>
      <c r="G673" s="328">
        <v>0</v>
      </c>
      <c r="H673" s="329">
        <v>1.3712</v>
      </c>
      <c r="I673" s="329">
        <v>0.91669999999999996</v>
      </c>
      <c r="J673" s="315">
        <v>1.3712</v>
      </c>
    </row>
    <row r="674" spans="1:10" x14ac:dyDescent="0.25">
      <c r="A674" s="303"/>
      <c r="B674" s="330" t="s">
        <v>614</v>
      </c>
      <c r="C674" s="317" t="s">
        <v>615</v>
      </c>
      <c r="D674" s="318"/>
      <c r="E674" s="331">
        <v>3</v>
      </c>
      <c r="F674" s="331">
        <v>0.4</v>
      </c>
      <c r="G674" s="331">
        <v>0.6</v>
      </c>
      <c r="H674" s="332">
        <v>1.0651999999999999</v>
      </c>
      <c r="I674" s="332">
        <v>0.72250000000000003</v>
      </c>
      <c r="J674" s="321">
        <v>2.5787</v>
      </c>
    </row>
    <row r="675" spans="1:10" x14ac:dyDescent="0.25">
      <c r="A675" s="303"/>
      <c r="B675" s="330" t="s">
        <v>595</v>
      </c>
      <c r="C675" s="317" t="s">
        <v>596</v>
      </c>
      <c r="D675" s="318"/>
      <c r="E675" s="331">
        <v>4</v>
      </c>
      <c r="F675" s="331">
        <v>0.86</v>
      </c>
      <c r="G675" s="331">
        <v>0.14000000000000001</v>
      </c>
      <c r="H675" s="332">
        <v>0.44979999999999998</v>
      </c>
      <c r="I675" s="332">
        <v>0.30509999999999998</v>
      </c>
      <c r="J675" s="321">
        <v>1.7181999999999999</v>
      </c>
    </row>
    <row r="676" spans="1:10" x14ac:dyDescent="0.25">
      <c r="A676" s="303"/>
      <c r="B676" s="330" t="s">
        <v>616</v>
      </c>
      <c r="C676" s="317" t="s">
        <v>617</v>
      </c>
      <c r="D676" s="318"/>
      <c r="E676" s="331">
        <v>1</v>
      </c>
      <c r="F676" s="331">
        <v>1</v>
      </c>
      <c r="G676" s="331">
        <v>0</v>
      </c>
      <c r="H676" s="332">
        <v>44.021000000000001</v>
      </c>
      <c r="I676" s="332">
        <v>23.415199999999999</v>
      </c>
      <c r="J676" s="321">
        <v>44.021000000000001</v>
      </c>
    </row>
    <row r="677" spans="1:10" x14ac:dyDescent="0.25">
      <c r="A677" s="303"/>
      <c r="B677" s="330" t="s">
        <v>618</v>
      </c>
      <c r="C677" s="317" t="s">
        <v>619</v>
      </c>
      <c r="D677" s="318"/>
      <c r="E677" s="331">
        <v>1</v>
      </c>
      <c r="F677" s="331">
        <v>1</v>
      </c>
      <c r="G677" s="331">
        <v>0</v>
      </c>
      <c r="H677" s="332">
        <v>3.6429</v>
      </c>
      <c r="I677" s="332">
        <v>0.19370000000000001</v>
      </c>
      <c r="J677" s="321">
        <v>3.6429</v>
      </c>
    </row>
    <row r="678" spans="1:10" x14ac:dyDescent="0.25">
      <c r="A678" s="303"/>
      <c r="B678" s="333" t="s">
        <v>346</v>
      </c>
      <c r="C678" s="317"/>
      <c r="D678" s="318"/>
      <c r="E678" s="331"/>
      <c r="F678" s="331"/>
      <c r="G678" s="331"/>
      <c r="H678" s="332"/>
      <c r="I678" s="332"/>
      <c r="J678" s="321"/>
    </row>
    <row r="679" spans="1:10" x14ac:dyDescent="0.25">
      <c r="A679" s="303"/>
      <c r="B679" s="333" t="s">
        <v>346</v>
      </c>
      <c r="C679" s="317"/>
      <c r="D679" s="318"/>
      <c r="E679" s="331"/>
      <c r="F679" s="331"/>
      <c r="G679" s="331"/>
      <c r="H679" s="332"/>
      <c r="I679" s="332"/>
      <c r="J679" s="321"/>
    </row>
    <row r="680" spans="1:10" x14ac:dyDescent="0.25">
      <c r="A680" s="303"/>
      <c r="B680" s="310"/>
      <c r="C680" s="334"/>
      <c r="D680" s="312"/>
      <c r="E680" s="313"/>
      <c r="F680" s="313"/>
      <c r="G680" s="313"/>
      <c r="H680" s="313"/>
      <c r="I680" s="335" t="s">
        <v>479</v>
      </c>
      <c r="J680" s="315">
        <v>53.332000000000001</v>
      </c>
    </row>
    <row r="681" spans="1:10" x14ac:dyDescent="0.25">
      <c r="A681" s="303"/>
      <c r="B681" s="310" t="s">
        <v>464</v>
      </c>
      <c r="C681" s="311" t="s">
        <v>480</v>
      </c>
      <c r="D681" s="312"/>
      <c r="E681" s="313"/>
      <c r="F681" s="313"/>
      <c r="G681" s="313"/>
      <c r="H681" s="324" t="s">
        <v>355</v>
      </c>
      <c r="I681" s="336" t="s">
        <v>481</v>
      </c>
      <c r="J681" s="322" t="s">
        <v>331</v>
      </c>
    </row>
    <row r="682" spans="1:10" x14ac:dyDescent="0.25">
      <c r="A682" s="303"/>
      <c r="B682" s="337" t="s">
        <v>620</v>
      </c>
      <c r="C682" s="311" t="s">
        <v>621</v>
      </c>
      <c r="D682" s="312"/>
      <c r="E682" s="313"/>
      <c r="F682" s="313"/>
      <c r="G682" s="313"/>
      <c r="H682" s="314">
        <v>1</v>
      </c>
      <c r="I682" s="329">
        <v>21.433599999999998</v>
      </c>
      <c r="J682" s="315">
        <v>21.433599999999998</v>
      </c>
    </row>
    <row r="683" spans="1:10" x14ac:dyDescent="0.25">
      <c r="A683" s="303"/>
      <c r="B683" s="333" t="s">
        <v>482</v>
      </c>
      <c r="C683" s="317" t="s">
        <v>483</v>
      </c>
      <c r="D683" s="318"/>
      <c r="E683" s="319"/>
      <c r="F683" s="319"/>
      <c r="G683" s="319"/>
      <c r="H683" s="320">
        <v>9</v>
      </c>
      <c r="I683" s="332">
        <v>17.768000000000001</v>
      </c>
      <c r="J683" s="321">
        <v>159.91200000000001</v>
      </c>
    </row>
    <row r="684" spans="1:10" x14ac:dyDescent="0.25">
      <c r="A684" s="303"/>
      <c r="B684" s="333" t="s">
        <v>346</v>
      </c>
      <c r="C684" s="317"/>
      <c r="D684" s="318"/>
      <c r="E684" s="319"/>
      <c r="F684" s="319"/>
      <c r="G684" s="319"/>
      <c r="H684" s="320"/>
      <c r="I684" s="332"/>
      <c r="J684" s="321"/>
    </row>
    <row r="685" spans="1:10" x14ac:dyDescent="0.25">
      <c r="A685" s="303"/>
      <c r="B685" s="333" t="s">
        <v>346</v>
      </c>
      <c r="C685" s="317"/>
      <c r="D685" s="318"/>
      <c r="E685" s="319"/>
      <c r="F685" s="319"/>
      <c r="G685" s="319"/>
      <c r="H685" s="320"/>
      <c r="I685" s="332"/>
      <c r="J685" s="321"/>
    </row>
    <row r="686" spans="1:10" x14ac:dyDescent="0.25">
      <c r="A686" s="303"/>
      <c r="B686" s="333" t="s">
        <v>346</v>
      </c>
      <c r="C686" s="317"/>
      <c r="D686" s="318"/>
      <c r="E686" s="319"/>
      <c r="F686" s="319"/>
      <c r="G686" s="319"/>
      <c r="H686" s="320"/>
      <c r="I686" s="332"/>
      <c r="J686" s="321"/>
    </row>
    <row r="687" spans="1:10" x14ac:dyDescent="0.25">
      <c r="A687" s="303"/>
      <c r="B687" s="333" t="s">
        <v>346</v>
      </c>
      <c r="C687" s="317"/>
      <c r="D687" s="318"/>
      <c r="E687" s="319"/>
      <c r="F687" s="319"/>
      <c r="G687" s="319"/>
      <c r="H687" s="320"/>
      <c r="I687" s="332"/>
      <c r="J687" s="321"/>
    </row>
    <row r="688" spans="1:10" x14ac:dyDescent="0.25">
      <c r="A688" s="303"/>
      <c r="B688" s="333" t="s">
        <v>346</v>
      </c>
      <c r="C688" s="317"/>
      <c r="D688" s="318"/>
      <c r="E688" s="319"/>
      <c r="F688" s="319"/>
      <c r="G688" s="319"/>
      <c r="H688" s="320"/>
      <c r="I688" s="332"/>
      <c r="J688" s="321"/>
    </row>
    <row r="689" spans="1:10" x14ac:dyDescent="0.25">
      <c r="A689" s="303"/>
      <c r="B689" s="310"/>
      <c r="C689" s="334"/>
      <c r="D689" s="312"/>
      <c r="E689" s="313"/>
      <c r="F689" s="313"/>
      <c r="G689" s="313"/>
      <c r="H689" s="313"/>
      <c r="I689" s="338" t="s">
        <v>484</v>
      </c>
      <c r="J689" s="315">
        <v>181.34559999999999</v>
      </c>
    </row>
    <row r="690" spans="1:10" x14ac:dyDescent="0.25">
      <c r="A690" s="303"/>
      <c r="B690" s="339"/>
      <c r="C690" s="334"/>
      <c r="D690" s="312"/>
      <c r="E690" s="313"/>
      <c r="F690" s="313"/>
      <c r="G690" s="313"/>
      <c r="H690" s="313"/>
      <c r="I690" s="338" t="s">
        <v>485</v>
      </c>
      <c r="J690" s="340">
        <v>234.67760000000001</v>
      </c>
    </row>
    <row r="691" spans="1:10" x14ac:dyDescent="0.25">
      <c r="A691" s="303"/>
      <c r="B691" s="339"/>
      <c r="C691" s="341" t="s">
        <v>486</v>
      </c>
      <c r="D691" s="312">
        <v>3.8530000000000002</v>
      </c>
      <c r="E691" s="313"/>
      <c r="F691" s="313"/>
      <c r="G691" s="313"/>
      <c r="H691" s="313"/>
      <c r="I691" s="338" t="s">
        <v>487</v>
      </c>
      <c r="J691" s="340">
        <v>60.907800000000002</v>
      </c>
    </row>
    <row r="692" spans="1:10" x14ac:dyDescent="0.25">
      <c r="A692" s="303"/>
      <c r="B692" s="310"/>
      <c r="C692" s="334"/>
      <c r="D692" s="312"/>
      <c r="E692" s="313"/>
      <c r="F692" s="313"/>
      <c r="G692" s="313"/>
      <c r="H692" s="338" t="s">
        <v>488</v>
      </c>
      <c r="I692" s="342">
        <v>0</v>
      </c>
      <c r="J692" s="315">
        <v>0</v>
      </c>
    </row>
    <row r="693" spans="1:10" x14ac:dyDescent="0.25">
      <c r="A693" s="303"/>
      <c r="B693" s="310"/>
      <c r="C693" s="334"/>
      <c r="D693" s="312"/>
      <c r="E693" s="313"/>
      <c r="F693" s="313"/>
      <c r="G693" s="313"/>
      <c r="H693" s="335" t="s">
        <v>489</v>
      </c>
      <c r="I693" s="343">
        <v>0</v>
      </c>
      <c r="J693" s="315">
        <v>0</v>
      </c>
    </row>
    <row r="694" spans="1:10" x14ac:dyDescent="0.25">
      <c r="A694" s="303"/>
      <c r="B694" s="310" t="s">
        <v>464</v>
      </c>
      <c r="C694" s="311" t="s">
        <v>490</v>
      </c>
      <c r="D694" s="312"/>
      <c r="E694" s="313"/>
      <c r="F694" s="313"/>
      <c r="G694" s="314" t="s">
        <v>465</v>
      </c>
      <c r="H694" s="336" t="s">
        <v>468</v>
      </c>
      <c r="I694" s="336" t="s">
        <v>491</v>
      </c>
      <c r="J694" s="322" t="s">
        <v>492</v>
      </c>
    </row>
    <row r="695" spans="1:10" x14ac:dyDescent="0.25">
      <c r="A695" s="303"/>
      <c r="B695" s="337" t="s">
        <v>622</v>
      </c>
      <c r="C695" s="311" t="s">
        <v>623</v>
      </c>
      <c r="D695" s="312"/>
      <c r="E695" s="313"/>
      <c r="F695" s="313"/>
      <c r="G695" s="314" t="s">
        <v>560</v>
      </c>
      <c r="H695" s="329">
        <v>5.2572000000000001</v>
      </c>
      <c r="I695" s="329">
        <v>1.0570999999999999</v>
      </c>
      <c r="J695" s="315">
        <v>5.5574000000000003</v>
      </c>
    </row>
    <row r="696" spans="1:10" x14ac:dyDescent="0.25">
      <c r="A696" s="303"/>
      <c r="B696" s="333" t="s">
        <v>624</v>
      </c>
      <c r="C696" s="317" t="s">
        <v>625</v>
      </c>
      <c r="D696" s="318"/>
      <c r="E696" s="319"/>
      <c r="F696" s="319"/>
      <c r="G696" s="320" t="s">
        <v>365</v>
      </c>
      <c r="H696" s="332">
        <v>32.81</v>
      </c>
      <c r="I696" s="332">
        <v>0.59362999999999999</v>
      </c>
      <c r="J696" s="321">
        <v>19.477</v>
      </c>
    </row>
    <row r="697" spans="1:10" x14ac:dyDescent="0.25">
      <c r="A697" s="303"/>
      <c r="B697" s="333" t="s">
        <v>556</v>
      </c>
      <c r="C697" s="317" t="s">
        <v>557</v>
      </c>
      <c r="D697" s="318"/>
      <c r="E697" s="319"/>
      <c r="F697" s="319"/>
      <c r="G697" s="320" t="s">
        <v>365</v>
      </c>
      <c r="H697" s="332">
        <v>68.72</v>
      </c>
      <c r="I697" s="332">
        <v>0.36753999999999998</v>
      </c>
      <c r="J697" s="321">
        <v>25.257300000000001</v>
      </c>
    </row>
    <row r="698" spans="1:10" x14ac:dyDescent="0.25">
      <c r="A698" s="303"/>
      <c r="B698" s="333" t="s">
        <v>626</v>
      </c>
      <c r="C698" s="317" t="s">
        <v>627</v>
      </c>
      <c r="D698" s="318"/>
      <c r="E698" s="319"/>
      <c r="F698" s="319"/>
      <c r="G698" s="320" t="s">
        <v>365</v>
      </c>
      <c r="H698" s="332">
        <v>68.72</v>
      </c>
      <c r="I698" s="332">
        <v>0.36753999999999998</v>
      </c>
      <c r="J698" s="321">
        <v>25.257300000000001</v>
      </c>
    </row>
    <row r="699" spans="1:10" x14ac:dyDescent="0.25">
      <c r="A699" s="303"/>
      <c r="B699" s="333" t="s">
        <v>628</v>
      </c>
      <c r="C699" s="317" t="s">
        <v>629</v>
      </c>
      <c r="D699" s="318"/>
      <c r="E699" s="319"/>
      <c r="F699" s="319"/>
      <c r="G699" s="320" t="s">
        <v>560</v>
      </c>
      <c r="H699" s="332">
        <v>0.51600000000000001</v>
      </c>
      <c r="I699" s="332">
        <v>352.36529000000002</v>
      </c>
      <c r="J699" s="321">
        <v>181.82050000000001</v>
      </c>
    </row>
    <row r="700" spans="1:10" x14ac:dyDescent="0.25">
      <c r="A700" s="303"/>
      <c r="B700" s="333" t="s">
        <v>346</v>
      </c>
      <c r="C700" s="317"/>
      <c r="D700" s="318"/>
      <c r="E700" s="319"/>
      <c r="F700" s="319"/>
      <c r="G700" s="320"/>
      <c r="H700" s="332"/>
      <c r="I700" s="332"/>
      <c r="J700" s="321"/>
    </row>
    <row r="701" spans="1:10" x14ac:dyDescent="0.25">
      <c r="A701" s="303"/>
      <c r="B701" s="333" t="s">
        <v>346</v>
      </c>
      <c r="C701" s="317"/>
      <c r="D701" s="318"/>
      <c r="E701" s="319"/>
      <c r="F701" s="319"/>
      <c r="G701" s="320"/>
      <c r="H701" s="332"/>
      <c r="I701" s="332"/>
      <c r="J701" s="321"/>
    </row>
    <row r="702" spans="1:10" x14ac:dyDescent="0.25">
      <c r="A702" s="303"/>
      <c r="B702" s="310"/>
      <c r="C702" s="334"/>
      <c r="D702" s="312"/>
      <c r="E702" s="313"/>
      <c r="F702" s="313"/>
      <c r="G702" s="313"/>
      <c r="H702" s="343"/>
      <c r="I702" s="335" t="s">
        <v>498</v>
      </c>
      <c r="J702" s="315">
        <v>257.36950000000002</v>
      </c>
    </row>
    <row r="703" spans="1:10" x14ac:dyDescent="0.25">
      <c r="A703" s="303"/>
      <c r="B703" s="310" t="s">
        <v>464</v>
      </c>
      <c r="C703" s="311" t="s">
        <v>499</v>
      </c>
      <c r="D703" s="312"/>
      <c r="E703" s="313"/>
      <c r="F703" s="313"/>
      <c r="G703" s="314" t="s">
        <v>465</v>
      </c>
      <c r="H703" s="336" t="s">
        <v>468</v>
      </c>
      <c r="I703" s="336" t="s">
        <v>491</v>
      </c>
      <c r="J703" s="322" t="s">
        <v>492</v>
      </c>
    </row>
    <row r="704" spans="1:10" x14ac:dyDescent="0.25">
      <c r="A704" s="303"/>
      <c r="B704" s="337"/>
      <c r="C704" s="311"/>
      <c r="D704" s="312"/>
      <c r="E704" s="313"/>
      <c r="F704" s="313"/>
      <c r="G704" s="314"/>
      <c r="H704" s="329"/>
      <c r="I704" s="329"/>
      <c r="J704" s="315"/>
    </row>
    <row r="705" spans="1:10" x14ac:dyDescent="0.25">
      <c r="A705" s="303"/>
      <c r="B705" s="333"/>
      <c r="C705" s="317"/>
      <c r="D705" s="318"/>
      <c r="E705" s="319"/>
      <c r="F705" s="319"/>
      <c r="G705" s="320"/>
      <c r="H705" s="332"/>
      <c r="I705" s="332"/>
      <c r="J705" s="321"/>
    </row>
    <row r="706" spans="1:10" x14ac:dyDescent="0.25">
      <c r="A706" s="303"/>
      <c r="B706" s="333"/>
      <c r="C706" s="317"/>
      <c r="D706" s="318"/>
      <c r="E706" s="319"/>
      <c r="F706" s="319"/>
      <c r="G706" s="320"/>
      <c r="H706" s="332"/>
      <c r="I706" s="332"/>
      <c r="J706" s="321"/>
    </row>
    <row r="707" spans="1:10" x14ac:dyDescent="0.25">
      <c r="A707" s="303"/>
      <c r="B707" s="333"/>
      <c r="C707" s="317"/>
      <c r="D707" s="318"/>
      <c r="E707" s="319"/>
      <c r="F707" s="319"/>
      <c r="G707" s="320"/>
      <c r="H707" s="332"/>
      <c r="I707" s="332"/>
      <c r="J707" s="321"/>
    </row>
    <row r="708" spans="1:10" x14ac:dyDescent="0.25">
      <c r="A708" s="303"/>
      <c r="B708" s="333"/>
      <c r="C708" s="317"/>
      <c r="D708" s="318"/>
      <c r="E708" s="319"/>
      <c r="F708" s="319"/>
      <c r="G708" s="320"/>
      <c r="H708" s="332"/>
      <c r="I708" s="332"/>
      <c r="J708" s="321"/>
    </row>
    <row r="709" spans="1:10" x14ac:dyDescent="0.25">
      <c r="A709" s="303"/>
      <c r="B709" s="310"/>
      <c r="C709" s="334"/>
      <c r="D709" s="312"/>
      <c r="E709" s="313"/>
      <c r="F709" s="313"/>
      <c r="G709" s="313"/>
      <c r="H709" s="343"/>
      <c r="I709" s="335" t="s">
        <v>501</v>
      </c>
      <c r="J709" s="315">
        <v>0</v>
      </c>
    </row>
    <row r="710" spans="1:10" x14ac:dyDescent="0.25">
      <c r="A710" s="303"/>
      <c r="B710" s="310" t="s">
        <v>464</v>
      </c>
      <c r="C710" s="311" t="s">
        <v>502</v>
      </c>
      <c r="D710" s="312"/>
      <c r="E710" s="313"/>
      <c r="F710" s="314" t="s">
        <v>464</v>
      </c>
      <c r="G710" s="324" t="s">
        <v>503</v>
      </c>
      <c r="H710" s="329" t="s">
        <v>465</v>
      </c>
      <c r="I710" s="336" t="s">
        <v>468</v>
      </c>
      <c r="J710" s="322" t="s">
        <v>492</v>
      </c>
    </row>
    <row r="711" spans="1:10" x14ac:dyDescent="0.25">
      <c r="A711" s="303"/>
      <c r="B711" s="337" t="s">
        <v>630</v>
      </c>
      <c r="C711" s="311" t="s">
        <v>631</v>
      </c>
      <c r="D711" s="312"/>
      <c r="E711" s="313"/>
      <c r="F711" s="344" t="s">
        <v>632</v>
      </c>
      <c r="G711" s="314">
        <v>1.06E-3</v>
      </c>
      <c r="H711" s="329" t="s">
        <v>370</v>
      </c>
      <c r="I711" s="329">
        <v>26.18</v>
      </c>
      <c r="J711" s="315">
        <v>2.7799999999999998E-2</v>
      </c>
    </row>
    <row r="712" spans="1:10" x14ac:dyDescent="0.25">
      <c r="A712" s="303"/>
      <c r="B712" s="333" t="s">
        <v>633</v>
      </c>
      <c r="C712" s="317" t="s">
        <v>634</v>
      </c>
      <c r="D712" s="318"/>
      <c r="E712" s="319"/>
      <c r="F712" s="354" t="s">
        <v>567</v>
      </c>
      <c r="G712" s="320">
        <v>0.89044999999999996</v>
      </c>
      <c r="H712" s="332" t="s">
        <v>370</v>
      </c>
      <c r="I712" s="332">
        <v>1.23</v>
      </c>
      <c r="J712" s="321">
        <v>1.0952999999999999</v>
      </c>
    </row>
    <row r="713" spans="1:10" x14ac:dyDescent="0.25">
      <c r="A713" s="303"/>
      <c r="B713" s="333" t="s">
        <v>570</v>
      </c>
      <c r="C713" s="317" t="s">
        <v>571</v>
      </c>
      <c r="D713" s="318"/>
      <c r="E713" s="319"/>
      <c r="F713" s="354" t="s">
        <v>567</v>
      </c>
      <c r="G713" s="320">
        <v>0.55130999999999997</v>
      </c>
      <c r="H713" s="332" t="s">
        <v>370</v>
      </c>
      <c r="I713" s="332">
        <v>1.23</v>
      </c>
      <c r="J713" s="321">
        <v>0.67810000000000004</v>
      </c>
    </row>
    <row r="714" spans="1:10" x14ac:dyDescent="0.25">
      <c r="A714" s="303"/>
      <c r="B714" s="333" t="s">
        <v>635</v>
      </c>
      <c r="C714" s="317" t="s">
        <v>636</v>
      </c>
      <c r="D714" s="318"/>
      <c r="E714" s="319"/>
      <c r="F714" s="354" t="s">
        <v>567</v>
      </c>
      <c r="G714" s="320">
        <v>0.55130999999999997</v>
      </c>
      <c r="H714" s="332" t="s">
        <v>370</v>
      </c>
      <c r="I714" s="332">
        <v>1.23</v>
      </c>
      <c r="J714" s="321">
        <v>0.67810000000000004</v>
      </c>
    </row>
    <row r="715" spans="1:10" x14ac:dyDescent="0.25">
      <c r="A715" s="303"/>
      <c r="B715" s="333" t="s">
        <v>637</v>
      </c>
      <c r="C715" s="317" t="s">
        <v>638</v>
      </c>
      <c r="D715" s="318"/>
      <c r="E715" s="319"/>
      <c r="F715" s="354" t="s">
        <v>632</v>
      </c>
      <c r="G715" s="320">
        <v>0.35237000000000002</v>
      </c>
      <c r="H715" s="332" t="s">
        <v>370</v>
      </c>
      <c r="I715" s="332">
        <v>26.18</v>
      </c>
      <c r="J715" s="321">
        <v>9.2249999999999996</v>
      </c>
    </row>
    <row r="716" spans="1:10" x14ac:dyDescent="0.25">
      <c r="A716" s="303"/>
      <c r="B716" s="310"/>
      <c r="C716" s="334"/>
      <c r="D716" s="312"/>
      <c r="E716" s="313"/>
      <c r="F716" s="313"/>
      <c r="G716" s="313"/>
      <c r="H716" s="343"/>
      <c r="I716" s="338" t="s">
        <v>507</v>
      </c>
      <c r="J716" s="315">
        <v>11.7043</v>
      </c>
    </row>
    <row r="717" spans="1:10" x14ac:dyDescent="0.25">
      <c r="A717" s="303"/>
      <c r="B717" s="310" t="s">
        <v>464</v>
      </c>
      <c r="C717" s="311" t="s">
        <v>508</v>
      </c>
      <c r="D717" s="345" t="s">
        <v>509</v>
      </c>
      <c r="E717" s="324" t="s">
        <v>873</v>
      </c>
      <c r="F717" s="324" t="s">
        <v>874</v>
      </c>
      <c r="G717" s="324" t="s">
        <v>875</v>
      </c>
      <c r="H717" s="336" t="s">
        <v>468</v>
      </c>
      <c r="I717" s="324" t="s">
        <v>491</v>
      </c>
      <c r="J717" s="322" t="s">
        <v>492</v>
      </c>
    </row>
    <row r="718" spans="1:10" x14ac:dyDescent="0.25">
      <c r="A718" s="303"/>
      <c r="B718" s="337" t="s">
        <v>639</v>
      </c>
      <c r="C718" s="311" t="s">
        <v>640</v>
      </c>
      <c r="D718" s="345" t="s">
        <v>510</v>
      </c>
      <c r="E718" s="314">
        <v>0</v>
      </c>
      <c r="F718" s="314">
        <v>0</v>
      </c>
      <c r="G718" s="314">
        <v>100.45</v>
      </c>
      <c r="H718" s="329">
        <v>0.55000000000000004</v>
      </c>
      <c r="I718" s="314">
        <v>1.06E-3</v>
      </c>
      <c r="J718" s="315">
        <v>5.8599999999999999E-2</v>
      </c>
    </row>
    <row r="719" spans="1:10" x14ac:dyDescent="0.25">
      <c r="A719" s="303"/>
      <c r="B719" s="333" t="s">
        <v>641</v>
      </c>
      <c r="C719" s="317" t="s">
        <v>642</v>
      </c>
      <c r="D719" s="346" t="s">
        <v>510</v>
      </c>
      <c r="E719" s="320">
        <v>0</v>
      </c>
      <c r="F719" s="320">
        <v>0</v>
      </c>
      <c r="G719" s="320">
        <v>121</v>
      </c>
      <c r="H719" s="332">
        <v>0.55000000000000004</v>
      </c>
      <c r="I719" s="320">
        <v>0.89044999999999996</v>
      </c>
      <c r="J719" s="321">
        <v>59.259399999999999</v>
      </c>
    </row>
    <row r="720" spans="1:10" x14ac:dyDescent="0.25">
      <c r="A720" s="303"/>
      <c r="B720" s="333" t="s">
        <v>581</v>
      </c>
      <c r="C720" s="317" t="s">
        <v>582</v>
      </c>
      <c r="D720" s="346" t="s">
        <v>510</v>
      </c>
      <c r="E720" s="320">
        <v>0</v>
      </c>
      <c r="F720" s="320">
        <v>0</v>
      </c>
      <c r="G720" s="320">
        <v>137.5</v>
      </c>
      <c r="H720" s="332">
        <v>0.55000000000000004</v>
      </c>
      <c r="I720" s="320">
        <v>0.55130999999999997</v>
      </c>
      <c r="J720" s="321">
        <v>41.692799999999998</v>
      </c>
    </row>
    <row r="721" spans="1:10" x14ac:dyDescent="0.25">
      <c r="A721" s="303"/>
      <c r="B721" s="333" t="s">
        <v>643</v>
      </c>
      <c r="C721" s="317" t="s">
        <v>644</v>
      </c>
      <c r="D721" s="346" t="s">
        <v>510</v>
      </c>
      <c r="E721" s="320">
        <v>0</v>
      </c>
      <c r="F721" s="320">
        <v>0</v>
      </c>
      <c r="G721" s="320">
        <v>137.5</v>
      </c>
      <c r="H721" s="332">
        <v>0.55000000000000004</v>
      </c>
      <c r="I721" s="320">
        <v>0.55130999999999997</v>
      </c>
      <c r="J721" s="321">
        <v>41.692799999999998</v>
      </c>
    </row>
    <row r="722" spans="1:10" x14ac:dyDescent="0.25">
      <c r="A722" s="303"/>
      <c r="B722" s="333" t="s">
        <v>645</v>
      </c>
      <c r="C722" s="317" t="s">
        <v>646</v>
      </c>
      <c r="D722" s="346" t="s">
        <v>510</v>
      </c>
      <c r="E722" s="320">
        <v>0</v>
      </c>
      <c r="F722" s="320">
        <v>0</v>
      </c>
      <c r="G722" s="320">
        <v>100.45</v>
      </c>
      <c r="H722" s="332">
        <v>0.55000000000000004</v>
      </c>
      <c r="I722" s="320">
        <v>0.35237000000000002</v>
      </c>
      <c r="J722" s="321">
        <v>19.467600000000001</v>
      </c>
    </row>
    <row r="723" spans="1:10" x14ac:dyDescent="0.25">
      <c r="A723" s="303"/>
      <c r="B723" s="333" t="s">
        <v>346</v>
      </c>
      <c r="C723" s="317"/>
      <c r="D723" s="346"/>
      <c r="E723" s="320"/>
      <c r="F723" s="320"/>
      <c r="G723" s="320"/>
      <c r="H723" s="332"/>
      <c r="I723" s="320"/>
      <c r="J723" s="321"/>
    </row>
    <row r="724" spans="1:10" x14ac:dyDescent="0.25">
      <c r="A724" s="303"/>
      <c r="B724" s="333" t="s">
        <v>346</v>
      </c>
      <c r="C724" s="317"/>
      <c r="D724" s="346"/>
      <c r="E724" s="320"/>
      <c r="F724" s="320"/>
      <c r="G724" s="320"/>
      <c r="H724" s="332"/>
      <c r="I724" s="320"/>
      <c r="J724" s="321"/>
    </row>
    <row r="725" spans="1:10" x14ac:dyDescent="0.25">
      <c r="A725" s="303"/>
      <c r="B725" s="310"/>
      <c r="C725" s="334"/>
      <c r="D725" s="312"/>
      <c r="E725" s="313"/>
      <c r="F725" s="313"/>
      <c r="G725" s="313"/>
      <c r="H725" s="313"/>
      <c r="I725" s="338" t="s">
        <v>513</v>
      </c>
      <c r="J725" s="315">
        <v>162.1712</v>
      </c>
    </row>
    <row r="726" spans="1:10" x14ac:dyDescent="0.25">
      <c r="A726" s="303"/>
      <c r="B726" s="310" t="s">
        <v>514</v>
      </c>
      <c r="C726" s="334"/>
      <c r="D726" s="312"/>
      <c r="E726" s="313"/>
      <c r="F726" s="313"/>
      <c r="G726" s="313"/>
      <c r="H726" s="313"/>
      <c r="I726" s="313"/>
      <c r="J726" s="315">
        <v>492.1527999999999</v>
      </c>
    </row>
    <row r="727" spans="1:10" x14ac:dyDescent="0.25">
      <c r="A727" s="303"/>
      <c r="B727" s="310" t="s">
        <v>515</v>
      </c>
      <c r="C727" s="334"/>
      <c r="D727" s="312">
        <v>0</v>
      </c>
      <c r="E727" s="313"/>
      <c r="F727" s="313"/>
      <c r="G727" s="313"/>
      <c r="H727" s="313"/>
      <c r="I727" s="313"/>
      <c r="J727" s="315">
        <v>0</v>
      </c>
    </row>
    <row r="728" spans="1:10" ht="14.4" thickBot="1" x14ac:dyDescent="0.3">
      <c r="A728" s="303"/>
      <c r="B728" s="310" t="s">
        <v>516</v>
      </c>
      <c r="C728" s="334"/>
      <c r="D728" s="312"/>
      <c r="E728" s="313"/>
      <c r="F728" s="313"/>
      <c r="G728" s="313"/>
      <c r="H728" s="313"/>
      <c r="I728" s="313"/>
      <c r="J728" s="347">
        <v>492.15</v>
      </c>
    </row>
    <row r="729" spans="1:10" x14ac:dyDescent="0.25">
      <c r="A729" s="303"/>
      <c r="B729" s="304"/>
      <c r="C729" s="305"/>
      <c r="D729" s="348"/>
      <c r="E729" s="308"/>
      <c r="F729" s="308"/>
      <c r="G729" s="308"/>
      <c r="H729" s="308"/>
      <c r="I729" s="308"/>
      <c r="J729" s="309"/>
    </row>
    <row r="730" spans="1:10" x14ac:dyDescent="0.25">
      <c r="A730" s="303"/>
      <c r="B730" s="316"/>
      <c r="C730" s="303"/>
      <c r="D730" s="318"/>
      <c r="E730" s="319"/>
      <c r="F730" s="319"/>
      <c r="G730" s="319"/>
      <c r="H730" s="319"/>
      <c r="I730" s="319"/>
      <c r="J730" s="349"/>
    </row>
    <row r="731" spans="1:10" x14ac:dyDescent="0.25">
      <c r="A731" s="303"/>
      <c r="B731" s="316"/>
      <c r="C731" s="303"/>
      <c r="D731" s="318"/>
      <c r="E731" s="319"/>
      <c r="F731" s="319"/>
      <c r="G731" s="319"/>
      <c r="H731" s="319"/>
      <c r="I731" s="319"/>
      <c r="J731" s="349"/>
    </row>
    <row r="732" spans="1:10" ht="14.4" thickBot="1" x14ac:dyDescent="0.3">
      <c r="A732" s="303"/>
      <c r="B732" s="350"/>
      <c r="C732" s="303"/>
      <c r="D732" s="318"/>
      <c r="E732" s="319"/>
      <c r="F732" s="319"/>
      <c r="G732" s="319"/>
      <c r="H732" s="319"/>
      <c r="I732" s="319"/>
      <c r="J732" s="351"/>
    </row>
    <row r="733" spans="1:10" x14ac:dyDescent="0.25">
      <c r="A733" s="303"/>
      <c r="B733" s="305"/>
      <c r="C733" s="305"/>
      <c r="D733" s="348"/>
      <c r="E733" s="308"/>
      <c r="F733" s="308"/>
      <c r="G733" s="308"/>
      <c r="H733" s="308"/>
      <c r="I733" s="308"/>
      <c r="J733" s="352"/>
    </row>
    <row r="734" spans="1:10" ht="14.4" thickBot="1" x14ac:dyDescent="0.3">
      <c r="A734" s="303"/>
      <c r="B734" s="303"/>
      <c r="C734" s="303"/>
      <c r="D734" s="318"/>
      <c r="E734" s="319"/>
      <c r="F734" s="319"/>
      <c r="G734" s="319"/>
      <c r="H734" s="319"/>
      <c r="I734" s="319"/>
      <c r="J734" s="353"/>
    </row>
    <row r="735" spans="1:10" x14ac:dyDescent="0.25">
      <c r="A735" s="303"/>
      <c r="B735" s="304"/>
      <c r="C735" s="305"/>
      <c r="D735" s="306" t="s">
        <v>463</v>
      </c>
      <c r="E735" s="307"/>
      <c r="F735" s="307"/>
      <c r="G735" s="308"/>
      <c r="H735" s="308"/>
      <c r="I735" s="308"/>
      <c r="J735" s="309"/>
    </row>
    <row r="736" spans="1:10" x14ac:dyDescent="0.25">
      <c r="A736" s="303"/>
      <c r="B736" s="310" t="s">
        <v>464</v>
      </c>
      <c r="C736" s="311" t="s">
        <v>134</v>
      </c>
      <c r="D736" s="312"/>
      <c r="E736" s="313"/>
      <c r="F736" s="313"/>
      <c r="G736" s="313"/>
      <c r="H736" s="314"/>
      <c r="I736" s="313"/>
      <c r="J736" s="315" t="s">
        <v>465</v>
      </c>
    </row>
    <row r="737" spans="1:10" x14ac:dyDescent="0.25">
      <c r="A737" s="303"/>
      <c r="B737" s="316">
        <v>4915695</v>
      </c>
      <c r="C737" s="317" t="s">
        <v>375</v>
      </c>
      <c r="D737" s="318"/>
      <c r="E737" s="319"/>
      <c r="F737" s="319"/>
      <c r="G737" s="319"/>
      <c r="H737" s="320"/>
      <c r="I737" s="319"/>
      <c r="J737" s="321" t="s">
        <v>372</v>
      </c>
    </row>
    <row r="738" spans="1:10" x14ac:dyDescent="0.25">
      <c r="A738" s="303"/>
      <c r="B738" s="310"/>
      <c r="C738" s="311"/>
      <c r="D738" s="312"/>
      <c r="E738" s="314"/>
      <c r="F738" s="314" t="s">
        <v>466</v>
      </c>
      <c r="G738" s="314"/>
      <c r="H738" s="314" t="s">
        <v>467</v>
      </c>
      <c r="I738" s="314"/>
      <c r="J738" s="322" t="s">
        <v>468</v>
      </c>
    </row>
    <row r="739" spans="1:10" x14ac:dyDescent="0.25">
      <c r="A739" s="303"/>
      <c r="B739" s="316" t="s">
        <v>464</v>
      </c>
      <c r="C739" s="317" t="s">
        <v>469</v>
      </c>
      <c r="D739" s="318"/>
      <c r="E739" s="323" t="s">
        <v>355</v>
      </c>
      <c r="F739" s="324" t="s">
        <v>470</v>
      </c>
      <c r="G739" s="324" t="s">
        <v>471</v>
      </c>
      <c r="H739" s="324" t="s">
        <v>472</v>
      </c>
      <c r="I739" s="325" t="s">
        <v>473</v>
      </c>
      <c r="J739" s="326" t="s">
        <v>474</v>
      </c>
    </row>
    <row r="740" spans="1:10" x14ac:dyDescent="0.25">
      <c r="A740" s="303"/>
      <c r="B740" s="327" t="s">
        <v>647</v>
      </c>
      <c r="C740" s="311" t="s">
        <v>648</v>
      </c>
      <c r="D740" s="312"/>
      <c r="E740" s="328">
        <v>1</v>
      </c>
      <c r="F740" s="328">
        <v>7.0000000000000007E-2</v>
      </c>
      <c r="G740" s="328">
        <v>0.93</v>
      </c>
      <c r="H740" s="329">
        <v>18.497499999999999</v>
      </c>
      <c r="I740" s="329">
        <v>11.6166</v>
      </c>
      <c r="J740" s="315">
        <v>12.0983</v>
      </c>
    </row>
    <row r="741" spans="1:10" x14ac:dyDescent="0.25">
      <c r="A741" s="303"/>
      <c r="B741" s="330" t="s">
        <v>477</v>
      </c>
      <c r="C741" s="317" t="s">
        <v>478</v>
      </c>
      <c r="D741" s="318"/>
      <c r="E741" s="331">
        <v>1</v>
      </c>
      <c r="F741" s="331">
        <v>1</v>
      </c>
      <c r="G741" s="331">
        <v>0</v>
      </c>
      <c r="H741" s="332">
        <v>21.3766</v>
      </c>
      <c r="I741" s="332">
        <v>1.5183</v>
      </c>
      <c r="J741" s="321">
        <v>21.3766</v>
      </c>
    </row>
    <row r="742" spans="1:10" x14ac:dyDescent="0.25">
      <c r="A742" s="303"/>
      <c r="B742" s="330" t="s">
        <v>882</v>
      </c>
      <c r="C742" s="317" t="s">
        <v>883</v>
      </c>
      <c r="D742" s="318"/>
      <c r="E742" s="331">
        <v>1</v>
      </c>
      <c r="F742" s="331">
        <v>1</v>
      </c>
      <c r="G742" s="331">
        <v>0</v>
      </c>
      <c r="H742" s="332">
        <v>10.705299999999999</v>
      </c>
      <c r="I742" s="332">
        <v>0.50629999999999997</v>
      </c>
      <c r="J742" s="321">
        <v>10.705299999999999</v>
      </c>
    </row>
    <row r="743" spans="1:10" x14ac:dyDescent="0.25">
      <c r="A743" s="303"/>
      <c r="B743" s="333" t="s">
        <v>346</v>
      </c>
      <c r="C743" s="317"/>
      <c r="D743" s="318"/>
      <c r="E743" s="331"/>
      <c r="F743" s="331"/>
      <c r="G743" s="331"/>
      <c r="H743" s="332"/>
      <c r="I743" s="332"/>
      <c r="J743" s="321"/>
    </row>
    <row r="744" spans="1:10" x14ac:dyDescent="0.25">
      <c r="A744" s="303"/>
      <c r="B744" s="333" t="s">
        <v>346</v>
      </c>
      <c r="C744" s="317"/>
      <c r="D744" s="318"/>
      <c r="E744" s="331"/>
      <c r="F744" s="331"/>
      <c r="G744" s="331"/>
      <c r="H744" s="332"/>
      <c r="I744" s="332"/>
      <c r="J744" s="321"/>
    </row>
    <row r="745" spans="1:10" x14ac:dyDescent="0.25">
      <c r="A745" s="303"/>
      <c r="B745" s="333" t="s">
        <v>346</v>
      </c>
      <c r="C745" s="317"/>
      <c r="D745" s="318"/>
      <c r="E745" s="331"/>
      <c r="F745" s="331"/>
      <c r="G745" s="331"/>
      <c r="H745" s="332"/>
      <c r="I745" s="332"/>
      <c r="J745" s="321"/>
    </row>
    <row r="746" spans="1:10" x14ac:dyDescent="0.25">
      <c r="A746" s="303"/>
      <c r="B746" s="333" t="s">
        <v>346</v>
      </c>
      <c r="C746" s="317"/>
      <c r="D746" s="318"/>
      <c r="E746" s="331"/>
      <c r="F746" s="331"/>
      <c r="G746" s="331"/>
      <c r="H746" s="332"/>
      <c r="I746" s="332"/>
      <c r="J746" s="321"/>
    </row>
    <row r="747" spans="1:10" x14ac:dyDescent="0.25">
      <c r="A747" s="303"/>
      <c r="B747" s="310"/>
      <c r="C747" s="334"/>
      <c r="D747" s="312"/>
      <c r="E747" s="313"/>
      <c r="F747" s="313"/>
      <c r="G747" s="313"/>
      <c r="H747" s="313"/>
      <c r="I747" s="335" t="s">
        <v>479</v>
      </c>
      <c r="J747" s="315">
        <v>44.180199999999999</v>
      </c>
    </row>
    <row r="748" spans="1:10" x14ac:dyDescent="0.25">
      <c r="A748" s="303"/>
      <c r="B748" s="310" t="s">
        <v>464</v>
      </c>
      <c r="C748" s="311" t="s">
        <v>480</v>
      </c>
      <c r="D748" s="312"/>
      <c r="E748" s="313"/>
      <c r="F748" s="313"/>
      <c r="G748" s="313"/>
      <c r="H748" s="324" t="s">
        <v>355</v>
      </c>
      <c r="I748" s="336" t="s">
        <v>481</v>
      </c>
      <c r="J748" s="322" t="s">
        <v>331</v>
      </c>
    </row>
    <row r="749" spans="1:10" x14ac:dyDescent="0.25">
      <c r="A749" s="303"/>
      <c r="B749" s="337" t="s">
        <v>482</v>
      </c>
      <c r="C749" s="311" t="s">
        <v>483</v>
      </c>
      <c r="D749" s="312"/>
      <c r="E749" s="313"/>
      <c r="F749" s="313"/>
      <c r="G749" s="313"/>
      <c r="H749" s="314">
        <v>4</v>
      </c>
      <c r="I749" s="329">
        <v>17.768000000000001</v>
      </c>
      <c r="J749" s="315">
        <v>71.072000000000003</v>
      </c>
    </row>
    <row r="750" spans="1:10" x14ac:dyDescent="0.25">
      <c r="A750" s="303"/>
      <c r="B750" s="333" t="s">
        <v>346</v>
      </c>
      <c r="C750" s="317"/>
      <c r="D750" s="318"/>
      <c r="E750" s="319"/>
      <c r="F750" s="319"/>
      <c r="G750" s="319"/>
      <c r="H750" s="320"/>
      <c r="I750" s="332"/>
      <c r="J750" s="321"/>
    </row>
    <row r="751" spans="1:10" x14ac:dyDescent="0.25">
      <c r="A751" s="303"/>
      <c r="B751" s="333" t="s">
        <v>346</v>
      </c>
      <c r="C751" s="317"/>
      <c r="D751" s="318"/>
      <c r="E751" s="319"/>
      <c r="F751" s="319"/>
      <c r="G751" s="319"/>
      <c r="H751" s="320"/>
      <c r="I751" s="332"/>
      <c r="J751" s="321"/>
    </row>
    <row r="752" spans="1:10" x14ac:dyDescent="0.25">
      <c r="A752" s="303"/>
      <c r="B752" s="333" t="s">
        <v>346</v>
      </c>
      <c r="C752" s="317"/>
      <c r="D752" s="318"/>
      <c r="E752" s="319"/>
      <c r="F752" s="319"/>
      <c r="G752" s="319"/>
      <c r="H752" s="320"/>
      <c r="I752" s="332"/>
      <c r="J752" s="321"/>
    </row>
    <row r="753" spans="1:10" x14ac:dyDescent="0.25">
      <c r="A753" s="303"/>
      <c r="B753" s="333" t="s">
        <v>346</v>
      </c>
      <c r="C753" s="317"/>
      <c r="D753" s="318"/>
      <c r="E753" s="319"/>
      <c r="F753" s="319"/>
      <c r="G753" s="319"/>
      <c r="H753" s="320"/>
      <c r="I753" s="332"/>
      <c r="J753" s="321"/>
    </row>
    <row r="754" spans="1:10" x14ac:dyDescent="0.25">
      <c r="A754" s="303"/>
      <c r="B754" s="333" t="s">
        <v>346</v>
      </c>
      <c r="C754" s="317"/>
      <c r="D754" s="318"/>
      <c r="E754" s="319"/>
      <c r="F754" s="319"/>
      <c r="G754" s="319"/>
      <c r="H754" s="320"/>
      <c r="I754" s="332"/>
      <c r="J754" s="321"/>
    </row>
    <row r="755" spans="1:10" x14ac:dyDescent="0.25">
      <c r="A755" s="303"/>
      <c r="B755" s="333" t="s">
        <v>346</v>
      </c>
      <c r="C755" s="317"/>
      <c r="D755" s="318"/>
      <c r="E755" s="319"/>
      <c r="F755" s="319"/>
      <c r="G755" s="319"/>
      <c r="H755" s="320"/>
      <c r="I755" s="332"/>
      <c r="J755" s="321"/>
    </row>
    <row r="756" spans="1:10" x14ac:dyDescent="0.25">
      <c r="A756" s="303"/>
      <c r="B756" s="310"/>
      <c r="C756" s="334"/>
      <c r="D756" s="312"/>
      <c r="E756" s="313"/>
      <c r="F756" s="313"/>
      <c r="G756" s="313"/>
      <c r="H756" s="313"/>
      <c r="I756" s="338" t="s">
        <v>484</v>
      </c>
      <c r="J756" s="315">
        <v>71.072000000000003</v>
      </c>
    </row>
    <row r="757" spans="1:10" x14ac:dyDescent="0.25">
      <c r="A757" s="303"/>
      <c r="B757" s="339"/>
      <c r="C757" s="334"/>
      <c r="D757" s="312"/>
      <c r="E757" s="313"/>
      <c r="F757" s="313"/>
      <c r="G757" s="313"/>
      <c r="H757" s="313"/>
      <c r="I757" s="338" t="s">
        <v>485</v>
      </c>
      <c r="J757" s="340">
        <v>115.2522</v>
      </c>
    </row>
    <row r="758" spans="1:10" x14ac:dyDescent="0.25">
      <c r="A758" s="303"/>
      <c r="B758" s="339"/>
      <c r="C758" s="341" t="s">
        <v>486</v>
      </c>
      <c r="D758" s="312">
        <v>37.58</v>
      </c>
      <c r="E758" s="313"/>
      <c r="F758" s="313"/>
      <c r="G758" s="313"/>
      <c r="H758" s="313"/>
      <c r="I758" s="338" t="s">
        <v>487</v>
      </c>
      <c r="J758" s="340">
        <v>3.0668000000000002</v>
      </c>
    </row>
    <row r="759" spans="1:10" x14ac:dyDescent="0.25">
      <c r="A759" s="303"/>
      <c r="B759" s="310"/>
      <c r="C759" s="334"/>
      <c r="D759" s="312"/>
      <c r="E759" s="313"/>
      <c r="F759" s="313"/>
      <c r="G759" s="313"/>
      <c r="H759" s="338" t="s">
        <v>488</v>
      </c>
      <c r="I759" s="342">
        <v>0</v>
      </c>
      <c r="J759" s="315">
        <v>0</v>
      </c>
    </row>
    <row r="760" spans="1:10" x14ac:dyDescent="0.25">
      <c r="A760" s="303"/>
      <c r="B760" s="310"/>
      <c r="C760" s="334"/>
      <c r="D760" s="312"/>
      <c r="E760" s="313"/>
      <c r="F760" s="313"/>
      <c r="G760" s="313"/>
      <c r="H760" s="335" t="s">
        <v>489</v>
      </c>
      <c r="I760" s="343">
        <v>0</v>
      </c>
      <c r="J760" s="315">
        <v>0</v>
      </c>
    </row>
    <row r="761" spans="1:10" x14ac:dyDescent="0.25">
      <c r="A761" s="303"/>
      <c r="B761" s="310" t="s">
        <v>464</v>
      </c>
      <c r="C761" s="311" t="s">
        <v>490</v>
      </c>
      <c r="D761" s="312"/>
      <c r="E761" s="313"/>
      <c r="F761" s="313"/>
      <c r="G761" s="314" t="s">
        <v>465</v>
      </c>
      <c r="H761" s="336" t="s">
        <v>468</v>
      </c>
      <c r="I761" s="336" t="s">
        <v>491</v>
      </c>
      <c r="J761" s="322" t="s">
        <v>492</v>
      </c>
    </row>
    <row r="762" spans="1:10" x14ac:dyDescent="0.25">
      <c r="A762" s="303"/>
      <c r="B762" s="337" t="s">
        <v>493</v>
      </c>
      <c r="C762" s="311" t="s">
        <v>494</v>
      </c>
      <c r="D762" s="312"/>
      <c r="E762" s="313"/>
      <c r="F762" s="313"/>
      <c r="G762" s="314" t="s">
        <v>433</v>
      </c>
      <c r="H762" s="329">
        <v>348.2038</v>
      </c>
      <c r="I762" s="329">
        <v>6.6699999999999997E-3</v>
      </c>
      <c r="J762" s="315">
        <v>2.3224999999999998</v>
      </c>
    </row>
    <row r="763" spans="1:10" x14ac:dyDescent="0.25">
      <c r="A763" s="303"/>
      <c r="B763" s="333" t="s">
        <v>564</v>
      </c>
      <c r="C763" s="317" t="s">
        <v>881</v>
      </c>
      <c r="D763" s="318"/>
      <c r="E763" s="319"/>
      <c r="F763" s="319"/>
      <c r="G763" s="320" t="s">
        <v>370</v>
      </c>
      <c r="H763" s="332">
        <v>0</v>
      </c>
      <c r="I763" s="332">
        <v>2.5000000000000001E-4</v>
      </c>
      <c r="J763" s="321">
        <v>0</v>
      </c>
    </row>
    <row r="764" spans="1:10" x14ac:dyDescent="0.25">
      <c r="A764" s="303"/>
      <c r="B764" s="333" t="s">
        <v>346</v>
      </c>
      <c r="C764" s="317"/>
      <c r="D764" s="318"/>
      <c r="E764" s="319"/>
      <c r="F764" s="319"/>
      <c r="G764" s="320"/>
      <c r="H764" s="332"/>
      <c r="I764" s="332"/>
      <c r="J764" s="321"/>
    </row>
    <row r="765" spans="1:10" x14ac:dyDescent="0.25">
      <c r="A765" s="303"/>
      <c r="B765" s="333" t="s">
        <v>346</v>
      </c>
      <c r="C765" s="317"/>
      <c r="D765" s="318"/>
      <c r="E765" s="319"/>
      <c r="F765" s="319"/>
      <c r="G765" s="320"/>
      <c r="H765" s="332"/>
      <c r="I765" s="332"/>
      <c r="J765" s="321"/>
    </row>
    <row r="766" spans="1:10" x14ac:dyDescent="0.25">
      <c r="A766" s="303"/>
      <c r="B766" s="333" t="s">
        <v>346</v>
      </c>
      <c r="C766" s="317"/>
      <c r="D766" s="318"/>
      <c r="E766" s="319"/>
      <c r="F766" s="319"/>
      <c r="G766" s="320"/>
      <c r="H766" s="332"/>
      <c r="I766" s="332"/>
      <c r="J766" s="321"/>
    </row>
    <row r="767" spans="1:10" x14ac:dyDescent="0.25">
      <c r="A767" s="303"/>
      <c r="B767" s="333" t="s">
        <v>346</v>
      </c>
      <c r="C767" s="317"/>
      <c r="D767" s="318"/>
      <c r="E767" s="319"/>
      <c r="F767" s="319"/>
      <c r="G767" s="320"/>
      <c r="H767" s="332"/>
      <c r="I767" s="332"/>
      <c r="J767" s="321"/>
    </row>
    <row r="768" spans="1:10" x14ac:dyDescent="0.25">
      <c r="A768" s="303"/>
      <c r="B768" s="333" t="s">
        <v>346</v>
      </c>
      <c r="C768" s="317"/>
      <c r="D768" s="318"/>
      <c r="E768" s="319"/>
      <c r="F768" s="319"/>
      <c r="G768" s="320"/>
      <c r="H768" s="332"/>
      <c r="I768" s="332"/>
      <c r="J768" s="321"/>
    </row>
    <row r="769" spans="1:10" x14ac:dyDescent="0.25">
      <c r="A769" s="303"/>
      <c r="B769" s="310"/>
      <c r="C769" s="334"/>
      <c r="D769" s="312"/>
      <c r="E769" s="313"/>
      <c r="F769" s="313"/>
      <c r="G769" s="313"/>
      <c r="H769" s="343"/>
      <c r="I769" s="335" t="s">
        <v>498</v>
      </c>
      <c r="J769" s="315">
        <v>2.3224999999999998</v>
      </c>
    </row>
    <row r="770" spans="1:10" x14ac:dyDescent="0.25">
      <c r="A770" s="303"/>
      <c r="B770" s="310" t="s">
        <v>464</v>
      </c>
      <c r="C770" s="311" t="s">
        <v>499</v>
      </c>
      <c r="D770" s="312"/>
      <c r="E770" s="313"/>
      <c r="F770" s="313"/>
      <c r="G770" s="314" t="s">
        <v>465</v>
      </c>
      <c r="H770" s="336" t="s">
        <v>468</v>
      </c>
      <c r="I770" s="336" t="s">
        <v>491</v>
      </c>
      <c r="J770" s="322" t="s">
        <v>492</v>
      </c>
    </row>
    <row r="771" spans="1:10" x14ac:dyDescent="0.25">
      <c r="A771" s="303"/>
      <c r="B771" s="337"/>
      <c r="C771" s="311"/>
      <c r="D771" s="312"/>
      <c r="E771" s="313"/>
      <c r="F771" s="313"/>
      <c r="G771" s="314"/>
      <c r="H771" s="329"/>
      <c r="I771" s="329"/>
      <c r="J771" s="315"/>
    </row>
    <row r="772" spans="1:10" x14ac:dyDescent="0.25">
      <c r="A772" s="303"/>
      <c r="B772" s="333"/>
      <c r="C772" s="317"/>
      <c r="D772" s="318"/>
      <c r="E772" s="319"/>
      <c r="F772" s="319"/>
      <c r="G772" s="320"/>
      <c r="H772" s="332"/>
      <c r="I772" s="332"/>
      <c r="J772" s="321"/>
    </row>
    <row r="773" spans="1:10" x14ac:dyDescent="0.25">
      <c r="A773" s="303"/>
      <c r="B773" s="333"/>
      <c r="C773" s="317"/>
      <c r="D773" s="318"/>
      <c r="E773" s="319"/>
      <c r="F773" s="319"/>
      <c r="G773" s="320"/>
      <c r="H773" s="332"/>
      <c r="I773" s="332"/>
      <c r="J773" s="321"/>
    </row>
    <row r="774" spans="1:10" x14ac:dyDescent="0.25">
      <c r="A774" s="303"/>
      <c r="B774" s="333"/>
      <c r="C774" s="317"/>
      <c r="D774" s="318"/>
      <c r="E774" s="319"/>
      <c r="F774" s="319"/>
      <c r="G774" s="320"/>
      <c r="H774" s="332"/>
      <c r="I774" s="332"/>
      <c r="J774" s="321"/>
    </row>
    <row r="775" spans="1:10" x14ac:dyDescent="0.25">
      <c r="A775" s="303"/>
      <c r="B775" s="333"/>
      <c r="C775" s="317"/>
      <c r="D775" s="318"/>
      <c r="E775" s="319"/>
      <c r="F775" s="319"/>
      <c r="G775" s="320"/>
      <c r="H775" s="332"/>
      <c r="I775" s="332"/>
      <c r="J775" s="321"/>
    </row>
    <row r="776" spans="1:10" x14ac:dyDescent="0.25">
      <c r="A776" s="303"/>
      <c r="B776" s="310"/>
      <c r="C776" s="334"/>
      <c r="D776" s="312"/>
      <c r="E776" s="313"/>
      <c r="F776" s="313"/>
      <c r="G776" s="313"/>
      <c r="H776" s="343"/>
      <c r="I776" s="335" t="s">
        <v>501</v>
      </c>
      <c r="J776" s="315">
        <v>0</v>
      </c>
    </row>
    <row r="777" spans="1:10" x14ac:dyDescent="0.25">
      <c r="A777" s="303"/>
      <c r="B777" s="310" t="s">
        <v>464</v>
      </c>
      <c r="C777" s="311" t="s">
        <v>502</v>
      </c>
      <c r="D777" s="312"/>
      <c r="E777" s="313"/>
      <c r="F777" s="314" t="s">
        <v>464</v>
      </c>
      <c r="G777" s="324" t="s">
        <v>503</v>
      </c>
      <c r="H777" s="329" t="s">
        <v>465</v>
      </c>
      <c r="I777" s="336" t="s">
        <v>468</v>
      </c>
      <c r="J777" s="322" t="s">
        <v>492</v>
      </c>
    </row>
    <row r="778" spans="1:10" x14ac:dyDescent="0.25">
      <c r="A778" s="303"/>
      <c r="B778" s="337" t="s">
        <v>346</v>
      </c>
      <c r="C778" s="311"/>
      <c r="D778" s="312"/>
      <c r="E778" s="313"/>
      <c r="F778" s="314"/>
      <c r="G778" s="314"/>
      <c r="H778" s="329"/>
      <c r="I778" s="329"/>
      <c r="J778" s="315"/>
    </row>
    <row r="779" spans="1:10" x14ac:dyDescent="0.25">
      <c r="A779" s="303"/>
      <c r="B779" s="333" t="s">
        <v>346</v>
      </c>
      <c r="C779" s="317"/>
      <c r="D779" s="318"/>
      <c r="E779" s="319"/>
      <c r="F779" s="320"/>
      <c r="G779" s="320"/>
      <c r="H779" s="332"/>
      <c r="I779" s="332"/>
      <c r="J779" s="321"/>
    </row>
    <row r="780" spans="1:10" x14ac:dyDescent="0.25">
      <c r="A780" s="303"/>
      <c r="B780" s="333" t="s">
        <v>346</v>
      </c>
      <c r="C780" s="317"/>
      <c r="D780" s="318"/>
      <c r="E780" s="319"/>
      <c r="F780" s="320"/>
      <c r="G780" s="320"/>
      <c r="H780" s="332"/>
      <c r="I780" s="332"/>
      <c r="J780" s="321"/>
    </row>
    <row r="781" spans="1:10" x14ac:dyDescent="0.25">
      <c r="A781" s="303"/>
      <c r="B781" s="333" t="s">
        <v>346</v>
      </c>
      <c r="C781" s="317"/>
      <c r="D781" s="318"/>
      <c r="E781" s="319"/>
      <c r="F781" s="320"/>
      <c r="G781" s="320"/>
      <c r="H781" s="332"/>
      <c r="I781" s="332"/>
      <c r="J781" s="321"/>
    </row>
    <row r="782" spans="1:10" x14ac:dyDescent="0.25">
      <c r="A782" s="303"/>
      <c r="B782" s="333" t="s">
        <v>346</v>
      </c>
      <c r="C782" s="317"/>
      <c r="D782" s="318"/>
      <c r="E782" s="319"/>
      <c r="F782" s="320"/>
      <c r="G782" s="320"/>
      <c r="H782" s="332"/>
      <c r="I782" s="332"/>
      <c r="J782" s="321"/>
    </row>
    <row r="783" spans="1:10" x14ac:dyDescent="0.25">
      <c r="A783" s="303"/>
      <c r="B783" s="310"/>
      <c r="C783" s="334"/>
      <c r="D783" s="312"/>
      <c r="E783" s="313"/>
      <c r="F783" s="313"/>
      <c r="G783" s="313"/>
      <c r="H783" s="343"/>
      <c r="I783" s="338" t="s">
        <v>507</v>
      </c>
      <c r="J783" s="315">
        <v>0</v>
      </c>
    </row>
    <row r="784" spans="1:10" x14ac:dyDescent="0.25">
      <c r="A784" s="303"/>
      <c r="B784" s="310" t="s">
        <v>464</v>
      </c>
      <c r="C784" s="311" t="s">
        <v>508</v>
      </c>
      <c r="D784" s="345" t="s">
        <v>509</v>
      </c>
      <c r="E784" s="324" t="s">
        <v>873</v>
      </c>
      <c r="F784" s="324" t="s">
        <v>874</v>
      </c>
      <c r="G784" s="324" t="s">
        <v>875</v>
      </c>
      <c r="H784" s="336" t="s">
        <v>468</v>
      </c>
      <c r="I784" s="324" t="s">
        <v>491</v>
      </c>
      <c r="J784" s="322" t="s">
        <v>492</v>
      </c>
    </row>
    <row r="785" spans="1:10" x14ac:dyDescent="0.25">
      <c r="A785" s="303"/>
      <c r="B785" s="337" t="s">
        <v>346</v>
      </c>
      <c r="C785" s="311"/>
      <c r="D785" s="345"/>
      <c r="E785" s="314"/>
      <c r="F785" s="314"/>
      <c r="G785" s="314"/>
      <c r="H785" s="329"/>
      <c r="I785" s="314"/>
      <c r="J785" s="315"/>
    </row>
    <row r="786" spans="1:10" x14ac:dyDescent="0.25">
      <c r="A786" s="303"/>
      <c r="B786" s="333" t="s">
        <v>346</v>
      </c>
      <c r="C786" s="317"/>
      <c r="D786" s="346"/>
      <c r="E786" s="320"/>
      <c r="F786" s="320"/>
      <c r="G786" s="320"/>
      <c r="H786" s="332"/>
      <c r="I786" s="320"/>
      <c r="J786" s="321"/>
    </row>
    <row r="787" spans="1:10" x14ac:dyDescent="0.25">
      <c r="A787" s="303"/>
      <c r="B787" s="333" t="s">
        <v>346</v>
      </c>
      <c r="C787" s="317"/>
      <c r="D787" s="346"/>
      <c r="E787" s="320"/>
      <c r="F787" s="320"/>
      <c r="G787" s="320"/>
      <c r="H787" s="332"/>
      <c r="I787" s="320"/>
      <c r="J787" s="321"/>
    </row>
    <row r="788" spans="1:10" x14ac:dyDescent="0.25">
      <c r="A788" s="303"/>
      <c r="B788" s="333" t="s">
        <v>346</v>
      </c>
      <c r="C788" s="317"/>
      <c r="D788" s="346"/>
      <c r="E788" s="320"/>
      <c r="F788" s="320"/>
      <c r="G788" s="320"/>
      <c r="H788" s="332"/>
      <c r="I788" s="320"/>
      <c r="J788" s="321"/>
    </row>
    <row r="789" spans="1:10" x14ac:dyDescent="0.25">
      <c r="A789" s="303"/>
      <c r="B789" s="333" t="s">
        <v>346</v>
      </c>
      <c r="C789" s="317"/>
      <c r="D789" s="346"/>
      <c r="E789" s="320"/>
      <c r="F789" s="320"/>
      <c r="G789" s="320"/>
      <c r="H789" s="332"/>
      <c r="I789" s="320"/>
      <c r="J789" s="321"/>
    </row>
    <row r="790" spans="1:10" x14ac:dyDescent="0.25">
      <c r="A790" s="303"/>
      <c r="B790" s="333" t="s">
        <v>346</v>
      </c>
      <c r="C790" s="317"/>
      <c r="D790" s="346"/>
      <c r="E790" s="320"/>
      <c r="F790" s="320"/>
      <c r="G790" s="320"/>
      <c r="H790" s="332"/>
      <c r="I790" s="320"/>
      <c r="J790" s="321"/>
    </row>
    <row r="791" spans="1:10" x14ac:dyDescent="0.25">
      <c r="A791" s="303"/>
      <c r="B791" s="333" t="s">
        <v>346</v>
      </c>
      <c r="C791" s="317"/>
      <c r="D791" s="346"/>
      <c r="E791" s="320"/>
      <c r="F791" s="320"/>
      <c r="G791" s="320"/>
      <c r="H791" s="332"/>
      <c r="I791" s="320"/>
      <c r="J791" s="321"/>
    </row>
    <row r="792" spans="1:10" x14ac:dyDescent="0.25">
      <c r="A792" s="303"/>
      <c r="B792" s="310"/>
      <c r="C792" s="334"/>
      <c r="D792" s="312"/>
      <c r="E792" s="313"/>
      <c r="F792" s="313"/>
      <c r="G792" s="313"/>
      <c r="H792" s="313"/>
      <c r="I792" s="338" t="s">
        <v>513</v>
      </c>
      <c r="J792" s="315">
        <v>0</v>
      </c>
    </row>
    <row r="793" spans="1:10" x14ac:dyDescent="0.25">
      <c r="A793" s="303"/>
      <c r="B793" s="310" t="s">
        <v>514</v>
      </c>
      <c r="C793" s="334"/>
      <c r="D793" s="312"/>
      <c r="E793" s="313"/>
      <c r="F793" s="313"/>
      <c r="G793" s="313"/>
      <c r="H793" s="313"/>
      <c r="I793" s="313"/>
      <c r="J793" s="315">
        <v>5.3893000000000004</v>
      </c>
    </row>
    <row r="794" spans="1:10" x14ac:dyDescent="0.25">
      <c r="A794" s="303"/>
      <c r="B794" s="310" t="s">
        <v>515</v>
      </c>
      <c r="C794" s="334"/>
      <c r="D794" s="312">
        <v>0</v>
      </c>
      <c r="E794" s="313"/>
      <c r="F794" s="313"/>
      <c r="G794" s="313"/>
      <c r="H794" s="313"/>
      <c r="I794" s="313"/>
      <c r="J794" s="315">
        <v>0</v>
      </c>
    </row>
    <row r="795" spans="1:10" ht="14.4" thickBot="1" x14ac:dyDescent="0.3">
      <c r="A795" s="303"/>
      <c r="B795" s="310" t="s">
        <v>516</v>
      </c>
      <c r="C795" s="334"/>
      <c r="D795" s="312"/>
      <c r="E795" s="313"/>
      <c r="F795" s="313"/>
      <c r="G795" s="313"/>
      <c r="H795" s="313"/>
      <c r="I795" s="313"/>
      <c r="J795" s="347">
        <v>5.39</v>
      </c>
    </row>
    <row r="796" spans="1:10" x14ac:dyDescent="0.25">
      <c r="A796" s="303"/>
      <c r="B796" s="304"/>
      <c r="C796" s="305"/>
      <c r="D796" s="348"/>
      <c r="E796" s="308"/>
      <c r="F796" s="308"/>
      <c r="G796" s="308"/>
      <c r="H796" s="308"/>
      <c r="I796" s="308"/>
      <c r="J796" s="309"/>
    </row>
    <row r="797" spans="1:10" x14ac:dyDescent="0.25">
      <c r="A797" s="303"/>
      <c r="B797" s="316"/>
      <c r="C797" s="303"/>
      <c r="D797" s="318"/>
      <c r="E797" s="319"/>
      <c r="F797" s="319"/>
      <c r="G797" s="319"/>
      <c r="H797" s="319"/>
      <c r="I797" s="319"/>
      <c r="J797" s="349"/>
    </row>
    <row r="798" spans="1:10" x14ac:dyDescent="0.25">
      <c r="A798" s="303"/>
      <c r="B798" s="316"/>
      <c r="C798" s="303"/>
      <c r="D798" s="318"/>
      <c r="E798" s="319"/>
      <c r="F798" s="319"/>
      <c r="G798" s="319"/>
      <c r="H798" s="319"/>
      <c r="I798" s="319"/>
      <c r="J798" s="349"/>
    </row>
    <row r="799" spans="1:10" ht="14.4" thickBot="1" x14ac:dyDescent="0.3">
      <c r="A799" s="303"/>
      <c r="B799" s="350"/>
      <c r="C799" s="303"/>
      <c r="D799" s="318"/>
      <c r="E799" s="319"/>
      <c r="F799" s="319"/>
      <c r="G799" s="319"/>
      <c r="H799" s="319"/>
      <c r="I799" s="319"/>
      <c r="J799" s="351"/>
    </row>
    <row r="800" spans="1:10" x14ac:dyDescent="0.25">
      <c r="A800" s="303"/>
      <c r="B800" s="305"/>
      <c r="C800" s="305"/>
      <c r="D800" s="348"/>
      <c r="E800" s="308"/>
      <c r="F800" s="308"/>
      <c r="G800" s="308"/>
      <c r="H800" s="308"/>
      <c r="I800" s="308"/>
      <c r="J800" s="352"/>
    </row>
    <row r="801" spans="1:10" ht="14.4" thickBot="1" x14ac:dyDescent="0.3">
      <c r="A801" s="303"/>
      <c r="B801" s="303"/>
      <c r="C801" s="303"/>
      <c r="D801" s="318"/>
      <c r="E801" s="319"/>
      <c r="F801" s="319"/>
      <c r="G801" s="319"/>
      <c r="H801" s="319"/>
      <c r="I801" s="319"/>
      <c r="J801" s="353"/>
    </row>
    <row r="802" spans="1:10" x14ac:dyDescent="0.25">
      <c r="A802" s="303"/>
      <c r="B802" s="304"/>
      <c r="C802" s="305"/>
      <c r="D802" s="306" t="s">
        <v>463</v>
      </c>
      <c r="E802" s="307"/>
      <c r="F802" s="307"/>
      <c r="G802" s="308"/>
      <c r="H802" s="308"/>
      <c r="I802" s="308"/>
      <c r="J802" s="309"/>
    </row>
    <row r="803" spans="1:10" x14ac:dyDescent="0.25">
      <c r="A803" s="303"/>
      <c r="B803" s="310" t="s">
        <v>464</v>
      </c>
      <c r="C803" s="311" t="s">
        <v>134</v>
      </c>
      <c r="D803" s="312"/>
      <c r="E803" s="313"/>
      <c r="F803" s="313"/>
      <c r="G803" s="313"/>
      <c r="H803" s="314"/>
      <c r="I803" s="313"/>
      <c r="J803" s="315" t="s">
        <v>465</v>
      </c>
    </row>
    <row r="804" spans="1:10" x14ac:dyDescent="0.25">
      <c r="A804" s="303"/>
      <c r="B804" s="316">
        <v>5214011</v>
      </c>
      <c r="C804" s="317" t="s">
        <v>379</v>
      </c>
      <c r="D804" s="318"/>
      <c r="E804" s="319"/>
      <c r="F804" s="319"/>
      <c r="G804" s="319"/>
      <c r="H804" s="320"/>
      <c r="I804" s="319"/>
      <c r="J804" s="321" t="s">
        <v>368</v>
      </c>
    </row>
    <row r="805" spans="1:10" x14ac:dyDescent="0.25">
      <c r="A805" s="303"/>
      <c r="B805" s="310"/>
      <c r="C805" s="311"/>
      <c r="D805" s="312"/>
      <c r="E805" s="314"/>
      <c r="F805" s="314" t="s">
        <v>466</v>
      </c>
      <c r="G805" s="314"/>
      <c r="H805" s="314" t="s">
        <v>467</v>
      </c>
      <c r="I805" s="314"/>
      <c r="J805" s="322" t="s">
        <v>468</v>
      </c>
    </row>
    <row r="806" spans="1:10" x14ac:dyDescent="0.25">
      <c r="A806" s="303"/>
      <c r="B806" s="316" t="s">
        <v>464</v>
      </c>
      <c r="C806" s="317" t="s">
        <v>469</v>
      </c>
      <c r="D806" s="318"/>
      <c r="E806" s="323" t="s">
        <v>355</v>
      </c>
      <c r="F806" s="324" t="s">
        <v>470</v>
      </c>
      <c r="G806" s="324" t="s">
        <v>471</v>
      </c>
      <c r="H806" s="324" t="s">
        <v>472</v>
      </c>
      <c r="I806" s="325" t="s">
        <v>473</v>
      </c>
      <c r="J806" s="326" t="s">
        <v>474</v>
      </c>
    </row>
    <row r="807" spans="1:10" x14ac:dyDescent="0.25">
      <c r="A807" s="303"/>
      <c r="B807" s="327" t="s">
        <v>649</v>
      </c>
      <c r="C807" s="311" t="s">
        <v>650</v>
      </c>
      <c r="D807" s="312"/>
      <c r="E807" s="328">
        <v>1</v>
      </c>
      <c r="F807" s="328">
        <v>1</v>
      </c>
      <c r="G807" s="328">
        <v>0</v>
      </c>
      <c r="H807" s="329">
        <v>315.35449999999997</v>
      </c>
      <c r="I807" s="329">
        <v>138.32380000000001</v>
      </c>
      <c r="J807" s="315">
        <v>315.35449999999997</v>
      </c>
    </row>
    <row r="808" spans="1:10" x14ac:dyDescent="0.25">
      <c r="A808" s="303"/>
      <c r="B808" s="333" t="s">
        <v>346</v>
      </c>
      <c r="C808" s="317"/>
      <c r="D808" s="318"/>
      <c r="E808" s="331"/>
      <c r="F808" s="331"/>
      <c r="G808" s="331"/>
      <c r="H808" s="332"/>
      <c r="I808" s="332"/>
      <c r="J808" s="321"/>
    </row>
    <row r="809" spans="1:10" x14ac:dyDescent="0.25">
      <c r="A809" s="303"/>
      <c r="B809" s="333" t="s">
        <v>346</v>
      </c>
      <c r="C809" s="317"/>
      <c r="D809" s="318"/>
      <c r="E809" s="331"/>
      <c r="F809" s="331"/>
      <c r="G809" s="331"/>
      <c r="H809" s="332"/>
      <c r="I809" s="332"/>
      <c r="J809" s="321"/>
    </row>
    <row r="810" spans="1:10" x14ac:dyDescent="0.25">
      <c r="A810" s="303"/>
      <c r="B810" s="333" t="s">
        <v>346</v>
      </c>
      <c r="C810" s="317"/>
      <c r="D810" s="318"/>
      <c r="E810" s="331"/>
      <c r="F810" s="331"/>
      <c r="G810" s="331"/>
      <c r="H810" s="332"/>
      <c r="I810" s="332"/>
      <c r="J810" s="321"/>
    </row>
    <row r="811" spans="1:10" x14ac:dyDescent="0.25">
      <c r="A811" s="303"/>
      <c r="B811" s="333" t="s">
        <v>346</v>
      </c>
      <c r="C811" s="317"/>
      <c r="D811" s="318"/>
      <c r="E811" s="331"/>
      <c r="F811" s="331"/>
      <c r="G811" s="331"/>
      <c r="H811" s="332"/>
      <c r="I811" s="332"/>
      <c r="J811" s="321"/>
    </row>
    <row r="812" spans="1:10" x14ac:dyDescent="0.25">
      <c r="A812" s="303"/>
      <c r="B812" s="333" t="s">
        <v>346</v>
      </c>
      <c r="C812" s="317"/>
      <c r="D812" s="318"/>
      <c r="E812" s="331"/>
      <c r="F812" s="331"/>
      <c r="G812" s="331"/>
      <c r="H812" s="332"/>
      <c r="I812" s="332"/>
      <c r="J812" s="321"/>
    </row>
    <row r="813" spans="1:10" x14ac:dyDescent="0.25">
      <c r="A813" s="303"/>
      <c r="B813" s="333" t="s">
        <v>346</v>
      </c>
      <c r="C813" s="317"/>
      <c r="D813" s="318"/>
      <c r="E813" s="331"/>
      <c r="F813" s="331"/>
      <c r="G813" s="331"/>
      <c r="H813" s="332"/>
      <c r="I813" s="332"/>
      <c r="J813" s="321"/>
    </row>
    <row r="814" spans="1:10" x14ac:dyDescent="0.25">
      <c r="A814" s="303"/>
      <c r="B814" s="310"/>
      <c r="C814" s="334"/>
      <c r="D814" s="312"/>
      <c r="E814" s="313"/>
      <c r="F814" s="313"/>
      <c r="G814" s="313"/>
      <c r="H814" s="313"/>
      <c r="I814" s="335" t="s">
        <v>479</v>
      </c>
      <c r="J814" s="315">
        <v>315.35449999999997</v>
      </c>
    </row>
    <row r="815" spans="1:10" x14ac:dyDescent="0.25">
      <c r="A815" s="303"/>
      <c r="B815" s="310" t="s">
        <v>464</v>
      </c>
      <c r="C815" s="311" t="s">
        <v>480</v>
      </c>
      <c r="D815" s="312"/>
      <c r="E815" s="313"/>
      <c r="F815" s="313"/>
      <c r="G815" s="313"/>
      <c r="H815" s="324" t="s">
        <v>355</v>
      </c>
      <c r="I815" s="336" t="s">
        <v>481</v>
      </c>
      <c r="J815" s="322" t="s">
        <v>331</v>
      </c>
    </row>
    <row r="816" spans="1:10" x14ac:dyDescent="0.25">
      <c r="A816" s="303"/>
      <c r="B816" s="337" t="s">
        <v>482</v>
      </c>
      <c r="C816" s="311" t="s">
        <v>483</v>
      </c>
      <c r="D816" s="312"/>
      <c r="E816" s="313"/>
      <c r="F816" s="313"/>
      <c r="G816" s="313"/>
      <c r="H816" s="314">
        <v>3</v>
      </c>
      <c r="I816" s="329">
        <v>17.768000000000001</v>
      </c>
      <c r="J816" s="315">
        <v>53.304000000000002</v>
      </c>
    </row>
    <row r="817" spans="1:10" x14ac:dyDescent="0.25">
      <c r="A817" s="303"/>
      <c r="B817" s="333" t="s">
        <v>346</v>
      </c>
      <c r="C817" s="317"/>
      <c r="D817" s="318"/>
      <c r="E817" s="319"/>
      <c r="F817" s="319"/>
      <c r="G817" s="319"/>
      <c r="H817" s="320"/>
      <c r="I817" s="332"/>
      <c r="J817" s="321"/>
    </row>
    <row r="818" spans="1:10" x14ac:dyDescent="0.25">
      <c r="A818" s="303"/>
      <c r="B818" s="333" t="s">
        <v>346</v>
      </c>
      <c r="C818" s="317"/>
      <c r="D818" s="318"/>
      <c r="E818" s="319"/>
      <c r="F818" s="319"/>
      <c r="G818" s="319"/>
      <c r="H818" s="320"/>
      <c r="I818" s="332"/>
      <c r="J818" s="321"/>
    </row>
    <row r="819" spans="1:10" x14ac:dyDescent="0.25">
      <c r="A819" s="303"/>
      <c r="B819" s="333" t="s">
        <v>346</v>
      </c>
      <c r="C819" s="317"/>
      <c r="D819" s="318"/>
      <c r="E819" s="319"/>
      <c r="F819" s="319"/>
      <c r="G819" s="319"/>
      <c r="H819" s="320"/>
      <c r="I819" s="332"/>
      <c r="J819" s="321"/>
    </row>
    <row r="820" spans="1:10" x14ac:dyDescent="0.25">
      <c r="A820" s="303"/>
      <c r="B820" s="333" t="s">
        <v>346</v>
      </c>
      <c r="C820" s="317"/>
      <c r="D820" s="318"/>
      <c r="E820" s="319"/>
      <c r="F820" s="319"/>
      <c r="G820" s="319"/>
      <c r="H820" s="320"/>
      <c r="I820" s="332"/>
      <c r="J820" s="321"/>
    </row>
    <row r="821" spans="1:10" x14ac:dyDescent="0.25">
      <c r="A821" s="303"/>
      <c r="B821" s="333" t="s">
        <v>346</v>
      </c>
      <c r="C821" s="317"/>
      <c r="D821" s="318"/>
      <c r="E821" s="319"/>
      <c r="F821" s="319"/>
      <c r="G821" s="319"/>
      <c r="H821" s="320"/>
      <c r="I821" s="332"/>
      <c r="J821" s="321"/>
    </row>
    <row r="822" spans="1:10" x14ac:dyDescent="0.25">
      <c r="A822" s="303"/>
      <c r="B822" s="333" t="s">
        <v>346</v>
      </c>
      <c r="C822" s="317"/>
      <c r="D822" s="318"/>
      <c r="E822" s="319"/>
      <c r="F822" s="319"/>
      <c r="G822" s="319"/>
      <c r="H822" s="320"/>
      <c r="I822" s="332"/>
      <c r="J822" s="321"/>
    </row>
    <row r="823" spans="1:10" x14ac:dyDescent="0.25">
      <c r="A823" s="303"/>
      <c r="B823" s="310"/>
      <c r="C823" s="334"/>
      <c r="D823" s="312"/>
      <c r="E823" s="313"/>
      <c r="F823" s="313"/>
      <c r="G823" s="313"/>
      <c r="H823" s="313"/>
      <c r="I823" s="338" t="s">
        <v>484</v>
      </c>
      <c r="J823" s="315">
        <v>53.304000000000002</v>
      </c>
    </row>
    <row r="824" spans="1:10" x14ac:dyDescent="0.25">
      <c r="A824" s="303"/>
      <c r="B824" s="339"/>
      <c r="C824" s="334"/>
      <c r="D824" s="312"/>
      <c r="E824" s="313"/>
      <c r="F824" s="313"/>
      <c r="G824" s="313"/>
      <c r="H824" s="313"/>
      <c r="I824" s="338" t="s">
        <v>485</v>
      </c>
      <c r="J824" s="340">
        <v>368.6585</v>
      </c>
    </row>
    <row r="825" spans="1:10" x14ac:dyDescent="0.25">
      <c r="A825" s="303"/>
      <c r="B825" s="339"/>
      <c r="C825" s="341" t="s">
        <v>486</v>
      </c>
      <c r="D825" s="312">
        <v>190.9</v>
      </c>
      <c r="E825" s="313"/>
      <c r="F825" s="313"/>
      <c r="G825" s="313"/>
      <c r="H825" s="313"/>
      <c r="I825" s="338" t="s">
        <v>487</v>
      </c>
      <c r="J825" s="340">
        <v>1.9312</v>
      </c>
    </row>
    <row r="826" spans="1:10" x14ac:dyDescent="0.25">
      <c r="A826" s="303"/>
      <c r="B826" s="310"/>
      <c r="C826" s="334"/>
      <c r="D826" s="312"/>
      <c r="E826" s="313"/>
      <c r="F826" s="313"/>
      <c r="G826" s="313"/>
      <c r="H826" s="338" t="s">
        <v>488</v>
      </c>
      <c r="I826" s="342">
        <v>0</v>
      </c>
      <c r="J826" s="315">
        <v>0</v>
      </c>
    </row>
    <row r="827" spans="1:10" x14ac:dyDescent="0.25">
      <c r="A827" s="303"/>
      <c r="B827" s="310"/>
      <c r="C827" s="334"/>
      <c r="D827" s="312"/>
      <c r="E827" s="313"/>
      <c r="F827" s="313"/>
      <c r="G827" s="313"/>
      <c r="H827" s="335" t="s">
        <v>489</v>
      </c>
      <c r="I827" s="343">
        <v>0</v>
      </c>
      <c r="J827" s="315">
        <v>0</v>
      </c>
    </row>
    <row r="828" spans="1:10" x14ac:dyDescent="0.25">
      <c r="A828" s="303"/>
      <c r="B828" s="310" t="s">
        <v>464</v>
      </c>
      <c r="C828" s="311" t="s">
        <v>490</v>
      </c>
      <c r="D828" s="312"/>
      <c r="E828" s="313"/>
      <c r="F828" s="313"/>
      <c r="G828" s="314" t="s">
        <v>465</v>
      </c>
      <c r="H828" s="336" t="s">
        <v>468</v>
      </c>
      <c r="I828" s="336" t="s">
        <v>491</v>
      </c>
      <c r="J828" s="322" t="s">
        <v>492</v>
      </c>
    </row>
    <row r="829" spans="1:10" x14ac:dyDescent="0.25">
      <c r="A829" s="303"/>
      <c r="B829" s="337" t="s">
        <v>653</v>
      </c>
      <c r="C829" s="311" t="s">
        <v>903</v>
      </c>
      <c r="D829" s="312"/>
      <c r="E829" s="313"/>
      <c r="F829" s="313"/>
      <c r="G829" s="314" t="s">
        <v>376</v>
      </c>
      <c r="H829" s="329">
        <v>18.010000000000002</v>
      </c>
      <c r="I829" s="329">
        <v>0.3</v>
      </c>
      <c r="J829" s="315">
        <v>5.4029999999999996</v>
      </c>
    </row>
    <row r="830" spans="1:10" x14ac:dyDescent="0.25">
      <c r="A830" s="303"/>
      <c r="B830" s="333" t="s">
        <v>654</v>
      </c>
      <c r="C830" s="317" t="s">
        <v>904</v>
      </c>
      <c r="D830" s="318"/>
      <c r="E830" s="319"/>
      <c r="F830" s="319"/>
      <c r="G830" s="320" t="s">
        <v>560</v>
      </c>
      <c r="H830" s="332">
        <v>7.5225</v>
      </c>
      <c r="I830" s="332">
        <v>0.06</v>
      </c>
      <c r="J830" s="321">
        <v>0.45140000000000002</v>
      </c>
    </row>
    <row r="831" spans="1:10" x14ac:dyDescent="0.25">
      <c r="A831" s="303"/>
      <c r="B831" s="333" t="s">
        <v>655</v>
      </c>
      <c r="C831" s="317" t="s">
        <v>905</v>
      </c>
      <c r="D831" s="318"/>
      <c r="E831" s="319"/>
      <c r="F831" s="319"/>
      <c r="G831" s="320" t="s">
        <v>560</v>
      </c>
      <c r="H831" s="332">
        <v>7.5225</v>
      </c>
      <c r="I831" s="332">
        <v>0.35</v>
      </c>
      <c r="J831" s="321">
        <v>2.6328999999999998</v>
      </c>
    </row>
    <row r="832" spans="1:10" x14ac:dyDescent="0.25">
      <c r="A832" s="303"/>
      <c r="B832" s="333" t="s">
        <v>346</v>
      </c>
      <c r="C832" s="317"/>
      <c r="D832" s="318"/>
      <c r="E832" s="319"/>
      <c r="F832" s="319"/>
      <c r="G832" s="320"/>
      <c r="H832" s="332"/>
      <c r="I832" s="332"/>
      <c r="J832" s="321"/>
    </row>
    <row r="833" spans="1:10" x14ac:dyDescent="0.25">
      <c r="A833" s="303"/>
      <c r="B833" s="333" t="s">
        <v>346</v>
      </c>
      <c r="C833" s="317"/>
      <c r="D833" s="318"/>
      <c r="E833" s="319"/>
      <c r="F833" s="319"/>
      <c r="G833" s="320"/>
      <c r="H833" s="332"/>
      <c r="I833" s="332"/>
      <c r="J833" s="321"/>
    </row>
    <row r="834" spans="1:10" x14ac:dyDescent="0.25">
      <c r="A834" s="303"/>
      <c r="B834" s="333" t="s">
        <v>346</v>
      </c>
      <c r="C834" s="317"/>
      <c r="D834" s="318"/>
      <c r="E834" s="319"/>
      <c r="F834" s="319"/>
      <c r="G834" s="320"/>
      <c r="H834" s="332"/>
      <c r="I834" s="332"/>
      <c r="J834" s="321"/>
    </row>
    <row r="835" spans="1:10" x14ac:dyDescent="0.25">
      <c r="A835" s="303"/>
      <c r="B835" s="333" t="s">
        <v>346</v>
      </c>
      <c r="C835" s="317"/>
      <c r="D835" s="318"/>
      <c r="E835" s="319"/>
      <c r="F835" s="319"/>
      <c r="G835" s="320"/>
      <c r="H835" s="332"/>
      <c r="I835" s="332"/>
      <c r="J835" s="321"/>
    </row>
    <row r="836" spans="1:10" x14ac:dyDescent="0.25">
      <c r="A836" s="303"/>
      <c r="B836" s="310"/>
      <c r="C836" s="334"/>
      <c r="D836" s="312"/>
      <c r="E836" s="313"/>
      <c r="F836" s="313"/>
      <c r="G836" s="313"/>
      <c r="H836" s="343"/>
      <c r="I836" s="335" t="s">
        <v>498</v>
      </c>
      <c r="J836" s="315">
        <v>8.4872999999999994</v>
      </c>
    </row>
    <row r="837" spans="1:10" x14ac:dyDescent="0.25">
      <c r="A837" s="303"/>
      <c r="B837" s="310" t="s">
        <v>464</v>
      </c>
      <c r="C837" s="311" t="s">
        <v>499</v>
      </c>
      <c r="D837" s="312"/>
      <c r="E837" s="313"/>
      <c r="F837" s="313"/>
      <c r="G837" s="314" t="s">
        <v>465</v>
      </c>
      <c r="H837" s="336" t="s">
        <v>468</v>
      </c>
      <c r="I837" s="336" t="s">
        <v>491</v>
      </c>
      <c r="J837" s="322" t="s">
        <v>492</v>
      </c>
    </row>
    <row r="838" spans="1:10" x14ac:dyDescent="0.25">
      <c r="A838" s="303"/>
      <c r="B838" s="337"/>
      <c r="C838" s="311"/>
      <c r="D838" s="312"/>
      <c r="E838" s="313"/>
      <c r="F838" s="313"/>
      <c r="G838" s="314"/>
      <c r="H838" s="329"/>
      <c r="I838" s="329"/>
      <c r="J838" s="315"/>
    </row>
    <row r="839" spans="1:10" x14ac:dyDescent="0.25">
      <c r="A839" s="303"/>
      <c r="B839" s="333"/>
      <c r="C839" s="317"/>
      <c r="D839" s="318"/>
      <c r="E839" s="319"/>
      <c r="F839" s="319"/>
      <c r="G839" s="320"/>
      <c r="H839" s="332"/>
      <c r="I839" s="332"/>
      <c r="J839" s="321"/>
    </row>
    <row r="840" spans="1:10" x14ac:dyDescent="0.25">
      <c r="A840" s="303"/>
      <c r="B840" s="333"/>
      <c r="C840" s="317"/>
      <c r="D840" s="318"/>
      <c r="E840" s="319"/>
      <c r="F840" s="319"/>
      <c r="G840" s="320"/>
      <c r="H840" s="332"/>
      <c r="I840" s="332"/>
      <c r="J840" s="321"/>
    </row>
    <row r="841" spans="1:10" x14ac:dyDescent="0.25">
      <c r="A841" s="303"/>
      <c r="B841" s="333"/>
      <c r="C841" s="317"/>
      <c r="D841" s="318"/>
      <c r="E841" s="319"/>
      <c r="F841" s="319"/>
      <c r="G841" s="320"/>
      <c r="H841" s="332"/>
      <c r="I841" s="332"/>
      <c r="J841" s="321"/>
    </row>
    <row r="842" spans="1:10" x14ac:dyDescent="0.25">
      <c r="A842" s="303"/>
      <c r="B842" s="333"/>
      <c r="C842" s="317"/>
      <c r="D842" s="318"/>
      <c r="E842" s="319"/>
      <c r="F842" s="319"/>
      <c r="G842" s="320"/>
      <c r="H842" s="332"/>
      <c r="I842" s="332"/>
      <c r="J842" s="321"/>
    </row>
    <row r="843" spans="1:10" x14ac:dyDescent="0.25">
      <c r="A843" s="303"/>
      <c r="B843" s="310"/>
      <c r="C843" s="334"/>
      <c r="D843" s="312"/>
      <c r="E843" s="313"/>
      <c r="F843" s="313"/>
      <c r="G843" s="313"/>
      <c r="H843" s="343"/>
      <c r="I843" s="335" t="s">
        <v>501</v>
      </c>
      <c r="J843" s="315">
        <v>0</v>
      </c>
    </row>
    <row r="844" spans="1:10" x14ac:dyDescent="0.25">
      <c r="A844" s="303"/>
      <c r="B844" s="310" t="s">
        <v>464</v>
      </c>
      <c r="C844" s="311" t="s">
        <v>502</v>
      </c>
      <c r="D844" s="312"/>
      <c r="E844" s="313"/>
      <c r="F844" s="314" t="s">
        <v>464</v>
      </c>
      <c r="G844" s="324" t="s">
        <v>503</v>
      </c>
      <c r="H844" s="329" t="s">
        <v>465</v>
      </c>
      <c r="I844" s="336" t="s">
        <v>468</v>
      </c>
      <c r="J844" s="322" t="s">
        <v>492</v>
      </c>
    </row>
    <row r="845" spans="1:10" x14ac:dyDescent="0.25">
      <c r="A845" s="303"/>
      <c r="B845" s="337" t="s">
        <v>906</v>
      </c>
      <c r="C845" s="311" t="s">
        <v>907</v>
      </c>
      <c r="D845" s="312"/>
      <c r="E845" s="313"/>
      <c r="F845" s="344" t="s">
        <v>632</v>
      </c>
      <c r="G845" s="314">
        <v>4.8000000000000001E-4</v>
      </c>
      <c r="H845" s="329" t="s">
        <v>370</v>
      </c>
      <c r="I845" s="329">
        <v>26.18</v>
      </c>
      <c r="J845" s="315">
        <v>1.26E-2</v>
      </c>
    </row>
    <row r="846" spans="1:10" x14ac:dyDescent="0.25">
      <c r="A846" s="303"/>
      <c r="B846" s="333" t="s">
        <v>908</v>
      </c>
      <c r="C846" s="317" t="s">
        <v>909</v>
      </c>
      <c r="D846" s="318"/>
      <c r="E846" s="319"/>
      <c r="F846" s="354" t="s">
        <v>632</v>
      </c>
      <c r="G846" s="320">
        <v>6.0000000000000002E-5</v>
      </c>
      <c r="H846" s="332" t="s">
        <v>370</v>
      </c>
      <c r="I846" s="332">
        <v>26.18</v>
      </c>
      <c r="J846" s="321">
        <v>1.6000000000000001E-3</v>
      </c>
    </row>
    <row r="847" spans="1:10" x14ac:dyDescent="0.25">
      <c r="A847" s="303"/>
      <c r="B847" s="333" t="s">
        <v>910</v>
      </c>
      <c r="C847" s="317" t="s">
        <v>911</v>
      </c>
      <c r="D847" s="318"/>
      <c r="E847" s="319"/>
      <c r="F847" s="354" t="s">
        <v>632</v>
      </c>
      <c r="G847" s="320">
        <v>3.5E-4</v>
      </c>
      <c r="H847" s="332" t="s">
        <v>370</v>
      </c>
      <c r="I847" s="332">
        <v>26.18</v>
      </c>
      <c r="J847" s="321">
        <v>9.1999999999999998E-3</v>
      </c>
    </row>
    <row r="848" spans="1:10" x14ac:dyDescent="0.25">
      <c r="A848" s="303"/>
      <c r="B848" s="333" t="s">
        <v>346</v>
      </c>
      <c r="C848" s="317"/>
      <c r="D848" s="318"/>
      <c r="E848" s="319"/>
      <c r="F848" s="320"/>
      <c r="G848" s="320"/>
      <c r="H848" s="332"/>
      <c r="I848" s="332"/>
      <c r="J848" s="321"/>
    </row>
    <row r="849" spans="1:10" x14ac:dyDescent="0.25">
      <c r="A849" s="303"/>
      <c r="B849" s="333" t="s">
        <v>346</v>
      </c>
      <c r="C849" s="317"/>
      <c r="D849" s="318"/>
      <c r="E849" s="319"/>
      <c r="F849" s="320"/>
      <c r="G849" s="320"/>
      <c r="H849" s="332"/>
      <c r="I849" s="332"/>
      <c r="J849" s="321"/>
    </row>
    <row r="850" spans="1:10" x14ac:dyDescent="0.25">
      <c r="A850" s="303"/>
      <c r="B850" s="310"/>
      <c r="C850" s="334"/>
      <c r="D850" s="312"/>
      <c r="E850" s="313"/>
      <c r="F850" s="313"/>
      <c r="G850" s="313"/>
      <c r="H850" s="343"/>
      <c r="I850" s="338" t="s">
        <v>507</v>
      </c>
      <c r="J850" s="315">
        <v>2.3400000000000001E-2</v>
      </c>
    </row>
    <row r="851" spans="1:10" x14ac:dyDescent="0.25">
      <c r="A851" s="303"/>
      <c r="B851" s="310" t="s">
        <v>464</v>
      </c>
      <c r="C851" s="311" t="s">
        <v>508</v>
      </c>
      <c r="D851" s="345" t="s">
        <v>509</v>
      </c>
      <c r="E851" s="324" t="s">
        <v>873</v>
      </c>
      <c r="F851" s="324" t="s">
        <v>874</v>
      </c>
      <c r="G851" s="324" t="s">
        <v>875</v>
      </c>
      <c r="H851" s="336" t="s">
        <v>468</v>
      </c>
      <c r="I851" s="324" t="s">
        <v>491</v>
      </c>
      <c r="J851" s="322" t="s">
        <v>492</v>
      </c>
    </row>
    <row r="852" spans="1:10" x14ac:dyDescent="0.25">
      <c r="A852" s="303"/>
      <c r="B852" s="337" t="s">
        <v>656</v>
      </c>
      <c r="C852" s="311" t="s">
        <v>912</v>
      </c>
      <c r="D852" s="345" t="s">
        <v>510</v>
      </c>
      <c r="E852" s="314">
        <v>0</v>
      </c>
      <c r="F852" s="314">
        <v>0</v>
      </c>
      <c r="G852" s="314">
        <v>100.45</v>
      </c>
      <c r="H852" s="329">
        <v>0.55000000000000004</v>
      </c>
      <c r="I852" s="314">
        <v>4.8000000000000001E-4</v>
      </c>
      <c r="J852" s="315">
        <v>2.6499999999999999E-2</v>
      </c>
    </row>
    <row r="853" spans="1:10" x14ac:dyDescent="0.25">
      <c r="A853" s="303"/>
      <c r="B853" s="333" t="s">
        <v>657</v>
      </c>
      <c r="C853" s="317" t="s">
        <v>913</v>
      </c>
      <c r="D853" s="346" t="s">
        <v>510</v>
      </c>
      <c r="E853" s="320">
        <v>0</v>
      </c>
      <c r="F853" s="320">
        <v>0</v>
      </c>
      <c r="G853" s="320">
        <v>100.45</v>
      </c>
      <c r="H853" s="332">
        <v>0.55000000000000004</v>
      </c>
      <c r="I853" s="320">
        <v>6.0000000000000002E-5</v>
      </c>
      <c r="J853" s="321">
        <v>3.3E-3</v>
      </c>
    </row>
    <row r="854" spans="1:10" x14ac:dyDescent="0.25">
      <c r="A854" s="303"/>
      <c r="B854" s="333" t="s">
        <v>658</v>
      </c>
      <c r="C854" s="317" t="s">
        <v>914</v>
      </c>
      <c r="D854" s="346" t="s">
        <v>510</v>
      </c>
      <c r="E854" s="320">
        <v>0</v>
      </c>
      <c r="F854" s="320">
        <v>0</v>
      </c>
      <c r="G854" s="320">
        <v>100.45</v>
      </c>
      <c r="H854" s="332">
        <v>0.55000000000000004</v>
      </c>
      <c r="I854" s="320">
        <v>3.5E-4</v>
      </c>
      <c r="J854" s="321">
        <v>1.9300000000000001E-2</v>
      </c>
    </row>
    <row r="855" spans="1:10" x14ac:dyDescent="0.25">
      <c r="A855" s="303"/>
      <c r="B855" s="333" t="s">
        <v>346</v>
      </c>
      <c r="C855" s="317"/>
      <c r="D855" s="346"/>
      <c r="E855" s="320"/>
      <c r="F855" s="320"/>
      <c r="G855" s="320"/>
      <c r="H855" s="332"/>
      <c r="I855" s="320"/>
      <c r="J855" s="321"/>
    </row>
    <row r="856" spans="1:10" x14ac:dyDescent="0.25">
      <c r="A856" s="303"/>
      <c r="B856" s="333" t="s">
        <v>346</v>
      </c>
      <c r="C856" s="317"/>
      <c r="D856" s="346"/>
      <c r="E856" s="320"/>
      <c r="F856" s="320"/>
      <c r="G856" s="320"/>
      <c r="H856" s="332"/>
      <c r="I856" s="320"/>
      <c r="J856" s="321"/>
    </row>
    <row r="857" spans="1:10" x14ac:dyDescent="0.25">
      <c r="A857" s="303"/>
      <c r="B857" s="333" t="s">
        <v>346</v>
      </c>
      <c r="C857" s="317"/>
      <c r="D857" s="346"/>
      <c r="E857" s="320"/>
      <c r="F857" s="320"/>
      <c r="G857" s="320"/>
      <c r="H857" s="332"/>
      <c r="I857" s="320"/>
      <c r="J857" s="321"/>
    </row>
    <row r="858" spans="1:10" x14ac:dyDescent="0.25">
      <c r="A858" s="303"/>
      <c r="B858" s="333" t="s">
        <v>346</v>
      </c>
      <c r="C858" s="317"/>
      <c r="D858" s="346"/>
      <c r="E858" s="320"/>
      <c r="F858" s="320"/>
      <c r="G858" s="320"/>
      <c r="H858" s="332"/>
      <c r="I858" s="320"/>
      <c r="J858" s="321"/>
    </row>
    <row r="859" spans="1:10" x14ac:dyDescent="0.25">
      <c r="A859" s="303"/>
      <c r="B859" s="310"/>
      <c r="C859" s="334"/>
      <c r="D859" s="312"/>
      <c r="E859" s="313"/>
      <c r="F859" s="313"/>
      <c r="G859" s="313"/>
      <c r="H859" s="313"/>
      <c r="I859" s="338" t="s">
        <v>513</v>
      </c>
      <c r="J859" s="315">
        <v>4.9100000000000005E-2</v>
      </c>
    </row>
    <row r="860" spans="1:10" x14ac:dyDescent="0.25">
      <c r="A860" s="303"/>
      <c r="B860" s="310" t="s">
        <v>514</v>
      </c>
      <c r="C860" s="334"/>
      <c r="D860" s="312"/>
      <c r="E860" s="313"/>
      <c r="F860" s="313"/>
      <c r="G860" s="313"/>
      <c r="H860" s="313"/>
      <c r="I860" s="313"/>
      <c r="J860" s="315">
        <v>10.490999999999998</v>
      </c>
    </row>
    <row r="861" spans="1:10" x14ac:dyDescent="0.25">
      <c r="A861" s="303"/>
      <c r="B861" s="310" t="s">
        <v>515</v>
      </c>
      <c r="C861" s="334"/>
      <c r="D861" s="312">
        <v>0</v>
      </c>
      <c r="E861" s="313"/>
      <c r="F861" s="313"/>
      <c r="G861" s="313"/>
      <c r="H861" s="313"/>
      <c r="I861" s="313"/>
      <c r="J861" s="315">
        <v>0</v>
      </c>
    </row>
    <row r="862" spans="1:10" ht="14.4" thickBot="1" x14ac:dyDescent="0.3">
      <c r="A862" s="303"/>
      <c r="B862" s="310" t="s">
        <v>516</v>
      </c>
      <c r="C862" s="334"/>
      <c r="D862" s="312"/>
      <c r="E862" s="313"/>
      <c r="F862" s="313"/>
      <c r="G862" s="313"/>
      <c r="H862" s="313"/>
      <c r="I862" s="313"/>
      <c r="J862" s="347">
        <v>10.49</v>
      </c>
    </row>
    <row r="863" spans="1:10" x14ac:dyDescent="0.25">
      <c r="A863" s="303"/>
      <c r="B863" s="304"/>
      <c r="C863" s="305"/>
      <c r="D863" s="348"/>
      <c r="E863" s="308"/>
      <c r="F863" s="308"/>
      <c r="G863" s="308"/>
      <c r="H863" s="308"/>
      <c r="I863" s="308"/>
      <c r="J863" s="309"/>
    </row>
    <row r="864" spans="1:10" x14ac:dyDescent="0.25">
      <c r="A864" s="303"/>
      <c r="B864" s="316"/>
      <c r="C864" s="303"/>
      <c r="D864" s="318"/>
      <c r="E864" s="319"/>
      <c r="F864" s="319"/>
      <c r="G864" s="319"/>
      <c r="H864" s="319"/>
      <c r="I864" s="319"/>
      <c r="J864" s="349"/>
    </row>
    <row r="865" spans="1:10" x14ac:dyDescent="0.25">
      <c r="A865" s="303"/>
      <c r="B865" s="316"/>
      <c r="C865" s="303"/>
      <c r="D865" s="318"/>
      <c r="E865" s="319"/>
      <c r="F865" s="319"/>
      <c r="G865" s="319"/>
      <c r="H865" s="319"/>
      <c r="I865" s="319"/>
      <c r="J865" s="349"/>
    </row>
    <row r="866" spans="1:10" ht="14.4" thickBot="1" x14ac:dyDescent="0.3">
      <c r="A866" s="303"/>
      <c r="B866" s="350"/>
      <c r="C866" s="303"/>
      <c r="D866" s="318"/>
      <c r="E866" s="319"/>
      <c r="F866" s="319"/>
      <c r="G866" s="319"/>
      <c r="H866" s="319"/>
      <c r="I866" s="319"/>
      <c r="J866" s="351"/>
    </row>
    <row r="867" spans="1:10" x14ac:dyDescent="0.25">
      <c r="A867" s="303"/>
      <c r="B867" s="305"/>
      <c r="C867" s="305"/>
      <c r="D867" s="348"/>
      <c r="E867" s="308"/>
      <c r="F867" s="308"/>
      <c r="G867" s="308"/>
      <c r="H867" s="308"/>
      <c r="I867" s="308"/>
      <c r="J867" s="352"/>
    </row>
    <row r="868" spans="1:10" ht="14.4" thickBot="1" x14ac:dyDescent="0.3">
      <c r="A868" s="303"/>
      <c r="B868" s="303"/>
      <c r="C868" s="303"/>
      <c r="D868" s="318"/>
      <c r="E868" s="319"/>
      <c r="F868" s="319"/>
      <c r="G868" s="319"/>
      <c r="H868" s="319"/>
      <c r="I868" s="319"/>
      <c r="J868" s="353"/>
    </row>
    <row r="869" spans="1:10" x14ac:dyDescent="0.25">
      <c r="A869" s="303"/>
      <c r="B869" s="304"/>
      <c r="C869" s="305"/>
      <c r="D869" s="306" t="s">
        <v>463</v>
      </c>
      <c r="E869" s="307"/>
      <c r="F869" s="307"/>
      <c r="G869" s="308"/>
      <c r="H869" s="308"/>
      <c r="I869" s="308"/>
      <c r="J869" s="309"/>
    </row>
    <row r="870" spans="1:10" x14ac:dyDescent="0.25">
      <c r="A870" s="303"/>
      <c r="B870" s="310" t="s">
        <v>464</v>
      </c>
      <c r="C870" s="311" t="s">
        <v>134</v>
      </c>
      <c r="D870" s="312"/>
      <c r="E870" s="313"/>
      <c r="F870" s="313"/>
      <c r="G870" s="313"/>
      <c r="H870" s="314"/>
      <c r="I870" s="313"/>
      <c r="J870" s="315" t="s">
        <v>465</v>
      </c>
    </row>
    <row r="871" spans="1:10" x14ac:dyDescent="0.25">
      <c r="A871" s="303"/>
      <c r="B871" s="316">
        <v>5213360</v>
      </c>
      <c r="C871" s="317" t="s">
        <v>380</v>
      </c>
      <c r="D871" s="318"/>
      <c r="E871" s="319"/>
      <c r="F871" s="319"/>
      <c r="G871" s="319"/>
      <c r="H871" s="320"/>
      <c r="I871" s="319"/>
      <c r="J871" s="321" t="s">
        <v>381</v>
      </c>
    </row>
    <row r="872" spans="1:10" x14ac:dyDescent="0.25">
      <c r="A872" s="303"/>
      <c r="B872" s="310"/>
      <c r="C872" s="311"/>
      <c r="D872" s="312"/>
      <c r="E872" s="314"/>
      <c r="F872" s="314" t="s">
        <v>466</v>
      </c>
      <c r="G872" s="314"/>
      <c r="H872" s="314" t="s">
        <v>467</v>
      </c>
      <c r="I872" s="314"/>
      <c r="J872" s="322" t="s">
        <v>468</v>
      </c>
    </row>
    <row r="873" spans="1:10" x14ac:dyDescent="0.25">
      <c r="A873" s="303"/>
      <c r="B873" s="316" t="s">
        <v>464</v>
      </c>
      <c r="C873" s="317" t="s">
        <v>469</v>
      </c>
      <c r="D873" s="318"/>
      <c r="E873" s="323" t="s">
        <v>355</v>
      </c>
      <c r="F873" s="324" t="s">
        <v>470</v>
      </c>
      <c r="G873" s="324" t="s">
        <v>471</v>
      </c>
      <c r="H873" s="324" t="s">
        <v>472</v>
      </c>
      <c r="I873" s="325" t="s">
        <v>473</v>
      </c>
      <c r="J873" s="326" t="s">
        <v>474</v>
      </c>
    </row>
    <row r="874" spans="1:10" x14ac:dyDescent="0.25">
      <c r="A874" s="303"/>
      <c r="B874" s="327" t="s">
        <v>618</v>
      </c>
      <c r="C874" s="311" t="s">
        <v>619</v>
      </c>
      <c r="D874" s="312"/>
      <c r="E874" s="328">
        <v>1</v>
      </c>
      <c r="F874" s="328">
        <v>1</v>
      </c>
      <c r="G874" s="328">
        <v>0</v>
      </c>
      <c r="H874" s="329">
        <v>3.6429</v>
      </c>
      <c r="I874" s="329">
        <v>0.19370000000000001</v>
      </c>
      <c r="J874" s="315">
        <v>3.6429</v>
      </c>
    </row>
    <row r="875" spans="1:10" x14ac:dyDescent="0.25">
      <c r="A875" s="303"/>
      <c r="B875" s="330" t="s">
        <v>659</v>
      </c>
      <c r="C875" s="317" t="s">
        <v>660</v>
      </c>
      <c r="D875" s="318"/>
      <c r="E875" s="331">
        <v>1</v>
      </c>
      <c r="F875" s="331">
        <v>1</v>
      </c>
      <c r="G875" s="331">
        <v>0</v>
      </c>
      <c r="H875" s="332">
        <v>0.79079999999999995</v>
      </c>
      <c r="I875" s="332">
        <v>0.43190000000000001</v>
      </c>
      <c r="J875" s="321">
        <v>0.79079999999999995</v>
      </c>
    </row>
    <row r="876" spans="1:10" x14ac:dyDescent="0.25">
      <c r="A876" s="303"/>
      <c r="B876" s="330" t="s">
        <v>651</v>
      </c>
      <c r="C876" s="317" t="s">
        <v>652</v>
      </c>
      <c r="D876" s="318"/>
      <c r="E876" s="331">
        <v>1</v>
      </c>
      <c r="F876" s="331">
        <v>1</v>
      </c>
      <c r="G876" s="331">
        <v>0</v>
      </c>
      <c r="H876" s="332">
        <v>114.22329999999999</v>
      </c>
      <c r="I876" s="332">
        <v>46.994700000000002</v>
      </c>
      <c r="J876" s="321">
        <v>114.22329999999999</v>
      </c>
    </row>
    <row r="877" spans="1:10" x14ac:dyDescent="0.25">
      <c r="A877" s="303"/>
      <c r="B877" s="333" t="s">
        <v>346</v>
      </c>
      <c r="C877" s="317"/>
      <c r="D877" s="318"/>
      <c r="E877" s="331"/>
      <c r="F877" s="331"/>
      <c r="G877" s="331"/>
      <c r="H877" s="332"/>
      <c r="I877" s="332"/>
      <c r="J877" s="321"/>
    </row>
    <row r="878" spans="1:10" x14ac:dyDescent="0.25">
      <c r="A878" s="303"/>
      <c r="B878" s="333" t="s">
        <v>346</v>
      </c>
      <c r="C878" s="317"/>
      <c r="D878" s="318"/>
      <c r="E878" s="331"/>
      <c r="F878" s="331"/>
      <c r="G878" s="331"/>
      <c r="H878" s="332"/>
      <c r="I878" s="332"/>
      <c r="J878" s="321"/>
    </row>
    <row r="879" spans="1:10" x14ac:dyDescent="0.25">
      <c r="A879" s="303"/>
      <c r="B879" s="333" t="s">
        <v>346</v>
      </c>
      <c r="C879" s="317"/>
      <c r="D879" s="318"/>
      <c r="E879" s="331"/>
      <c r="F879" s="331"/>
      <c r="G879" s="331"/>
      <c r="H879" s="332"/>
      <c r="I879" s="332"/>
      <c r="J879" s="321"/>
    </row>
    <row r="880" spans="1:10" x14ac:dyDescent="0.25">
      <c r="A880" s="303"/>
      <c r="B880" s="333" t="s">
        <v>346</v>
      </c>
      <c r="C880" s="317"/>
      <c r="D880" s="318"/>
      <c r="E880" s="331"/>
      <c r="F880" s="331"/>
      <c r="G880" s="331"/>
      <c r="H880" s="332"/>
      <c r="I880" s="332"/>
      <c r="J880" s="321"/>
    </row>
    <row r="881" spans="1:10" x14ac:dyDescent="0.25">
      <c r="A881" s="303"/>
      <c r="B881" s="310"/>
      <c r="C881" s="334"/>
      <c r="D881" s="312"/>
      <c r="E881" s="313"/>
      <c r="F881" s="313"/>
      <c r="G881" s="313"/>
      <c r="H881" s="313"/>
      <c r="I881" s="335" t="s">
        <v>479</v>
      </c>
      <c r="J881" s="315">
        <v>118.657</v>
      </c>
    </row>
    <row r="882" spans="1:10" x14ac:dyDescent="0.25">
      <c r="A882" s="303"/>
      <c r="B882" s="310" t="s">
        <v>464</v>
      </c>
      <c r="C882" s="311" t="s">
        <v>480</v>
      </c>
      <c r="D882" s="312"/>
      <c r="E882" s="313"/>
      <c r="F882" s="313"/>
      <c r="G882" s="313"/>
      <c r="H882" s="324" t="s">
        <v>355</v>
      </c>
      <c r="I882" s="336" t="s">
        <v>481</v>
      </c>
      <c r="J882" s="322" t="s">
        <v>331</v>
      </c>
    </row>
    <row r="883" spans="1:10" x14ac:dyDescent="0.25">
      <c r="A883" s="303"/>
      <c r="B883" s="337" t="s">
        <v>482</v>
      </c>
      <c r="C883" s="311" t="s">
        <v>483</v>
      </c>
      <c r="D883" s="312"/>
      <c r="E883" s="313"/>
      <c r="F883" s="313"/>
      <c r="G883" s="313"/>
      <c r="H883" s="314">
        <v>5</v>
      </c>
      <c r="I883" s="329">
        <v>17.768000000000001</v>
      </c>
      <c r="J883" s="315">
        <v>88.84</v>
      </c>
    </row>
    <row r="884" spans="1:10" x14ac:dyDescent="0.25">
      <c r="A884" s="303"/>
      <c r="B884" s="333" t="s">
        <v>661</v>
      </c>
      <c r="C884" s="317" t="s">
        <v>662</v>
      </c>
      <c r="D884" s="318"/>
      <c r="E884" s="319"/>
      <c r="F884" s="319"/>
      <c r="G884" s="319"/>
      <c r="H884" s="320">
        <v>1</v>
      </c>
      <c r="I884" s="332">
        <v>24.440999999999999</v>
      </c>
      <c r="J884" s="321">
        <v>24.440999999999999</v>
      </c>
    </row>
    <row r="885" spans="1:10" x14ac:dyDescent="0.25">
      <c r="A885" s="303"/>
      <c r="B885" s="333" t="s">
        <v>346</v>
      </c>
      <c r="C885" s="317"/>
      <c r="D885" s="318"/>
      <c r="E885" s="319"/>
      <c r="F885" s="319"/>
      <c r="G885" s="319"/>
      <c r="H885" s="320"/>
      <c r="I885" s="332"/>
      <c r="J885" s="321"/>
    </row>
    <row r="886" spans="1:10" x14ac:dyDescent="0.25">
      <c r="A886" s="303"/>
      <c r="B886" s="333" t="s">
        <v>346</v>
      </c>
      <c r="C886" s="317"/>
      <c r="D886" s="318"/>
      <c r="E886" s="319"/>
      <c r="F886" s="319"/>
      <c r="G886" s="319"/>
      <c r="H886" s="320"/>
      <c r="I886" s="332"/>
      <c r="J886" s="321"/>
    </row>
    <row r="887" spans="1:10" x14ac:dyDescent="0.25">
      <c r="A887" s="303"/>
      <c r="B887" s="333" t="s">
        <v>346</v>
      </c>
      <c r="C887" s="317"/>
      <c r="D887" s="318"/>
      <c r="E887" s="319"/>
      <c r="F887" s="319"/>
      <c r="G887" s="319"/>
      <c r="H887" s="320"/>
      <c r="I887" s="332"/>
      <c r="J887" s="321"/>
    </row>
    <row r="888" spans="1:10" x14ac:dyDescent="0.25">
      <c r="A888" s="303"/>
      <c r="B888" s="333" t="s">
        <v>346</v>
      </c>
      <c r="C888" s="317"/>
      <c r="D888" s="318"/>
      <c r="E888" s="319"/>
      <c r="F888" s="319"/>
      <c r="G888" s="319"/>
      <c r="H888" s="320"/>
      <c r="I888" s="332"/>
      <c r="J888" s="321"/>
    </row>
    <row r="889" spans="1:10" x14ac:dyDescent="0.25">
      <c r="A889" s="303"/>
      <c r="B889" s="333" t="s">
        <v>346</v>
      </c>
      <c r="C889" s="317"/>
      <c r="D889" s="318"/>
      <c r="E889" s="319"/>
      <c r="F889" s="319"/>
      <c r="G889" s="319"/>
      <c r="H889" s="320"/>
      <c r="I889" s="332"/>
      <c r="J889" s="321"/>
    </row>
    <row r="890" spans="1:10" x14ac:dyDescent="0.25">
      <c r="A890" s="303"/>
      <c r="B890" s="310"/>
      <c r="C890" s="334"/>
      <c r="D890" s="312"/>
      <c r="E890" s="313"/>
      <c r="F890" s="313"/>
      <c r="G890" s="313"/>
      <c r="H890" s="313"/>
      <c r="I890" s="338" t="s">
        <v>484</v>
      </c>
      <c r="J890" s="315">
        <v>113.28100000000001</v>
      </c>
    </row>
    <row r="891" spans="1:10" x14ac:dyDescent="0.25">
      <c r="A891" s="303"/>
      <c r="B891" s="339"/>
      <c r="C891" s="334"/>
      <c r="D891" s="312"/>
      <c r="E891" s="313"/>
      <c r="F891" s="313"/>
      <c r="G891" s="313"/>
      <c r="H891" s="313"/>
      <c r="I891" s="338" t="s">
        <v>485</v>
      </c>
      <c r="J891" s="340">
        <v>231.93800000000002</v>
      </c>
    </row>
    <row r="892" spans="1:10" x14ac:dyDescent="0.25">
      <c r="A892" s="303"/>
      <c r="B892" s="339"/>
      <c r="C892" s="341" t="s">
        <v>486</v>
      </c>
      <c r="D892" s="312">
        <v>36</v>
      </c>
      <c r="E892" s="313"/>
      <c r="F892" s="313"/>
      <c r="G892" s="313"/>
      <c r="H892" s="313"/>
      <c r="I892" s="338" t="s">
        <v>487</v>
      </c>
      <c r="J892" s="340">
        <v>6.4427000000000003</v>
      </c>
    </row>
    <row r="893" spans="1:10" x14ac:dyDescent="0.25">
      <c r="A893" s="303"/>
      <c r="B893" s="310"/>
      <c r="C893" s="334"/>
      <c r="D893" s="312"/>
      <c r="E893" s="313"/>
      <c r="F893" s="313"/>
      <c r="G893" s="313"/>
      <c r="H893" s="338" t="s">
        <v>488</v>
      </c>
      <c r="I893" s="342">
        <v>0</v>
      </c>
      <c r="J893" s="315">
        <v>0</v>
      </c>
    </row>
    <row r="894" spans="1:10" x14ac:dyDescent="0.25">
      <c r="A894" s="303"/>
      <c r="B894" s="310"/>
      <c r="C894" s="334"/>
      <c r="D894" s="312"/>
      <c r="E894" s="313"/>
      <c r="F894" s="313"/>
      <c r="G894" s="313"/>
      <c r="H894" s="335" t="s">
        <v>489</v>
      </c>
      <c r="I894" s="343">
        <v>0</v>
      </c>
      <c r="J894" s="315">
        <v>0</v>
      </c>
    </row>
    <row r="895" spans="1:10" x14ac:dyDescent="0.25">
      <c r="A895" s="303"/>
      <c r="B895" s="310" t="s">
        <v>464</v>
      </c>
      <c r="C895" s="311" t="s">
        <v>490</v>
      </c>
      <c r="D895" s="312"/>
      <c r="E895" s="313"/>
      <c r="F895" s="313"/>
      <c r="G895" s="314" t="s">
        <v>465</v>
      </c>
      <c r="H895" s="336" t="s">
        <v>468</v>
      </c>
      <c r="I895" s="336" t="s">
        <v>491</v>
      </c>
      <c r="J895" s="322" t="s">
        <v>492</v>
      </c>
    </row>
    <row r="896" spans="1:10" x14ac:dyDescent="0.25">
      <c r="A896" s="303"/>
      <c r="B896" s="337" t="s">
        <v>663</v>
      </c>
      <c r="C896" s="311" t="s">
        <v>915</v>
      </c>
      <c r="D896" s="312"/>
      <c r="E896" s="313"/>
      <c r="F896" s="313"/>
      <c r="G896" s="314" t="s">
        <v>433</v>
      </c>
      <c r="H896" s="329">
        <v>19.1617</v>
      </c>
      <c r="I896" s="329">
        <v>3.4099999999999998E-3</v>
      </c>
      <c r="J896" s="315">
        <v>6.5299999999999997E-2</v>
      </c>
    </row>
    <row r="897" spans="1:10" x14ac:dyDescent="0.25">
      <c r="A897" s="303"/>
      <c r="B897" s="333" t="s">
        <v>664</v>
      </c>
      <c r="C897" s="317" t="s">
        <v>916</v>
      </c>
      <c r="D897" s="318"/>
      <c r="E897" s="319"/>
      <c r="F897" s="319"/>
      <c r="G897" s="320" t="s">
        <v>560</v>
      </c>
      <c r="H897" s="332">
        <v>25.3977</v>
      </c>
      <c r="I897" s="332">
        <v>0.10292</v>
      </c>
      <c r="J897" s="321">
        <v>2.6139000000000001</v>
      </c>
    </row>
    <row r="898" spans="1:10" x14ac:dyDescent="0.25">
      <c r="A898" s="303"/>
      <c r="B898" s="333" t="s">
        <v>665</v>
      </c>
      <c r="C898" s="317" t="s">
        <v>666</v>
      </c>
      <c r="D898" s="318"/>
      <c r="E898" s="319"/>
      <c r="F898" s="319"/>
      <c r="G898" s="320" t="s">
        <v>433</v>
      </c>
      <c r="H898" s="332">
        <v>8.7446000000000002</v>
      </c>
      <c r="I898" s="332">
        <v>1</v>
      </c>
      <c r="J898" s="321">
        <v>8.7446000000000002</v>
      </c>
    </row>
    <row r="899" spans="1:10" x14ac:dyDescent="0.25">
      <c r="A899" s="303"/>
      <c r="B899" s="333" t="s">
        <v>346</v>
      </c>
      <c r="C899" s="317"/>
      <c r="D899" s="318"/>
      <c r="E899" s="319"/>
      <c r="F899" s="319"/>
      <c r="G899" s="320"/>
      <c r="H899" s="332"/>
      <c r="I899" s="332"/>
      <c r="J899" s="321"/>
    </row>
    <row r="900" spans="1:10" x14ac:dyDescent="0.25">
      <c r="A900" s="303"/>
      <c r="B900" s="333" t="s">
        <v>346</v>
      </c>
      <c r="C900" s="317"/>
      <c r="D900" s="318"/>
      <c r="E900" s="319"/>
      <c r="F900" s="319"/>
      <c r="G900" s="320"/>
      <c r="H900" s="332"/>
      <c r="I900" s="332"/>
      <c r="J900" s="321"/>
    </row>
    <row r="901" spans="1:10" x14ac:dyDescent="0.25">
      <c r="A901" s="303"/>
      <c r="B901" s="333" t="s">
        <v>346</v>
      </c>
      <c r="C901" s="317"/>
      <c r="D901" s="318"/>
      <c r="E901" s="319"/>
      <c r="F901" s="319"/>
      <c r="G901" s="320"/>
      <c r="H901" s="332"/>
      <c r="I901" s="332"/>
      <c r="J901" s="321"/>
    </row>
    <row r="902" spans="1:10" x14ac:dyDescent="0.25">
      <c r="A902" s="303"/>
      <c r="B902" s="333" t="s">
        <v>346</v>
      </c>
      <c r="C902" s="317"/>
      <c r="D902" s="318"/>
      <c r="E902" s="319"/>
      <c r="F902" s="319"/>
      <c r="G902" s="320"/>
      <c r="H902" s="332"/>
      <c r="I902" s="332"/>
      <c r="J902" s="321"/>
    </row>
    <row r="903" spans="1:10" x14ac:dyDescent="0.25">
      <c r="A903" s="303"/>
      <c r="B903" s="310"/>
      <c r="C903" s="334"/>
      <c r="D903" s="312"/>
      <c r="E903" s="313"/>
      <c r="F903" s="313"/>
      <c r="G903" s="313"/>
      <c r="H903" s="343"/>
      <c r="I903" s="335" t="s">
        <v>498</v>
      </c>
      <c r="J903" s="315">
        <v>11.4238</v>
      </c>
    </row>
    <row r="904" spans="1:10" x14ac:dyDescent="0.25">
      <c r="A904" s="303"/>
      <c r="B904" s="310" t="s">
        <v>464</v>
      </c>
      <c r="C904" s="311" t="s">
        <v>499</v>
      </c>
      <c r="D904" s="312"/>
      <c r="E904" s="313"/>
      <c r="F904" s="313"/>
      <c r="G904" s="314" t="s">
        <v>465</v>
      </c>
      <c r="H904" s="336" t="s">
        <v>468</v>
      </c>
      <c r="I904" s="336" t="s">
        <v>491</v>
      </c>
      <c r="J904" s="322" t="s">
        <v>492</v>
      </c>
    </row>
    <row r="905" spans="1:10" x14ac:dyDescent="0.25">
      <c r="A905" s="303"/>
      <c r="B905" s="337"/>
      <c r="C905" s="311"/>
      <c r="D905" s="312"/>
      <c r="E905" s="313"/>
      <c r="F905" s="313"/>
      <c r="G905" s="314"/>
      <c r="H905" s="329"/>
      <c r="I905" s="329"/>
      <c r="J905" s="315"/>
    </row>
    <row r="906" spans="1:10" x14ac:dyDescent="0.25">
      <c r="A906" s="303"/>
      <c r="B906" s="333"/>
      <c r="C906" s="317"/>
      <c r="D906" s="318"/>
      <c r="E906" s="319"/>
      <c r="F906" s="319"/>
      <c r="G906" s="320"/>
      <c r="H906" s="332"/>
      <c r="I906" s="332"/>
      <c r="J906" s="321"/>
    </row>
    <row r="907" spans="1:10" x14ac:dyDescent="0.25">
      <c r="A907" s="303"/>
      <c r="B907" s="333"/>
      <c r="C907" s="317"/>
      <c r="D907" s="318"/>
      <c r="E907" s="319"/>
      <c r="F907" s="319"/>
      <c r="G907" s="320"/>
      <c r="H907" s="332"/>
      <c r="I907" s="332"/>
      <c r="J907" s="321"/>
    </row>
    <row r="908" spans="1:10" x14ac:dyDescent="0.25">
      <c r="A908" s="303"/>
      <c r="B908" s="333"/>
      <c r="C908" s="317"/>
      <c r="D908" s="318"/>
      <c r="E908" s="319"/>
      <c r="F908" s="319"/>
      <c r="G908" s="320"/>
      <c r="H908" s="332"/>
      <c r="I908" s="332"/>
      <c r="J908" s="321"/>
    </row>
    <row r="909" spans="1:10" x14ac:dyDescent="0.25">
      <c r="A909" s="303"/>
      <c r="B909" s="333"/>
      <c r="C909" s="317"/>
      <c r="D909" s="318"/>
      <c r="E909" s="319"/>
      <c r="F909" s="319"/>
      <c r="G909" s="320"/>
      <c r="H909" s="332"/>
      <c r="I909" s="332"/>
      <c r="J909" s="321"/>
    </row>
    <row r="910" spans="1:10" x14ac:dyDescent="0.25">
      <c r="A910" s="303"/>
      <c r="B910" s="310"/>
      <c r="C910" s="334"/>
      <c r="D910" s="312"/>
      <c r="E910" s="313"/>
      <c r="F910" s="313"/>
      <c r="G910" s="313"/>
      <c r="H910" s="343"/>
      <c r="I910" s="335" t="s">
        <v>501</v>
      </c>
      <c r="J910" s="315">
        <v>0</v>
      </c>
    </row>
    <row r="911" spans="1:10" x14ac:dyDescent="0.25">
      <c r="A911" s="303"/>
      <c r="B911" s="310" t="s">
        <v>464</v>
      </c>
      <c r="C911" s="311" t="s">
        <v>502</v>
      </c>
      <c r="D911" s="312"/>
      <c r="E911" s="313"/>
      <c r="F911" s="314" t="s">
        <v>464</v>
      </c>
      <c r="G911" s="324" t="s">
        <v>503</v>
      </c>
      <c r="H911" s="329" t="s">
        <v>465</v>
      </c>
      <c r="I911" s="336" t="s">
        <v>468</v>
      </c>
      <c r="J911" s="322" t="s">
        <v>492</v>
      </c>
    </row>
    <row r="912" spans="1:10" x14ac:dyDescent="0.25">
      <c r="A912" s="303"/>
      <c r="B912" s="337" t="s">
        <v>667</v>
      </c>
      <c r="C912" s="311" t="s">
        <v>917</v>
      </c>
      <c r="D912" s="312"/>
      <c r="E912" s="313"/>
      <c r="F912" s="344" t="s">
        <v>632</v>
      </c>
      <c r="G912" s="314">
        <v>1E-4</v>
      </c>
      <c r="H912" s="329" t="s">
        <v>370</v>
      </c>
      <c r="I912" s="329">
        <v>26.18</v>
      </c>
      <c r="J912" s="315">
        <v>2.5999999999999999E-3</v>
      </c>
    </row>
    <row r="913" spans="1:10" x14ac:dyDescent="0.25">
      <c r="A913" s="303"/>
      <c r="B913" s="333" t="s">
        <v>668</v>
      </c>
      <c r="C913" s="317" t="s">
        <v>669</v>
      </c>
      <c r="D913" s="318"/>
      <c r="E913" s="319"/>
      <c r="F913" s="354" t="s">
        <v>632</v>
      </c>
      <c r="G913" s="320">
        <v>1.6000000000000001E-4</v>
      </c>
      <c r="H913" s="332" t="s">
        <v>370</v>
      </c>
      <c r="I913" s="332">
        <v>26.18</v>
      </c>
      <c r="J913" s="321">
        <v>4.1999999999999997E-3</v>
      </c>
    </row>
    <row r="914" spans="1:10" x14ac:dyDescent="0.25">
      <c r="A914" s="303"/>
      <c r="B914" s="333" t="s">
        <v>346</v>
      </c>
      <c r="C914" s="317"/>
      <c r="D914" s="318"/>
      <c r="E914" s="319"/>
      <c r="F914" s="320"/>
      <c r="G914" s="320"/>
      <c r="H914" s="332"/>
      <c r="I914" s="332"/>
      <c r="J914" s="321"/>
    </row>
    <row r="915" spans="1:10" x14ac:dyDescent="0.25">
      <c r="A915" s="303"/>
      <c r="B915" s="333" t="s">
        <v>346</v>
      </c>
      <c r="C915" s="317"/>
      <c r="D915" s="318"/>
      <c r="E915" s="319"/>
      <c r="F915" s="320"/>
      <c r="G915" s="320"/>
      <c r="H915" s="332"/>
      <c r="I915" s="332"/>
      <c r="J915" s="321"/>
    </row>
    <row r="916" spans="1:10" x14ac:dyDescent="0.25">
      <c r="A916" s="303"/>
      <c r="B916" s="333" t="s">
        <v>346</v>
      </c>
      <c r="C916" s="317"/>
      <c r="D916" s="318"/>
      <c r="E916" s="319"/>
      <c r="F916" s="320"/>
      <c r="G916" s="320"/>
      <c r="H916" s="332"/>
      <c r="I916" s="332"/>
      <c r="J916" s="321"/>
    </row>
    <row r="917" spans="1:10" x14ac:dyDescent="0.25">
      <c r="A917" s="303"/>
      <c r="B917" s="310"/>
      <c r="C917" s="334"/>
      <c r="D917" s="312"/>
      <c r="E917" s="313"/>
      <c r="F917" s="313"/>
      <c r="G917" s="313"/>
      <c r="H917" s="343"/>
      <c r="I917" s="338" t="s">
        <v>507</v>
      </c>
      <c r="J917" s="315">
        <v>6.7999999999999996E-3</v>
      </c>
    </row>
    <row r="918" spans="1:10" x14ac:dyDescent="0.25">
      <c r="A918" s="303"/>
      <c r="B918" s="310" t="s">
        <v>464</v>
      </c>
      <c r="C918" s="311" t="s">
        <v>508</v>
      </c>
      <c r="D918" s="345" t="s">
        <v>509</v>
      </c>
      <c r="E918" s="324" t="s">
        <v>873</v>
      </c>
      <c r="F918" s="324" t="s">
        <v>874</v>
      </c>
      <c r="G918" s="324" t="s">
        <v>875</v>
      </c>
      <c r="H918" s="336" t="s">
        <v>468</v>
      </c>
      <c r="I918" s="324" t="s">
        <v>491</v>
      </c>
      <c r="J918" s="322" t="s">
        <v>492</v>
      </c>
    </row>
    <row r="919" spans="1:10" x14ac:dyDescent="0.25">
      <c r="A919" s="303"/>
      <c r="B919" s="337" t="s">
        <v>670</v>
      </c>
      <c r="C919" s="311" t="s">
        <v>918</v>
      </c>
      <c r="D919" s="345" t="s">
        <v>510</v>
      </c>
      <c r="E919" s="314">
        <v>0</v>
      </c>
      <c r="F919" s="314">
        <v>0</v>
      </c>
      <c r="G919" s="314">
        <v>100.45</v>
      </c>
      <c r="H919" s="329">
        <v>0.55000000000000004</v>
      </c>
      <c r="I919" s="314">
        <v>1E-4</v>
      </c>
      <c r="J919" s="315">
        <v>5.4999999999999997E-3</v>
      </c>
    </row>
    <row r="920" spans="1:10" x14ac:dyDescent="0.25">
      <c r="A920" s="303"/>
      <c r="B920" s="333" t="s">
        <v>671</v>
      </c>
      <c r="C920" s="317" t="s">
        <v>672</v>
      </c>
      <c r="D920" s="346" t="s">
        <v>510</v>
      </c>
      <c r="E920" s="320">
        <v>0</v>
      </c>
      <c r="F920" s="320">
        <v>0</v>
      </c>
      <c r="G920" s="320">
        <v>100.45</v>
      </c>
      <c r="H920" s="332">
        <v>0.55000000000000004</v>
      </c>
      <c r="I920" s="320">
        <v>1.6000000000000001E-4</v>
      </c>
      <c r="J920" s="321">
        <v>8.8000000000000005E-3</v>
      </c>
    </row>
    <row r="921" spans="1:10" x14ac:dyDescent="0.25">
      <c r="A921" s="303"/>
      <c r="B921" s="333" t="s">
        <v>346</v>
      </c>
      <c r="C921" s="317"/>
      <c r="D921" s="346"/>
      <c r="E921" s="320"/>
      <c r="F921" s="320"/>
      <c r="G921" s="320"/>
      <c r="H921" s="332"/>
      <c r="I921" s="320"/>
      <c r="J921" s="321"/>
    </row>
    <row r="922" spans="1:10" x14ac:dyDescent="0.25">
      <c r="A922" s="303"/>
      <c r="B922" s="333" t="s">
        <v>346</v>
      </c>
      <c r="C922" s="317"/>
      <c r="D922" s="346"/>
      <c r="E922" s="320"/>
      <c r="F922" s="320"/>
      <c r="G922" s="320"/>
      <c r="H922" s="332"/>
      <c r="I922" s="320"/>
      <c r="J922" s="321"/>
    </row>
    <row r="923" spans="1:10" x14ac:dyDescent="0.25">
      <c r="A923" s="303"/>
      <c r="B923" s="333" t="s">
        <v>346</v>
      </c>
      <c r="C923" s="317"/>
      <c r="D923" s="346"/>
      <c r="E923" s="320"/>
      <c r="F923" s="320"/>
      <c r="G923" s="320"/>
      <c r="H923" s="332"/>
      <c r="I923" s="320"/>
      <c r="J923" s="321"/>
    </row>
    <row r="924" spans="1:10" x14ac:dyDescent="0.25">
      <c r="A924" s="303"/>
      <c r="B924" s="333" t="s">
        <v>346</v>
      </c>
      <c r="C924" s="317"/>
      <c r="D924" s="346"/>
      <c r="E924" s="320"/>
      <c r="F924" s="320"/>
      <c r="G924" s="320"/>
      <c r="H924" s="332"/>
      <c r="I924" s="320"/>
      <c r="J924" s="321"/>
    </row>
    <row r="925" spans="1:10" x14ac:dyDescent="0.25">
      <c r="A925" s="303"/>
      <c r="B925" s="333" t="s">
        <v>346</v>
      </c>
      <c r="C925" s="317"/>
      <c r="D925" s="346"/>
      <c r="E925" s="320"/>
      <c r="F925" s="320"/>
      <c r="G925" s="320"/>
      <c r="H925" s="332"/>
      <c r="I925" s="320"/>
      <c r="J925" s="321"/>
    </row>
    <row r="926" spans="1:10" x14ac:dyDescent="0.25">
      <c r="A926" s="303"/>
      <c r="B926" s="310"/>
      <c r="C926" s="334"/>
      <c r="D926" s="312"/>
      <c r="E926" s="313"/>
      <c r="F926" s="313"/>
      <c r="G926" s="313"/>
      <c r="H926" s="313"/>
      <c r="I926" s="338" t="s">
        <v>513</v>
      </c>
      <c r="J926" s="315">
        <v>1.43E-2</v>
      </c>
    </row>
    <row r="927" spans="1:10" x14ac:dyDescent="0.25">
      <c r="A927" s="303"/>
      <c r="B927" s="310" t="s">
        <v>514</v>
      </c>
      <c r="C927" s="334"/>
      <c r="D927" s="312"/>
      <c r="E927" s="313"/>
      <c r="F927" s="313"/>
      <c r="G927" s="313"/>
      <c r="H927" s="313"/>
      <c r="I927" s="313"/>
      <c r="J927" s="315">
        <v>17.887600000000006</v>
      </c>
    </row>
    <row r="928" spans="1:10" x14ac:dyDescent="0.25">
      <c r="A928" s="303"/>
      <c r="B928" s="310" t="s">
        <v>515</v>
      </c>
      <c r="C928" s="334"/>
      <c r="D928" s="312">
        <v>0</v>
      </c>
      <c r="E928" s="313"/>
      <c r="F928" s="313"/>
      <c r="G928" s="313"/>
      <c r="H928" s="313"/>
      <c r="I928" s="313"/>
      <c r="J928" s="315">
        <v>0</v>
      </c>
    </row>
    <row r="929" spans="1:10" ht="14.4" thickBot="1" x14ac:dyDescent="0.3">
      <c r="A929" s="303"/>
      <c r="B929" s="310" t="s">
        <v>516</v>
      </c>
      <c r="C929" s="334"/>
      <c r="D929" s="312"/>
      <c r="E929" s="313"/>
      <c r="F929" s="313"/>
      <c r="G929" s="313"/>
      <c r="H929" s="313"/>
      <c r="I929" s="313"/>
      <c r="J929" s="347">
        <v>17.89</v>
      </c>
    </row>
    <row r="930" spans="1:10" x14ac:dyDescent="0.25">
      <c r="A930" s="303"/>
      <c r="B930" s="304"/>
      <c r="C930" s="305"/>
      <c r="D930" s="348"/>
      <c r="E930" s="308"/>
      <c r="F930" s="308"/>
      <c r="G930" s="308"/>
      <c r="H930" s="308"/>
      <c r="I930" s="308"/>
      <c r="J930" s="309"/>
    </row>
    <row r="931" spans="1:10" x14ac:dyDescent="0.25">
      <c r="A931" s="303"/>
      <c r="B931" s="316"/>
      <c r="C931" s="303"/>
      <c r="D931" s="318"/>
      <c r="E931" s="319"/>
      <c r="F931" s="319"/>
      <c r="G931" s="319"/>
      <c r="H931" s="319"/>
      <c r="I931" s="319"/>
      <c r="J931" s="349"/>
    </row>
    <row r="932" spans="1:10" x14ac:dyDescent="0.25">
      <c r="A932" s="303"/>
      <c r="B932" s="316"/>
      <c r="C932" s="303"/>
      <c r="D932" s="318"/>
      <c r="E932" s="319"/>
      <c r="F932" s="319"/>
      <c r="G932" s="319"/>
      <c r="H932" s="319"/>
      <c r="I932" s="319"/>
      <c r="J932" s="349"/>
    </row>
    <row r="933" spans="1:10" ht="14.4" thickBot="1" x14ac:dyDescent="0.3">
      <c r="A933" s="303"/>
      <c r="B933" s="350"/>
      <c r="C933" s="303"/>
      <c r="D933" s="318"/>
      <c r="E933" s="319"/>
      <c r="F933" s="319"/>
      <c r="G933" s="319"/>
      <c r="H933" s="319"/>
      <c r="I933" s="319"/>
      <c r="J933" s="351"/>
    </row>
    <row r="934" spans="1:10" x14ac:dyDescent="0.25">
      <c r="A934" s="303"/>
      <c r="B934" s="305"/>
      <c r="C934" s="305"/>
      <c r="D934" s="348"/>
      <c r="E934" s="308"/>
      <c r="F934" s="308"/>
      <c r="G934" s="308"/>
      <c r="H934" s="308"/>
      <c r="I934" s="308"/>
      <c r="J934" s="352"/>
    </row>
    <row r="935" spans="1:10" ht="14.4" thickBot="1" x14ac:dyDescent="0.3">
      <c r="A935" s="303"/>
      <c r="B935" s="303"/>
      <c r="C935" s="303"/>
      <c r="D935" s="318"/>
      <c r="E935" s="319"/>
      <c r="F935" s="319"/>
      <c r="G935" s="319"/>
      <c r="H935" s="319"/>
      <c r="I935" s="319"/>
      <c r="J935" s="353"/>
    </row>
    <row r="936" spans="1:10" x14ac:dyDescent="0.25">
      <c r="A936" s="303"/>
      <c r="B936" s="304"/>
      <c r="C936" s="305"/>
      <c r="D936" s="306" t="s">
        <v>463</v>
      </c>
      <c r="E936" s="307"/>
      <c r="F936" s="307"/>
      <c r="G936" s="308"/>
      <c r="H936" s="308"/>
      <c r="I936" s="308"/>
      <c r="J936" s="309"/>
    </row>
    <row r="937" spans="1:10" x14ac:dyDescent="0.25">
      <c r="A937" s="303"/>
      <c r="B937" s="310" t="s">
        <v>464</v>
      </c>
      <c r="C937" s="311" t="s">
        <v>134</v>
      </c>
      <c r="D937" s="312"/>
      <c r="E937" s="313"/>
      <c r="F937" s="313"/>
      <c r="G937" s="313"/>
      <c r="H937" s="314"/>
      <c r="I937" s="313"/>
      <c r="J937" s="315" t="s">
        <v>465</v>
      </c>
    </row>
    <row r="938" spans="1:10" x14ac:dyDescent="0.25">
      <c r="A938" s="303"/>
      <c r="B938" s="316">
        <v>5213477</v>
      </c>
      <c r="C938" s="317" t="s">
        <v>382</v>
      </c>
      <c r="D938" s="318"/>
      <c r="E938" s="319"/>
      <c r="F938" s="319"/>
      <c r="G938" s="319"/>
      <c r="H938" s="320"/>
      <c r="I938" s="319"/>
      <c r="J938" s="321" t="s">
        <v>381</v>
      </c>
    </row>
    <row r="939" spans="1:10" x14ac:dyDescent="0.25">
      <c r="A939" s="303"/>
      <c r="B939" s="310"/>
      <c r="C939" s="311"/>
      <c r="D939" s="312"/>
      <c r="E939" s="314"/>
      <c r="F939" s="314" t="s">
        <v>466</v>
      </c>
      <c r="G939" s="314"/>
      <c r="H939" s="314" t="s">
        <v>467</v>
      </c>
      <c r="I939" s="314"/>
      <c r="J939" s="322" t="s">
        <v>468</v>
      </c>
    </row>
    <row r="940" spans="1:10" x14ac:dyDescent="0.25">
      <c r="A940" s="303"/>
      <c r="B940" s="316" t="s">
        <v>464</v>
      </c>
      <c r="C940" s="317" t="s">
        <v>469</v>
      </c>
      <c r="D940" s="318"/>
      <c r="E940" s="323" t="s">
        <v>355</v>
      </c>
      <c r="F940" s="324" t="s">
        <v>470</v>
      </c>
      <c r="G940" s="324" t="s">
        <v>471</v>
      </c>
      <c r="H940" s="324" t="s">
        <v>472</v>
      </c>
      <c r="I940" s="325" t="s">
        <v>473</v>
      </c>
      <c r="J940" s="326" t="s">
        <v>474</v>
      </c>
    </row>
    <row r="941" spans="1:10" x14ac:dyDescent="0.25">
      <c r="A941" s="303"/>
      <c r="B941" s="327" t="s">
        <v>651</v>
      </c>
      <c r="C941" s="311" t="s">
        <v>652</v>
      </c>
      <c r="D941" s="312"/>
      <c r="E941" s="328">
        <v>1</v>
      </c>
      <c r="F941" s="328">
        <v>0.3</v>
      </c>
      <c r="G941" s="328">
        <v>0.7</v>
      </c>
      <c r="H941" s="329">
        <v>114.22329999999999</v>
      </c>
      <c r="I941" s="329">
        <v>46.994700000000002</v>
      </c>
      <c r="J941" s="315">
        <v>67.163300000000007</v>
      </c>
    </row>
    <row r="942" spans="1:10" x14ac:dyDescent="0.25">
      <c r="A942" s="303"/>
      <c r="B942" s="333" t="s">
        <v>346</v>
      </c>
      <c r="C942" s="317"/>
      <c r="D942" s="318"/>
      <c r="E942" s="331"/>
      <c r="F942" s="331"/>
      <c r="G942" s="331"/>
      <c r="H942" s="332"/>
      <c r="I942" s="332"/>
      <c r="J942" s="321"/>
    </row>
    <row r="943" spans="1:10" x14ac:dyDescent="0.25">
      <c r="A943" s="303"/>
      <c r="B943" s="333" t="s">
        <v>346</v>
      </c>
      <c r="C943" s="317"/>
      <c r="D943" s="318"/>
      <c r="E943" s="331"/>
      <c r="F943" s="331"/>
      <c r="G943" s="331"/>
      <c r="H943" s="332"/>
      <c r="I943" s="332"/>
      <c r="J943" s="321"/>
    </row>
    <row r="944" spans="1:10" x14ac:dyDescent="0.25">
      <c r="A944" s="303"/>
      <c r="B944" s="333" t="s">
        <v>346</v>
      </c>
      <c r="C944" s="317"/>
      <c r="D944" s="318"/>
      <c r="E944" s="331"/>
      <c r="F944" s="331"/>
      <c r="G944" s="331"/>
      <c r="H944" s="332"/>
      <c r="I944" s="332"/>
      <c r="J944" s="321"/>
    </row>
    <row r="945" spans="1:10" x14ac:dyDescent="0.25">
      <c r="A945" s="303"/>
      <c r="B945" s="333" t="s">
        <v>346</v>
      </c>
      <c r="C945" s="317"/>
      <c r="D945" s="318"/>
      <c r="E945" s="331"/>
      <c r="F945" s="331"/>
      <c r="G945" s="331"/>
      <c r="H945" s="332"/>
      <c r="I945" s="332"/>
      <c r="J945" s="321"/>
    </row>
    <row r="946" spans="1:10" x14ac:dyDescent="0.25">
      <c r="A946" s="303"/>
      <c r="B946" s="333" t="s">
        <v>346</v>
      </c>
      <c r="C946" s="317"/>
      <c r="D946" s="318"/>
      <c r="E946" s="331"/>
      <c r="F946" s="331"/>
      <c r="G946" s="331"/>
      <c r="H946" s="332"/>
      <c r="I946" s="332"/>
      <c r="J946" s="321"/>
    </row>
    <row r="947" spans="1:10" x14ac:dyDescent="0.25">
      <c r="A947" s="303"/>
      <c r="B947" s="333" t="s">
        <v>346</v>
      </c>
      <c r="C947" s="317"/>
      <c r="D947" s="318"/>
      <c r="E947" s="331"/>
      <c r="F947" s="331"/>
      <c r="G947" s="331"/>
      <c r="H947" s="332"/>
      <c r="I947" s="332"/>
      <c r="J947" s="321"/>
    </row>
    <row r="948" spans="1:10" x14ac:dyDescent="0.25">
      <c r="A948" s="303"/>
      <c r="B948" s="310"/>
      <c r="C948" s="334"/>
      <c r="D948" s="312"/>
      <c r="E948" s="313"/>
      <c r="F948" s="313"/>
      <c r="G948" s="313"/>
      <c r="H948" s="313"/>
      <c r="I948" s="335" t="s">
        <v>479</v>
      </c>
      <c r="J948" s="315">
        <v>67.163300000000007</v>
      </c>
    </row>
    <row r="949" spans="1:10" x14ac:dyDescent="0.25">
      <c r="A949" s="303"/>
      <c r="B949" s="310" t="s">
        <v>464</v>
      </c>
      <c r="C949" s="311" t="s">
        <v>480</v>
      </c>
      <c r="D949" s="312"/>
      <c r="E949" s="313"/>
      <c r="F949" s="313"/>
      <c r="G949" s="313"/>
      <c r="H949" s="324" t="s">
        <v>355</v>
      </c>
      <c r="I949" s="336" t="s">
        <v>481</v>
      </c>
      <c r="J949" s="322" t="s">
        <v>331</v>
      </c>
    </row>
    <row r="950" spans="1:10" x14ac:dyDescent="0.25">
      <c r="A950" s="303"/>
      <c r="B950" s="337" t="s">
        <v>482</v>
      </c>
      <c r="C950" s="311" t="s">
        <v>483</v>
      </c>
      <c r="D950" s="312"/>
      <c r="E950" s="313"/>
      <c r="F950" s="313"/>
      <c r="G950" s="313"/>
      <c r="H950" s="314">
        <v>2</v>
      </c>
      <c r="I950" s="329">
        <v>17.768000000000001</v>
      </c>
      <c r="J950" s="315">
        <v>35.536000000000001</v>
      </c>
    </row>
    <row r="951" spans="1:10" x14ac:dyDescent="0.25">
      <c r="A951" s="303"/>
      <c r="B951" s="333" t="s">
        <v>661</v>
      </c>
      <c r="C951" s="317" t="s">
        <v>662</v>
      </c>
      <c r="D951" s="318"/>
      <c r="E951" s="319"/>
      <c r="F951" s="319"/>
      <c r="G951" s="319"/>
      <c r="H951" s="320">
        <v>1</v>
      </c>
      <c r="I951" s="332">
        <v>24.440999999999999</v>
      </c>
      <c r="J951" s="321">
        <v>24.440999999999999</v>
      </c>
    </row>
    <row r="952" spans="1:10" x14ac:dyDescent="0.25">
      <c r="A952" s="303"/>
      <c r="B952" s="333" t="s">
        <v>346</v>
      </c>
      <c r="C952" s="317"/>
      <c r="D952" s="318"/>
      <c r="E952" s="319"/>
      <c r="F952" s="319"/>
      <c r="G952" s="319"/>
      <c r="H952" s="320"/>
      <c r="I952" s="332"/>
      <c r="J952" s="321"/>
    </row>
    <row r="953" spans="1:10" x14ac:dyDescent="0.25">
      <c r="A953" s="303"/>
      <c r="B953" s="333" t="s">
        <v>346</v>
      </c>
      <c r="C953" s="317"/>
      <c r="D953" s="318"/>
      <c r="E953" s="319"/>
      <c r="F953" s="319"/>
      <c r="G953" s="319"/>
      <c r="H953" s="320"/>
      <c r="I953" s="332"/>
      <c r="J953" s="321"/>
    </row>
    <row r="954" spans="1:10" x14ac:dyDescent="0.25">
      <c r="A954" s="303"/>
      <c r="B954" s="333" t="s">
        <v>346</v>
      </c>
      <c r="C954" s="317"/>
      <c r="D954" s="318"/>
      <c r="E954" s="319"/>
      <c r="F954" s="319"/>
      <c r="G954" s="319"/>
      <c r="H954" s="320"/>
      <c r="I954" s="332"/>
      <c r="J954" s="321"/>
    </row>
    <row r="955" spans="1:10" x14ac:dyDescent="0.25">
      <c r="A955" s="303"/>
      <c r="B955" s="333" t="s">
        <v>346</v>
      </c>
      <c r="C955" s="317"/>
      <c r="D955" s="318"/>
      <c r="E955" s="319"/>
      <c r="F955" s="319"/>
      <c r="G955" s="319"/>
      <c r="H955" s="320"/>
      <c r="I955" s="332"/>
      <c r="J955" s="321"/>
    </row>
    <row r="956" spans="1:10" x14ac:dyDescent="0.25">
      <c r="A956" s="303"/>
      <c r="B956" s="333" t="s">
        <v>346</v>
      </c>
      <c r="C956" s="317"/>
      <c r="D956" s="318"/>
      <c r="E956" s="319"/>
      <c r="F956" s="319"/>
      <c r="G956" s="319"/>
      <c r="H956" s="320"/>
      <c r="I956" s="332"/>
      <c r="J956" s="321"/>
    </row>
    <row r="957" spans="1:10" x14ac:dyDescent="0.25">
      <c r="A957" s="303"/>
      <c r="B957" s="310"/>
      <c r="C957" s="334"/>
      <c r="D957" s="312"/>
      <c r="E957" s="313"/>
      <c r="F957" s="313"/>
      <c r="G957" s="313"/>
      <c r="H957" s="313"/>
      <c r="I957" s="338" t="s">
        <v>484</v>
      </c>
      <c r="J957" s="315">
        <v>59.977000000000004</v>
      </c>
    </row>
    <row r="958" spans="1:10" x14ac:dyDescent="0.25">
      <c r="A958" s="303"/>
      <c r="B958" s="339"/>
      <c r="C958" s="334"/>
      <c r="D958" s="312"/>
      <c r="E958" s="313"/>
      <c r="F958" s="313"/>
      <c r="G958" s="313"/>
      <c r="H958" s="313"/>
      <c r="I958" s="338" t="s">
        <v>485</v>
      </c>
      <c r="J958" s="340">
        <v>127.14030000000001</v>
      </c>
    </row>
    <row r="959" spans="1:10" x14ac:dyDescent="0.25">
      <c r="A959" s="303"/>
      <c r="B959" s="339"/>
      <c r="C959" s="341" t="s">
        <v>486</v>
      </c>
      <c r="D959" s="312">
        <v>3</v>
      </c>
      <c r="E959" s="313"/>
      <c r="F959" s="313"/>
      <c r="G959" s="313"/>
      <c r="H959" s="313"/>
      <c r="I959" s="338" t="s">
        <v>487</v>
      </c>
      <c r="J959" s="340">
        <v>42.380099999999999</v>
      </c>
    </row>
    <row r="960" spans="1:10" x14ac:dyDescent="0.25">
      <c r="A960" s="303"/>
      <c r="B960" s="310"/>
      <c r="C960" s="334"/>
      <c r="D960" s="312"/>
      <c r="E960" s="313"/>
      <c r="F960" s="313"/>
      <c r="G960" s="313"/>
      <c r="H960" s="338" t="s">
        <v>488</v>
      </c>
      <c r="I960" s="342">
        <v>0</v>
      </c>
      <c r="J960" s="315">
        <v>0</v>
      </c>
    </row>
    <row r="961" spans="1:10" x14ac:dyDescent="0.25">
      <c r="A961" s="303"/>
      <c r="B961" s="310"/>
      <c r="C961" s="334"/>
      <c r="D961" s="312"/>
      <c r="E961" s="313"/>
      <c r="F961" s="313"/>
      <c r="G961" s="313"/>
      <c r="H961" s="335" t="s">
        <v>489</v>
      </c>
      <c r="I961" s="343">
        <v>0</v>
      </c>
      <c r="J961" s="315">
        <v>0</v>
      </c>
    </row>
    <row r="962" spans="1:10" x14ac:dyDescent="0.25">
      <c r="A962" s="303"/>
      <c r="B962" s="310" t="s">
        <v>464</v>
      </c>
      <c r="C962" s="311" t="s">
        <v>490</v>
      </c>
      <c r="D962" s="312"/>
      <c r="E962" s="313"/>
      <c r="F962" s="313"/>
      <c r="G962" s="314" t="s">
        <v>465</v>
      </c>
      <c r="H962" s="336" t="s">
        <v>468</v>
      </c>
      <c r="I962" s="336" t="s">
        <v>491</v>
      </c>
      <c r="J962" s="322" t="s">
        <v>492</v>
      </c>
    </row>
    <row r="963" spans="1:10" x14ac:dyDescent="0.25">
      <c r="A963" s="303"/>
      <c r="B963" s="337" t="s">
        <v>346</v>
      </c>
      <c r="C963" s="311"/>
      <c r="D963" s="312"/>
      <c r="E963" s="313"/>
      <c r="F963" s="313"/>
      <c r="G963" s="314"/>
      <c r="H963" s="329"/>
      <c r="I963" s="329"/>
      <c r="J963" s="315"/>
    </row>
    <row r="964" spans="1:10" x14ac:dyDescent="0.25">
      <c r="A964" s="303"/>
      <c r="B964" s="333" t="s">
        <v>346</v>
      </c>
      <c r="C964" s="317"/>
      <c r="D964" s="318"/>
      <c r="E964" s="319"/>
      <c r="F964" s="319"/>
      <c r="G964" s="320"/>
      <c r="H964" s="332"/>
      <c r="I964" s="332"/>
      <c r="J964" s="321"/>
    </row>
    <row r="965" spans="1:10" x14ac:dyDescent="0.25">
      <c r="A965" s="303"/>
      <c r="B965" s="333" t="s">
        <v>346</v>
      </c>
      <c r="C965" s="317"/>
      <c r="D965" s="318"/>
      <c r="E965" s="319"/>
      <c r="F965" s="319"/>
      <c r="G965" s="320"/>
      <c r="H965" s="332"/>
      <c r="I965" s="332"/>
      <c r="J965" s="321"/>
    </row>
    <row r="966" spans="1:10" x14ac:dyDescent="0.25">
      <c r="A966" s="303"/>
      <c r="B966" s="333" t="s">
        <v>346</v>
      </c>
      <c r="C966" s="317"/>
      <c r="D966" s="318"/>
      <c r="E966" s="319"/>
      <c r="F966" s="319"/>
      <c r="G966" s="320"/>
      <c r="H966" s="332"/>
      <c r="I966" s="332"/>
      <c r="J966" s="321"/>
    </row>
    <row r="967" spans="1:10" x14ac:dyDescent="0.25">
      <c r="A967" s="303"/>
      <c r="B967" s="333" t="s">
        <v>346</v>
      </c>
      <c r="C967" s="317"/>
      <c r="D967" s="318"/>
      <c r="E967" s="319"/>
      <c r="F967" s="319"/>
      <c r="G967" s="320"/>
      <c r="H967" s="332"/>
      <c r="I967" s="332"/>
      <c r="J967" s="321"/>
    </row>
    <row r="968" spans="1:10" x14ac:dyDescent="0.25">
      <c r="A968" s="303"/>
      <c r="B968" s="333" t="s">
        <v>346</v>
      </c>
      <c r="C968" s="317"/>
      <c r="D968" s="318"/>
      <c r="E968" s="319"/>
      <c r="F968" s="319"/>
      <c r="G968" s="320"/>
      <c r="H968" s="332"/>
      <c r="I968" s="332"/>
      <c r="J968" s="321"/>
    </row>
    <row r="969" spans="1:10" x14ac:dyDescent="0.25">
      <c r="A969" s="303"/>
      <c r="B969" s="333" t="s">
        <v>346</v>
      </c>
      <c r="C969" s="317"/>
      <c r="D969" s="318"/>
      <c r="E969" s="319"/>
      <c r="F969" s="319"/>
      <c r="G969" s="320"/>
      <c r="H969" s="332"/>
      <c r="I969" s="332"/>
      <c r="J969" s="321"/>
    </row>
    <row r="970" spans="1:10" x14ac:dyDescent="0.25">
      <c r="A970" s="303"/>
      <c r="B970" s="310"/>
      <c r="C970" s="334"/>
      <c r="D970" s="312"/>
      <c r="E970" s="313"/>
      <c r="F970" s="313"/>
      <c r="G970" s="313"/>
      <c r="H970" s="343"/>
      <c r="I970" s="335" t="s">
        <v>498</v>
      </c>
      <c r="J970" s="315">
        <v>0</v>
      </c>
    </row>
    <row r="971" spans="1:10" x14ac:dyDescent="0.25">
      <c r="A971" s="303"/>
      <c r="B971" s="310" t="s">
        <v>464</v>
      </c>
      <c r="C971" s="311" t="s">
        <v>499</v>
      </c>
      <c r="D971" s="312"/>
      <c r="E971" s="313"/>
      <c r="F971" s="313"/>
      <c r="G971" s="314" t="s">
        <v>465</v>
      </c>
      <c r="H971" s="336" t="s">
        <v>468</v>
      </c>
      <c r="I971" s="336" t="s">
        <v>491</v>
      </c>
      <c r="J971" s="322" t="s">
        <v>492</v>
      </c>
    </row>
    <row r="972" spans="1:10" x14ac:dyDescent="0.25">
      <c r="A972" s="303"/>
      <c r="B972" s="337">
        <v>5213421</v>
      </c>
      <c r="C972" s="311" t="s">
        <v>919</v>
      </c>
      <c r="D972" s="312"/>
      <c r="E972" s="313"/>
      <c r="F972" s="313"/>
      <c r="G972" s="314" t="s">
        <v>368</v>
      </c>
      <c r="H972" s="329">
        <v>309.62</v>
      </c>
      <c r="I972" s="329">
        <v>0.27</v>
      </c>
      <c r="J972" s="315">
        <v>83.597399999999993</v>
      </c>
    </row>
    <row r="973" spans="1:10" x14ac:dyDescent="0.25">
      <c r="A973" s="303"/>
      <c r="B973" s="333"/>
      <c r="C973" s="317"/>
      <c r="D973" s="318"/>
      <c r="E973" s="319"/>
      <c r="F973" s="319"/>
      <c r="G973" s="320"/>
      <c r="H973" s="332"/>
      <c r="I973" s="332"/>
      <c r="J973" s="321"/>
    </row>
    <row r="974" spans="1:10" x14ac:dyDescent="0.25">
      <c r="A974" s="303"/>
      <c r="B974" s="333"/>
      <c r="C974" s="317"/>
      <c r="D974" s="318"/>
      <c r="E974" s="319"/>
      <c r="F974" s="319"/>
      <c r="G974" s="320"/>
      <c r="H974" s="332"/>
      <c r="I974" s="332"/>
      <c r="J974" s="321"/>
    </row>
    <row r="975" spans="1:10" x14ac:dyDescent="0.25">
      <c r="A975" s="303"/>
      <c r="B975" s="333"/>
      <c r="C975" s="317"/>
      <c r="D975" s="318"/>
      <c r="E975" s="319"/>
      <c r="F975" s="319"/>
      <c r="G975" s="320"/>
      <c r="H975" s="332"/>
      <c r="I975" s="332"/>
      <c r="J975" s="321"/>
    </row>
    <row r="976" spans="1:10" x14ac:dyDescent="0.25">
      <c r="A976" s="303"/>
      <c r="B976" s="333"/>
      <c r="C976" s="317"/>
      <c r="D976" s="318"/>
      <c r="E976" s="319"/>
      <c r="F976" s="319"/>
      <c r="G976" s="320"/>
      <c r="H976" s="332"/>
      <c r="I976" s="332"/>
      <c r="J976" s="321"/>
    </row>
    <row r="977" spans="1:10" x14ac:dyDescent="0.25">
      <c r="A977" s="303"/>
      <c r="B977" s="310"/>
      <c r="C977" s="334"/>
      <c r="D977" s="312"/>
      <c r="E977" s="313"/>
      <c r="F977" s="313"/>
      <c r="G977" s="313"/>
      <c r="H977" s="343"/>
      <c r="I977" s="335" t="s">
        <v>501</v>
      </c>
      <c r="J977" s="315">
        <v>83.597399999999993</v>
      </c>
    </row>
    <row r="978" spans="1:10" x14ac:dyDescent="0.25">
      <c r="A978" s="303"/>
      <c r="B978" s="310" t="s">
        <v>464</v>
      </c>
      <c r="C978" s="311" t="s">
        <v>502</v>
      </c>
      <c r="D978" s="312"/>
      <c r="E978" s="313"/>
      <c r="F978" s="314" t="s">
        <v>464</v>
      </c>
      <c r="G978" s="324" t="s">
        <v>503</v>
      </c>
      <c r="H978" s="329" t="s">
        <v>465</v>
      </c>
      <c r="I978" s="336" t="s">
        <v>468</v>
      </c>
      <c r="J978" s="322" t="s">
        <v>492</v>
      </c>
    </row>
    <row r="979" spans="1:10" x14ac:dyDescent="0.25">
      <c r="A979" s="303"/>
      <c r="B979" s="337" t="s">
        <v>346</v>
      </c>
      <c r="C979" s="311"/>
      <c r="D979" s="312"/>
      <c r="E979" s="313"/>
      <c r="F979" s="314"/>
      <c r="G979" s="314"/>
      <c r="H979" s="329"/>
      <c r="I979" s="329"/>
      <c r="J979" s="315"/>
    </row>
    <row r="980" spans="1:10" x14ac:dyDescent="0.25">
      <c r="A980" s="303"/>
      <c r="B980" s="333" t="s">
        <v>346</v>
      </c>
      <c r="C980" s="317"/>
      <c r="D980" s="318"/>
      <c r="E980" s="319"/>
      <c r="F980" s="320"/>
      <c r="G980" s="320"/>
      <c r="H980" s="332"/>
      <c r="I980" s="332"/>
      <c r="J980" s="321"/>
    </row>
    <row r="981" spans="1:10" x14ac:dyDescent="0.25">
      <c r="A981" s="303"/>
      <c r="B981" s="333" t="s">
        <v>346</v>
      </c>
      <c r="C981" s="317"/>
      <c r="D981" s="318"/>
      <c r="E981" s="319"/>
      <c r="F981" s="320"/>
      <c r="G981" s="320"/>
      <c r="H981" s="332"/>
      <c r="I981" s="332"/>
      <c r="J981" s="321"/>
    </row>
    <row r="982" spans="1:10" x14ac:dyDescent="0.25">
      <c r="A982" s="303"/>
      <c r="B982" s="333" t="s">
        <v>346</v>
      </c>
      <c r="C982" s="317"/>
      <c r="D982" s="318"/>
      <c r="E982" s="319"/>
      <c r="F982" s="320"/>
      <c r="G982" s="320"/>
      <c r="H982" s="332"/>
      <c r="I982" s="332"/>
      <c r="J982" s="321"/>
    </row>
    <row r="983" spans="1:10" x14ac:dyDescent="0.25">
      <c r="A983" s="303"/>
      <c r="B983" s="333" t="s">
        <v>346</v>
      </c>
      <c r="C983" s="317"/>
      <c r="D983" s="318"/>
      <c r="E983" s="319"/>
      <c r="F983" s="320"/>
      <c r="G983" s="320"/>
      <c r="H983" s="332"/>
      <c r="I983" s="332"/>
      <c r="J983" s="321"/>
    </row>
    <row r="984" spans="1:10" x14ac:dyDescent="0.25">
      <c r="A984" s="303"/>
      <c r="B984" s="310"/>
      <c r="C984" s="334"/>
      <c r="D984" s="312"/>
      <c r="E984" s="313"/>
      <c r="F984" s="313"/>
      <c r="G984" s="313"/>
      <c r="H984" s="343"/>
      <c r="I984" s="338" t="s">
        <v>507</v>
      </c>
      <c r="J984" s="315">
        <v>0</v>
      </c>
    </row>
    <row r="985" spans="1:10" x14ac:dyDescent="0.25">
      <c r="A985" s="303"/>
      <c r="B985" s="310" t="s">
        <v>464</v>
      </c>
      <c r="C985" s="311" t="s">
        <v>508</v>
      </c>
      <c r="D985" s="345" t="s">
        <v>509</v>
      </c>
      <c r="E985" s="324" t="s">
        <v>873</v>
      </c>
      <c r="F985" s="324" t="s">
        <v>874</v>
      </c>
      <c r="G985" s="324" t="s">
        <v>875</v>
      </c>
      <c r="H985" s="336" t="s">
        <v>468</v>
      </c>
      <c r="I985" s="324" t="s">
        <v>491</v>
      </c>
      <c r="J985" s="322" t="s">
        <v>492</v>
      </c>
    </row>
    <row r="986" spans="1:10" x14ac:dyDescent="0.25">
      <c r="A986" s="303"/>
      <c r="B986" s="337" t="s">
        <v>346</v>
      </c>
      <c r="C986" s="311"/>
      <c r="D986" s="345"/>
      <c r="E986" s="314"/>
      <c r="F986" s="314"/>
      <c r="G986" s="314"/>
      <c r="H986" s="329"/>
      <c r="I986" s="314"/>
      <c r="J986" s="315"/>
    </row>
    <row r="987" spans="1:10" x14ac:dyDescent="0.25">
      <c r="A987" s="303"/>
      <c r="B987" s="333" t="s">
        <v>346</v>
      </c>
      <c r="C987" s="317"/>
      <c r="D987" s="346"/>
      <c r="E987" s="320"/>
      <c r="F987" s="320"/>
      <c r="G987" s="320"/>
      <c r="H987" s="332"/>
      <c r="I987" s="320"/>
      <c r="J987" s="321"/>
    </row>
    <row r="988" spans="1:10" x14ac:dyDescent="0.25">
      <c r="A988" s="303"/>
      <c r="B988" s="333" t="s">
        <v>346</v>
      </c>
      <c r="C988" s="317"/>
      <c r="D988" s="346"/>
      <c r="E988" s="320"/>
      <c r="F988" s="320"/>
      <c r="G988" s="320"/>
      <c r="H988" s="332"/>
      <c r="I988" s="320"/>
      <c r="J988" s="321"/>
    </row>
    <row r="989" spans="1:10" x14ac:dyDescent="0.25">
      <c r="A989" s="303"/>
      <c r="B989" s="333" t="s">
        <v>346</v>
      </c>
      <c r="C989" s="317"/>
      <c r="D989" s="346"/>
      <c r="E989" s="320"/>
      <c r="F989" s="320"/>
      <c r="G989" s="320"/>
      <c r="H989" s="332"/>
      <c r="I989" s="320"/>
      <c r="J989" s="321"/>
    </row>
    <row r="990" spans="1:10" x14ac:dyDescent="0.25">
      <c r="A990" s="303"/>
      <c r="B990" s="333" t="s">
        <v>346</v>
      </c>
      <c r="C990" s="317"/>
      <c r="D990" s="346"/>
      <c r="E990" s="320"/>
      <c r="F990" s="320"/>
      <c r="G990" s="320"/>
      <c r="H990" s="332"/>
      <c r="I990" s="320"/>
      <c r="J990" s="321"/>
    </row>
    <row r="991" spans="1:10" x14ac:dyDescent="0.25">
      <c r="A991" s="303"/>
      <c r="B991" s="333" t="s">
        <v>346</v>
      </c>
      <c r="C991" s="317"/>
      <c r="D991" s="346"/>
      <c r="E991" s="320"/>
      <c r="F991" s="320"/>
      <c r="G991" s="320"/>
      <c r="H991" s="332"/>
      <c r="I991" s="320"/>
      <c r="J991" s="321"/>
    </row>
    <row r="992" spans="1:10" x14ac:dyDescent="0.25">
      <c r="A992" s="303"/>
      <c r="B992" s="333" t="s">
        <v>346</v>
      </c>
      <c r="C992" s="317"/>
      <c r="D992" s="346"/>
      <c r="E992" s="320"/>
      <c r="F992" s="320"/>
      <c r="G992" s="320"/>
      <c r="H992" s="332"/>
      <c r="I992" s="320"/>
      <c r="J992" s="321"/>
    </row>
    <row r="993" spans="1:10" x14ac:dyDescent="0.25">
      <c r="A993" s="303"/>
      <c r="B993" s="310"/>
      <c r="C993" s="334"/>
      <c r="D993" s="312"/>
      <c r="E993" s="313"/>
      <c r="F993" s="313"/>
      <c r="G993" s="313"/>
      <c r="H993" s="313"/>
      <c r="I993" s="338" t="s">
        <v>513</v>
      </c>
      <c r="J993" s="315">
        <v>0</v>
      </c>
    </row>
    <row r="994" spans="1:10" x14ac:dyDescent="0.25">
      <c r="A994" s="303"/>
      <c r="B994" s="310" t="s">
        <v>514</v>
      </c>
      <c r="C994" s="334"/>
      <c r="D994" s="312"/>
      <c r="E994" s="313"/>
      <c r="F994" s="313"/>
      <c r="G994" s="313"/>
      <c r="H994" s="313"/>
      <c r="I994" s="313"/>
      <c r="J994" s="315">
        <v>125.97749999999999</v>
      </c>
    </row>
    <row r="995" spans="1:10" x14ac:dyDescent="0.25">
      <c r="A995" s="303"/>
      <c r="B995" s="310" t="s">
        <v>515</v>
      </c>
      <c r="C995" s="334"/>
      <c r="D995" s="312">
        <v>0</v>
      </c>
      <c r="E995" s="313"/>
      <c r="F995" s="313"/>
      <c r="G995" s="313"/>
      <c r="H995" s="313"/>
      <c r="I995" s="313"/>
      <c r="J995" s="315">
        <v>0</v>
      </c>
    </row>
    <row r="996" spans="1:10" ht="14.4" thickBot="1" x14ac:dyDescent="0.3">
      <c r="A996" s="303"/>
      <c r="B996" s="310" t="s">
        <v>516</v>
      </c>
      <c r="C996" s="334"/>
      <c r="D996" s="312"/>
      <c r="E996" s="313"/>
      <c r="F996" s="313"/>
      <c r="G996" s="313"/>
      <c r="H996" s="313"/>
      <c r="I996" s="313"/>
      <c r="J996" s="347">
        <v>125.98</v>
      </c>
    </row>
    <row r="997" spans="1:10" x14ac:dyDescent="0.25">
      <c r="A997" s="303"/>
      <c r="B997" s="304"/>
      <c r="C997" s="305"/>
      <c r="D997" s="348"/>
      <c r="E997" s="308"/>
      <c r="F997" s="308"/>
      <c r="G997" s="308"/>
      <c r="H997" s="308"/>
      <c r="I997" s="308"/>
      <c r="J997" s="309"/>
    </row>
    <row r="998" spans="1:10" x14ac:dyDescent="0.25">
      <c r="A998" s="303"/>
      <c r="B998" s="316"/>
      <c r="C998" s="303"/>
      <c r="D998" s="318"/>
      <c r="E998" s="319"/>
      <c r="F998" s="319"/>
      <c r="G998" s="319"/>
      <c r="H998" s="319"/>
      <c r="I998" s="319"/>
      <c r="J998" s="349"/>
    </row>
    <row r="999" spans="1:10" x14ac:dyDescent="0.25">
      <c r="A999" s="303"/>
      <c r="B999" s="316"/>
      <c r="C999" s="303"/>
      <c r="D999" s="318"/>
      <c r="E999" s="319"/>
      <c r="F999" s="319"/>
      <c r="G999" s="319"/>
      <c r="H999" s="319"/>
      <c r="I999" s="319"/>
      <c r="J999" s="349"/>
    </row>
    <row r="1000" spans="1:10" ht="14.4" thickBot="1" x14ac:dyDescent="0.3">
      <c r="A1000" s="303"/>
      <c r="B1000" s="350"/>
      <c r="C1000" s="303"/>
      <c r="D1000" s="318"/>
      <c r="E1000" s="319"/>
      <c r="F1000" s="319"/>
      <c r="G1000" s="319"/>
      <c r="H1000" s="319"/>
      <c r="I1000" s="319"/>
      <c r="J1000" s="351"/>
    </row>
    <row r="1001" spans="1:10" x14ac:dyDescent="0.25">
      <c r="A1001" s="303"/>
      <c r="B1001" s="305"/>
      <c r="C1001" s="305"/>
      <c r="D1001" s="348"/>
      <c r="E1001" s="308"/>
      <c r="F1001" s="308"/>
      <c r="G1001" s="308"/>
      <c r="H1001" s="308"/>
      <c r="I1001" s="308"/>
      <c r="J1001" s="352"/>
    </row>
    <row r="1002" spans="1:10" ht="14.4" thickBot="1" x14ac:dyDescent="0.3">
      <c r="A1002" s="303"/>
      <c r="B1002" s="303"/>
      <c r="C1002" s="303"/>
      <c r="D1002" s="318"/>
      <c r="E1002" s="319"/>
      <c r="F1002" s="319"/>
      <c r="G1002" s="319"/>
      <c r="H1002" s="319"/>
      <c r="I1002" s="319"/>
      <c r="J1002" s="353"/>
    </row>
    <row r="1003" spans="1:10" x14ac:dyDescent="0.25">
      <c r="A1003" s="303"/>
      <c r="B1003" s="304"/>
      <c r="C1003" s="305"/>
      <c r="D1003" s="306" t="s">
        <v>463</v>
      </c>
      <c r="E1003" s="307"/>
      <c r="F1003" s="307"/>
      <c r="G1003" s="308"/>
      <c r="H1003" s="308"/>
      <c r="I1003" s="308"/>
      <c r="J1003" s="309"/>
    </row>
    <row r="1004" spans="1:10" x14ac:dyDescent="0.25">
      <c r="A1004" s="303"/>
      <c r="B1004" s="310" t="s">
        <v>464</v>
      </c>
      <c r="C1004" s="311" t="s">
        <v>134</v>
      </c>
      <c r="D1004" s="312"/>
      <c r="E1004" s="313"/>
      <c r="F1004" s="313"/>
      <c r="G1004" s="313"/>
      <c r="H1004" s="314"/>
      <c r="I1004" s="313"/>
      <c r="J1004" s="315" t="s">
        <v>465</v>
      </c>
    </row>
    <row r="1005" spans="1:10" x14ac:dyDescent="0.25">
      <c r="A1005" s="303"/>
      <c r="B1005" s="316">
        <v>5213421</v>
      </c>
      <c r="C1005" s="317" t="s">
        <v>920</v>
      </c>
      <c r="D1005" s="318"/>
      <c r="E1005" s="319"/>
      <c r="F1005" s="319"/>
      <c r="G1005" s="319"/>
      <c r="H1005" s="320"/>
      <c r="I1005" s="319"/>
      <c r="J1005" s="321" t="s">
        <v>368</v>
      </c>
    </row>
    <row r="1006" spans="1:10" x14ac:dyDescent="0.25">
      <c r="A1006" s="303"/>
      <c r="B1006" s="310"/>
      <c r="C1006" s="311"/>
      <c r="D1006" s="312"/>
      <c r="E1006" s="314"/>
      <c r="F1006" s="314" t="s">
        <v>466</v>
      </c>
      <c r="G1006" s="314"/>
      <c r="H1006" s="314" t="s">
        <v>467</v>
      </c>
      <c r="I1006" s="314"/>
      <c r="J1006" s="322" t="s">
        <v>468</v>
      </c>
    </row>
    <row r="1007" spans="1:10" x14ac:dyDescent="0.25">
      <c r="A1007" s="303"/>
      <c r="B1007" s="316" t="s">
        <v>464</v>
      </c>
      <c r="C1007" s="317" t="s">
        <v>469</v>
      </c>
      <c r="D1007" s="318"/>
      <c r="E1007" s="323" t="s">
        <v>355</v>
      </c>
      <c r="F1007" s="324" t="s">
        <v>470</v>
      </c>
      <c r="G1007" s="324" t="s">
        <v>471</v>
      </c>
      <c r="H1007" s="324" t="s">
        <v>472</v>
      </c>
      <c r="I1007" s="325" t="s">
        <v>473</v>
      </c>
      <c r="J1007" s="326" t="s">
        <v>474</v>
      </c>
    </row>
    <row r="1008" spans="1:10" x14ac:dyDescent="0.25">
      <c r="A1008" s="303"/>
      <c r="B1008" s="327" t="s">
        <v>673</v>
      </c>
      <c r="C1008" s="311" t="s">
        <v>674</v>
      </c>
      <c r="D1008" s="312"/>
      <c r="E1008" s="328">
        <v>0.48193000000000003</v>
      </c>
      <c r="F1008" s="328">
        <v>1</v>
      </c>
      <c r="G1008" s="328">
        <v>0</v>
      </c>
      <c r="H1008" s="329">
        <v>13.1327</v>
      </c>
      <c r="I1008" s="329">
        <v>2.9087000000000001</v>
      </c>
      <c r="J1008" s="315">
        <v>6.3289999999999997</v>
      </c>
    </row>
    <row r="1009" spans="1:10" x14ac:dyDescent="0.25">
      <c r="A1009" s="303"/>
      <c r="B1009" s="330" t="s">
        <v>675</v>
      </c>
      <c r="C1009" s="317" t="s">
        <v>921</v>
      </c>
      <c r="D1009" s="318"/>
      <c r="E1009" s="331">
        <v>0.48193000000000003</v>
      </c>
      <c r="F1009" s="331">
        <v>1</v>
      </c>
      <c r="G1009" s="331">
        <v>0</v>
      </c>
      <c r="H1009" s="332">
        <v>9.8922000000000008</v>
      </c>
      <c r="I1009" s="332">
        <v>6.2022000000000004</v>
      </c>
      <c r="J1009" s="321">
        <v>4.7672999999999996</v>
      </c>
    </row>
    <row r="1010" spans="1:10" x14ac:dyDescent="0.25">
      <c r="A1010" s="303"/>
      <c r="B1010" s="330" t="s">
        <v>676</v>
      </c>
      <c r="C1010" s="317" t="s">
        <v>922</v>
      </c>
      <c r="D1010" s="318"/>
      <c r="E1010" s="331">
        <v>0.15060000000000001</v>
      </c>
      <c r="F1010" s="331">
        <v>1</v>
      </c>
      <c r="G1010" s="331">
        <v>0</v>
      </c>
      <c r="H1010" s="332">
        <v>0.18540000000000001</v>
      </c>
      <c r="I1010" s="332">
        <v>0.122</v>
      </c>
      <c r="J1010" s="321">
        <v>2.7900000000000001E-2</v>
      </c>
    </row>
    <row r="1011" spans="1:10" x14ac:dyDescent="0.25">
      <c r="A1011" s="303"/>
      <c r="B1011" s="330" t="s">
        <v>677</v>
      </c>
      <c r="C1011" s="317" t="s">
        <v>923</v>
      </c>
      <c r="D1011" s="318"/>
      <c r="E1011" s="331">
        <v>0.48193000000000003</v>
      </c>
      <c r="F1011" s="331">
        <v>1</v>
      </c>
      <c r="G1011" s="331">
        <v>0</v>
      </c>
      <c r="H1011" s="332">
        <v>5.4790000000000001</v>
      </c>
      <c r="I1011" s="332">
        <v>3.4460000000000002</v>
      </c>
      <c r="J1011" s="321">
        <v>2.6404999999999998</v>
      </c>
    </row>
    <row r="1012" spans="1:10" x14ac:dyDescent="0.25">
      <c r="A1012" s="303"/>
      <c r="B1012" s="330" t="s">
        <v>678</v>
      </c>
      <c r="C1012" s="317" t="s">
        <v>924</v>
      </c>
      <c r="D1012" s="318"/>
      <c r="E1012" s="331">
        <v>0.20080000000000001</v>
      </c>
      <c r="F1012" s="331">
        <v>1</v>
      </c>
      <c r="G1012" s="331">
        <v>0</v>
      </c>
      <c r="H1012" s="332">
        <v>14.480499999999999</v>
      </c>
      <c r="I1012" s="332">
        <v>9.1074000000000002</v>
      </c>
      <c r="J1012" s="321">
        <v>2.9077000000000002</v>
      </c>
    </row>
    <row r="1013" spans="1:10" x14ac:dyDescent="0.25">
      <c r="A1013" s="303"/>
      <c r="B1013" s="333" t="s">
        <v>346</v>
      </c>
      <c r="C1013" s="317"/>
      <c r="D1013" s="318"/>
      <c r="E1013" s="331"/>
      <c r="F1013" s="331"/>
      <c r="G1013" s="331"/>
      <c r="H1013" s="332"/>
      <c r="I1013" s="332"/>
      <c r="J1013" s="321"/>
    </row>
    <row r="1014" spans="1:10" x14ac:dyDescent="0.25">
      <c r="A1014" s="303"/>
      <c r="B1014" s="333" t="s">
        <v>346</v>
      </c>
      <c r="C1014" s="317"/>
      <c r="D1014" s="318"/>
      <c r="E1014" s="331"/>
      <c r="F1014" s="331"/>
      <c r="G1014" s="331"/>
      <c r="H1014" s="332"/>
      <c r="I1014" s="332"/>
      <c r="J1014" s="321"/>
    </row>
    <row r="1015" spans="1:10" x14ac:dyDescent="0.25">
      <c r="A1015" s="303"/>
      <c r="B1015" s="310"/>
      <c r="C1015" s="334"/>
      <c r="D1015" s="312"/>
      <c r="E1015" s="313"/>
      <c r="F1015" s="313"/>
      <c r="G1015" s="313"/>
      <c r="H1015" s="313"/>
      <c r="I1015" s="335" t="s">
        <v>479</v>
      </c>
      <c r="J1015" s="315">
        <v>16.6724</v>
      </c>
    </row>
    <row r="1016" spans="1:10" x14ac:dyDescent="0.25">
      <c r="A1016" s="303"/>
      <c r="B1016" s="310" t="s">
        <v>464</v>
      </c>
      <c r="C1016" s="311" t="s">
        <v>480</v>
      </c>
      <c r="D1016" s="312"/>
      <c r="E1016" s="313"/>
      <c r="F1016" s="313"/>
      <c r="G1016" s="313"/>
      <c r="H1016" s="324" t="s">
        <v>355</v>
      </c>
      <c r="I1016" s="336" t="s">
        <v>481</v>
      </c>
      <c r="J1016" s="322" t="s">
        <v>331</v>
      </c>
    </row>
    <row r="1017" spans="1:10" x14ac:dyDescent="0.25">
      <c r="A1017" s="303"/>
      <c r="B1017" s="337" t="s">
        <v>679</v>
      </c>
      <c r="C1017" s="311" t="s">
        <v>680</v>
      </c>
      <c r="D1017" s="312"/>
      <c r="E1017" s="313"/>
      <c r="F1017" s="313"/>
      <c r="G1017" s="313"/>
      <c r="H1017" s="314">
        <v>2</v>
      </c>
      <c r="I1017" s="329">
        <v>18.301200000000001</v>
      </c>
      <c r="J1017" s="315">
        <v>36.602400000000003</v>
      </c>
    </row>
    <row r="1018" spans="1:10" x14ac:dyDescent="0.25">
      <c r="A1018" s="303"/>
      <c r="B1018" s="333" t="s">
        <v>681</v>
      </c>
      <c r="C1018" s="317" t="s">
        <v>682</v>
      </c>
      <c r="D1018" s="318"/>
      <c r="E1018" s="319"/>
      <c r="F1018" s="319"/>
      <c r="G1018" s="319"/>
      <c r="H1018" s="320">
        <v>1</v>
      </c>
      <c r="I1018" s="332">
        <v>24.008600000000001</v>
      </c>
      <c r="J1018" s="321">
        <v>24.008600000000001</v>
      </c>
    </row>
    <row r="1019" spans="1:10" x14ac:dyDescent="0.25">
      <c r="A1019" s="303"/>
      <c r="B1019" s="333" t="s">
        <v>482</v>
      </c>
      <c r="C1019" s="317" t="s">
        <v>483</v>
      </c>
      <c r="D1019" s="318"/>
      <c r="E1019" s="319"/>
      <c r="F1019" s="319"/>
      <c r="G1019" s="319"/>
      <c r="H1019" s="320">
        <v>2</v>
      </c>
      <c r="I1019" s="332">
        <v>17.768000000000001</v>
      </c>
      <c r="J1019" s="321">
        <v>35.536000000000001</v>
      </c>
    </row>
    <row r="1020" spans="1:10" x14ac:dyDescent="0.25">
      <c r="A1020" s="303"/>
      <c r="B1020" s="333" t="s">
        <v>661</v>
      </c>
      <c r="C1020" s="317" t="s">
        <v>662</v>
      </c>
      <c r="D1020" s="318"/>
      <c r="E1020" s="319"/>
      <c r="F1020" s="319"/>
      <c r="G1020" s="319"/>
      <c r="H1020" s="320">
        <v>1</v>
      </c>
      <c r="I1020" s="332">
        <v>24.440999999999999</v>
      </c>
      <c r="J1020" s="321">
        <v>24.440999999999999</v>
      </c>
    </row>
    <row r="1021" spans="1:10" x14ac:dyDescent="0.25">
      <c r="A1021" s="303"/>
      <c r="B1021" s="333" t="s">
        <v>346</v>
      </c>
      <c r="C1021" s="317"/>
      <c r="D1021" s="318"/>
      <c r="E1021" s="319"/>
      <c r="F1021" s="319"/>
      <c r="G1021" s="319"/>
      <c r="H1021" s="320"/>
      <c r="I1021" s="332"/>
      <c r="J1021" s="321"/>
    </row>
    <row r="1022" spans="1:10" x14ac:dyDescent="0.25">
      <c r="A1022" s="303"/>
      <c r="B1022" s="333" t="s">
        <v>346</v>
      </c>
      <c r="C1022" s="317"/>
      <c r="D1022" s="318"/>
      <c r="E1022" s="319"/>
      <c r="F1022" s="319"/>
      <c r="G1022" s="319"/>
      <c r="H1022" s="320"/>
      <c r="I1022" s="332"/>
      <c r="J1022" s="321"/>
    </row>
    <row r="1023" spans="1:10" x14ac:dyDescent="0.25">
      <c r="A1023" s="303"/>
      <c r="B1023" s="333" t="s">
        <v>346</v>
      </c>
      <c r="C1023" s="317"/>
      <c r="D1023" s="318"/>
      <c r="E1023" s="319"/>
      <c r="F1023" s="319"/>
      <c r="G1023" s="319"/>
      <c r="H1023" s="320"/>
      <c r="I1023" s="332"/>
      <c r="J1023" s="321"/>
    </row>
    <row r="1024" spans="1:10" x14ac:dyDescent="0.25">
      <c r="A1024" s="303"/>
      <c r="B1024" s="310"/>
      <c r="C1024" s="334"/>
      <c r="D1024" s="312"/>
      <c r="E1024" s="313"/>
      <c r="F1024" s="313"/>
      <c r="G1024" s="313"/>
      <c r="H1024" s="313"/>
      <c r="I1024" s="338" t="s">
        <v>484</v>
      </c>
      <c r="J1024" s="315">
        <v>120.58800000000001</v>
      </c>
    </row>
    <row r="1025" spans="1:10" x14ac:dyDescent="0.25">
      <c r="A1025" s="303"/>
      <c r="B1025" s="339"/>
      <c r="C1025" s="334"/>
      <c r="D1025" s="312"/>
      <c r="E1025" s="313"/>
      <c r="F1025" s="313"/>
      <c r="G1025" s="313"/>
      <c r="H1025" s="313"/>
      <c r="I1025" s="338" t="s">
        <v>485</v>
      </c>
      <c r="J1025" s="340">
        <v>137.2604</v>
      </c>
    </row>
    <row r="1026" spans="1:10" x14ac:dyDescent="0.25">
      <c r="A1026" s="303"/>
      <c r="B1026" s="339"/>
      <c r="C1026" s="341" t="s">
        <v>486</v>
      </c>
      <c r="D1026" s="312">
        <v>4</v>
      </c>
      <c r="E1026" s="313"/>
      <c r="F1026" s="313"/>
      <c r="G1026" s="313"/>
      <c r="H1026" s="313"/>
      <c r="I1026" s="338" t="s">
        <v>487</v>
      </c>
      <c r="J1026" s="340">
        <v>34.315100000000001</v>
      </c>
    </row>
    <row r="1027" spans="1:10" x14ac:dyDescent="0.25">
      <c r="A1027" s="303"/>
      <c r="B1027" s="310"/>
      <c r="C1027" s="334"/>
      <c r="D1027" s="312"/>
      <c r="E1027" s="313"/>
      <c r="F1027" s="313"/>
      <c r="G1027" s="313"/>
      <c r="H1027" s="338" t="s">
        <v>488</v>
      </c>
      <c r="I1027" s="342">
        <v>0</v>
      </c>
      <c r="J1027" s="315">
        <v>0</v>
      </c>
    </row>
    <row r="1028" spans="1:10" x14ac:dyDescent="0.25">
      <c r="A1028" s="303"/>
      <c r="B1028" s="310"/>
      <c r="C1028" s="334"/>
      <c r="D1028" s="312"/>
      <c r="E1028" s="313"/>
      <c r="F1028" s="313"/>
      <c r="G1028" s="313"/>
      <c r="H1028" s="335" t="s">
        <v>489</v>
      </c>
      <c r="I1028" s="343">
        <v>0</v>
      </c>
      <c r="J1028" s="315">
        <v>0</v>
      </c>
    </row>
    <row r="1029" spans="1:10" x14ac:dyDescent="0.25">
      <c r="A1029" s="303"/>
      <c r="B1029" s="310" t="s">
        <v>464</v>
      </c>
      <c r="C1029" s="311" t="s">
        <v>490</v>
      </c>
      <c r="D1029" s="312"/>
      <c r="E1029" s="313"/>
      <c r="F1029" s="313"/>
      <c r="G1029" s="314" t="s">
        <v>465</v>
      </c>
      <c r="H1029" s="336" t="s">
        <v>468</v>
      </c>
      <c r="I1029" s="336" t="s">
        <v>491</v>
      </c>
      <c r="J1029" s="322" t="s">
        <v>492</v>
      </c>
    </row>
    <row r="1030" spans="1:10" x14ac:dyDescent="0.25">
      <c r="A1030" s="303"/>
      <c r="B1030" s="337" t="s">
        <v>683</v>
      </c>
      <c r="C1030" s="311" t="s">
        <v>925</v>
      </c>
      <c r="D1030" s="312"/>
      <c r="E1030" s="313"/>
      <c r="F1030" s="313"/>
      <c r="G1030" s="314" t="s">
        <v>560</v>
      </c>
      <c r="H1030" s="329">
        <v>9.7101000000000006</v>
      </c>
      <c r="I1030" s="329">
        <v>11.775</v>
      </c>
      <c r="J1030" s="315">
        <v>114.3364</v>
      </c>
    </row>
    <row r="1031" spans="1:10" x14ac:dyDescent="0.25">
      <c r="A1031" s="303"/>
      <c r="B1031" s="333" t="s">
        <v>684</v>
      </c>
      <c r="C1031" s="317" t="s">
        <v>685</v>
      </c>
      <c r="D1031" s="318"/>
      <c r="E1031" s="319"/>
      <c r="F1031" s="319"/>
      <c r="G1031" s="320" t="s">
        <v>368</v>
      </c>
      <c r="H1031" s="332">
        <v>114.8274</v>
      </c>
      <c r="I1031" s="332">
        <v>1</v>
      </c>
      <c r="J1031" s="321">
        <v>114.8274</v>
      </c>
    </row>
    <row r="1032" spans="1:10" x14ac:dyDescent="0.25">
      <c r="A1032" s="303"/>
      <c r="B1032" s="333" t="s">
        <v>686</v>
      </c>
      <c r="C1032" s="317" t="s">
        <v>687</v>
      </c>
      <c r="D1032" s="318"/>
      <c r="E1032" s="319"/>
      <c r="F1032" s="319"/>
      <c r="G1032" s="320" t="s">
        <v>368</v>
      </c>
      <c r="H1032" s="332">
        <v>82.101399999999998</v>
      </c>
      <c r="I1032" s="332">
        <v>0.4</v>
      </c>
      <c r="J1032" s="321">
        <v>32.840600000000002</v>
      </c>
    </row>
    <row r="1033" spans="1:10" x14ac:dyDescent="0.25">
      <c r="A1033" s="303"/>
      <c r="B1033" s="333" t="s">
        <v>346</v>
      </c>
      <c r="C1033" s="317"/>
      <c r="D1033" s="318"/>
      <c r="E1033" s="319"/>
      <c r="F1033" s="319"/>
      <c r="G1033" s="320"/>
      <c r="H1033" s="332"/>
      <c r="I1033" s="332"/>
      <c r="J1033" s="321"/>
    </row>
    <row r="1034" spans="1:10" x14ac:dyDescent="0.25">
      <c r="A1034" s="303"/>
      <c r="B1034" s="333" t="s">
        <v>346</v>
      </c>
      <c r="C1034" s="317"/>
      <c r="D1034" s="318"/>
      <c r="E1034" s="319"/>
      <c r="F1034" s="319"/>
      <c r="G1034" s="320"/>
      <c r="H1034" s="332"/>
      <c r="I1034" s="332"/>
      <c r="J1034" s="321"/>
    </row>
    <row r="1035" spans="1:10" x14ac:dyDescent="0.25">
      <c r="A1035" s="303"/>
      <c r="B1035" s="333" t="s">
        <v>346</v>
      </c>
      <c r="C1035" s="317"/>
      <c r="D1035" s="318"/>
      <c r="E1035" s="319"/>
      <c r="F1035" s="319"/>
      <c r="G1035" s="320"/>
      <c r="H1035" s="332"/>
      <c r="I1035" s="332"/>
      <c r="J1035" s="321"/>
    </row>
    <row r="1036" spans="1:10" x14ac:dyDescent="0.25">
      <c r="A1036" s="303"/>
      <c r="B1036" s="333" t="s">
        <v>346</v>
      </c>
      <c r="C1036" s="317"/>
      <c r="D1036" s="318"/>
      <c r="E1036" s="319"/>
      <c r="F1036" s="319"/>
      <c r="G1036" s="320"/>
      <c r="H1036" s="332"/>
      <c r="I1036" s="332"/>
      <c r="J1036" s="321"/>
    </row>
    <row r="1037" spans="1:10" x14ac:dyDescent="0.25">
      <c r="A1037" s="303"/>
      <c r="B1037" s="310"/>
      <c r="C1037" s="334"/>
      <c r="D1037" s="312"/>
      <c r="E1037" s="313"/>
      <c r="F1037" s="313"/>
      <c r="G1037" s="313"/>
      <c r="H1037" s="343"/>
      <c r="I1037" s="335" t="s">
        <v>498</v>
      </c>
      <c r="J1037" s="315">
        <v>262.00439999999998</v>
      </c>
    </row>
    <row r="1038" spans="1:10" x14ac:dyDescent="0.25">
      <c r="A1038" s="303"/>
      <c r="B1038" s="310" t="s">
        <v>464</v>
      </c>
      <c r="C1038" s="311" t="s">
        <v>499</v>
      </c>
      <c r="D1038" s="312"/>
      <c r="E1038" s="313"/>
      <c r="F1038" s="313"/>
      <c r="G1038" s="314" t="s">
        <v>465</v>
      </c>
      <c r="H1038" s="336" t="s">
        <v>468</v>
      </c>
      <c r="I1038" s="336" t="s">
        <v>491</v>
      </c>
      <c r="J1038" s="322" t="s">
        <v>492</v>
      </c>
    </row>
    <row r="1039" spans="1:10" x14ac:dyDescent="0.25">
      <c r="A1039" s="303"/>
      <c r="B1039" s="337">
        <v>5212552</v>
      </c>
      <c r="C1039" s="311" t="s">
        <v>926</v>
      </c>
      <c r="D1039" s="312"/>
      <c r="E1039" s="313"/>
      <c r="F1039" s="313"/>
      <c r="G1039" s="314" t="s">
        <v>368</v>
      </c>
      <c r="H1039" s="329">
        <v>12.31</v>
      </c>
      <c r="I1039" s="329">
        <v>1</v>
      </c>
      <c r="J1039" s="315">
        <v>12.31</v>
      </c>
    </row>
    <row r="1040" spans="1:10" x14ac:dyDescent="0.25">
      <c r="A1040" s="303"/>
      <c r="B1040" s="333"/>
      <c r="C1040" s="317"/>
      <c r="D1040" s="318"/>
      <c r="E1040" s="319"/>
      <c r="F1040" s="319"/>
      <c r="G1040" s="320"/>
      <c r="H1040" s="332"/>
      <c r="I1040" s="332"/>
      <c r="J1040" s="321"/>
    </row>
    <row r="1041" spans="1:10" x14ac:dyDescent="0.25">
      <c r="A1041" s="303"/>
      <c r="B1041" s="333"/>
      <c r="C1041" s="317"/>
      <c r="D1041" s="318"/>
      <c r="E1041" s="319"/>
      <c r="F1041" s="319"/>
      <c r="G1041" s="320"/>
      <c r="H1041" s="332"/>
      <c r="I1041" s="332"/>
      <c r="J1041" s="321"/>
    </row>
    <row r="1042" spans="1:10" x14ac:dyDescent="0.25">
      <c r="A1042" s="303"/>
      <c r="B1042" s="333"/>
      <c r="C1042" s="317"/>
      <c r="D1042" s="318"/>
      <c r="E1042" s="319"/>
      <c r="F1042" s="319"/>
      <c r="G1042" s="320"/>
      <c r="H1042" s="332"/>
      <c r="I1042" s="332"/>
      <c r="J1042" s="321"/>
    </row>
    <row r="1043" spans="1:10" x14ac:dyDescent="0.25">
      <c r="A1043" s="303"/>
      <c r="B1043" s="333"/>
      <c r="C1043" s="317"/>
      <c r="D1043" s="318"/>
      <c r="E1043" s="319"/>
      <c r="F1043" s="319"/>
      <c r="G1043" s="320"/>
      <c r="H1043" s="332"/>
      <c r="I1043" s="332"/>
      <c r="J1043" s="321"/>
    </row>
    <row r="1044" spans="1:10" x14ac:dyDescent="0.25">
      <c r="A1044" s="303"/>
      <c r="B1044" s="310"/>
      <c r="C1044" s="334"/>
      <c r="D1044" s="312"/>
      <c r="E1044" s="313"/>
      <c r="F1044" s="313"/>
      <c r="G1044" s="313"/>
      <c r="H1044" s="343"/>
      <c r="I1044" s="335" t="s">
        <v>501</v>
      </c>
      <c r="J1044" s="315">
        <v>12.31</v>
      </c>
    </row>
    <row r="1045" spans="1:10" x14ac:dyDescent="0.25">
      <c r="A1045" s="303"/>
      <c r="B1045" s="310" t="s">
        <v>464</v>
      </c>
      <c r="C1045" s="311" t="s">
        <v>502</v>
      </c>
      <c r="D1045" s="312"/>
      <c r="E1045" s="313"/>
      <c r="F1045" s="314" t="s">
        <v>464</v>
      </c>
      <c r="G1045" s="324" t="s">
        <v>503</v>
      </c>
      <c r="H1045" s="329" t="s">
        <v>465</v>
      </c>
      <c r="I1045" s="336" t="s">
        <v>468</v>
      </c>
      <c r="J1045" s="322" t="s">
        <v>492</v>
      </c>
    </row>
    <row r="1046" spans="1:10" x14ac:dyDescent="0.25">
      <c r="A1046" s="303"/>
      <c r="B1046" s="337" t="s">
        <v>688</v>
      </c>
      <c r="C1046" s="311" t="s">
        <v>927</v>
      </c>
      <c r="D1046" s="312"/>
      <c r="E1046" s="313"/>
      <c r="F1046" s="344" t="s">
        <v>689</v>
      </c>
      <c r="G1046" s="314">
        <v>1.1780000000000001E-2</v>
      </c>
      <c r="H1046" s="329" t="s">
        <v>370</v>
      </c>
      <c r="I1046" s="329">
        <v>25.38</v>
      </c>
      <c r="J1046" s="315">
        <v>0.29899999999999999</v>
      </c>
    </row>
    <row r="1047" spans="1:10" x14ac:dyDescent="0.25">
      <c r="A1047" s="303"/>
      <c r="B1047" s="333" t="s">
        <v>928</v>
      </c>
      <c r="C1047" s="317" t="s">
        <v>929</v>
      </c>
      <c r="D1047" s="318"/>
      <c r="E1047" s="319"/>
      <c r="F1047" s="354" t="s">
        <v>632</v>
      </c>
      <c r="G1047" s="320">
        <v>4.4000000000000002E-4</v>
      </c>
      <c r="H1047" s="332" t="s">
        <v>370</v>
      </c>
      <c r="I1047" s="332">
        <v>26.18</v>
      </c>
      <c r="J1047" s="321">
        <v>1.15E-2</v>
      </c>
    </row>
    <row r="1048" spans="1:10" x14ac:dyDescent="0.25">
      <c r="A1048" s="303"/>
      <c r="B1048" s="333" t="s">
        <v>930</v>
      </c>
      <c r="C1048" s="317" t="s">
        <v>931</v>
      </c>
      <c r="D1048" s="318"/>
      <c r="E1048" s="319"/>
      <c r="F1048" s="354" t="s">
        <v>632</v>
      </c>
      <c r="G1048" s="320">
        <v>1.2E-4</v>
      </c>
      <c r="H1048" s="332" t="s">
        <v>370</v>
      </c>
      <c r="I1048" s="332">
        <v>26.18</v>
      </c>
      <c r="J1048" s="321">
        <v>3.0999999999999999E-3</v>
      </c>
    </row>
    <row r="1049" spans="1:10" x14ac:dyDescent="0.25">
      <c r="A1049" s="303"/>
      <c r="B1049" s="333" t="s">
        <v>346</v>
      </c>
      <c r="C1049" s="317"/>
      <c r="D1049" s="318"/>
      <c r="E1049" s="319"/>
      <c r="F1049" s="320"/>
      <c r="G1049" s="320"/>
      <c r="H1049" s="332"/>
      <c r="I1049" s="332"/>
      <c r="J1049" s="321"/>
    </row>
    <row r="1050" spans="1:10" x14ac:dyDescent="0.25">
      <c r="A1050" s="303"/>
      <c r="B1050" s="333" t="s">
        <v>346</v>
      </c>
      <c r="C1050" s="317"/>
      <c r="D1050" s="318"/>
      <c r="E1050" s="319"/>
      <c r="F1050" s="320"/>
      <c r="G1050" s="320"/>
      <c r="H1050" s="332"/>
      <c r="I1050" s="332"/>
      <c r="J1050" s="321"/>
    </row>
    <row r="1051" spans="1:10" x14ac:dyDescent="0.25">
      <c r="A1051" s="303"/>
      <c r="B1051" s="310"/>
      <c r="C1051" s="334"/>
      <c r="D1051" s="312"/>
      <c r="E1051" s="313"/>
      <c r="F1051" s="313"/>
      <c r="G1051" s="313"/>
      <c r="H1051" s="343"/>
      <c r="I1051" s="338" t="s">
        <v>507</v>
      </c>
      <c r="J1051" s="315">
        <v>0.31359999999999999</v>
      </c>
    </row>
    <row r="1052" spans="1:10" x14ac:dyDescent="0.25">
      <c r="A1052" s="303"/>
      <c r="B1052" s="310" t="s">
        <v>464</v>
      </c>
      <c r="C1052" s="311" t="s">
        <v>508</v>
      </c>
      <c r="D1052" s="345" t="s">
        <v>509</v>
      </c>
      <c r="E1052" s="324" t="s">
        <v>873</v>
      </c>
      <c r="F1052" s="324" t="s">
        <v>874</v>
      </c>
      <c r="G1052" s="324" t="s">
        <v>875</v>
      </c>
      <c r="H1052" s="336" t="s">
        <v>468</v>
      </c>
      <c r="I1052" s="324" t="s">
        <v>491</v>
      </c>
      <c r="J1052" s="322" t="s">
        <v>492</v>
      </c>
    </row>
    <row r="1053" spans="1:10" x14ac:dyDescent="0.25">
      <c r="A1053" s="303"/>
      <c r="B1053" s="337" t="s">
        <v>690</v>
      </c>
      <c r="C1053" s="311" t="s">
        <v>932</v>
      </c>
      <c r="D1053" s="345" t="s">
        <v>510</v>
      </c>
      <c r="E1053" s="314">
        <v>0</v>
      </c>
      <c r="F1053" s="314">
        <v>0</v>
      </c>
      <c r="G1053" s="314">
        <v>100.45</v>
      </c>
      <c r="H1053" s="329">
        <v>0.55000000000000004</v>
      </c>
      <c r="I1053" s="314">
        <v>1.1780000000000001E-2</v>
      </c>
      <c r="J1053" s="315">
        <v>0.65080000000000005</v>
      </c>
    </row>
    <row r="1054" spans="1:10" x14ac:dyDescent="0.25">
      <c r="A1054" s="303"/>
      <c r="B1054" s="333" t="s">
        <v>691</v>
      </c>
      <c r="C1054" s="317" t="s">
        <v>933</v>
      </c>
      <c r="D1054" s="346" t="s">
        <v>510</v>
      </c>
      <c r="E1054" s="320">
        <v>0</v>
      </c>
      <c r="F1054" s="320">
        <v>0</v>
      </c>
      <c r="G1054" s="320">
        <v>100.45</v>
      </c>
      <c r="H1054" s="332">
        <v>0.55000000000000004</v>
      </c>
      <c r="I1054" s="320">
        <v>4.4000000000000002E-4</v>
      </c>
      <c r="J1054" s="321">
        <v>2.4299999999999999E-2</v>
      </c>
    </row>
    <row r="1055" spans="1:10" x14ac:dyDescent="0.25">
      <c r="A1055" s="303"/>
      <c r="B1055" s="333" t="s">
        <v>692</v>
      </c>
      <c r="C1055" s="317" t="s">
        <v>934</v>
      </c>
      <c r="D1055" s="346" t="s">
        <v>510</v>
      </c>
      <c r="E1055" s="320">
        <v>0</v>
      </c>
      <c r="F1055" s="320">
        <v>0</v>
      </c>
      <c r="G1055" s="320">
        <v>100.45</v>
      </c>
      <c r="H1055" s="332">
        <v>0.55000000000000004</v>
      </c>
      <c r="I1055" s="320">
        <v>1.2E-4</v>
      </c>
      <c r="J1055" s="321">
        <v>6.6E-3</v>
      </c>
    </row>
    <row r="1056" spans="1:10" x14ac:dyDescent="0.25">
      <c r="A1056" s="303"/>
      <c r="B1056" s="333" t="s">
        <v>346</v>
      </c>
      <c r="C1056" s="317"/>
      <c r="D1056" s="346"/>
      <c r="E1056" s="320"/>
      <c r="F1056" s="320"/>
      <c r="G1056" s="320"/>
      <c r="H1056" s="332"/>
      <c r="I1056" s="320"/>
      <c r="J1056" s="321"/>
    </row>
    <row r="1057" spans="1:10" x14ac:dyDescent="0.25">
      <c r="A1057" s="303"/>
      <c r="B1057" s="333" t="s">
        <v>346</v>
      </c>
      <c r="C1057" s="317"/>
      <c r="D1057" s="346"/>
      <c r="E1057" s="320"/>
      <c r="F1057" s="320"/>
      <c r="G1057" s="320"/>
      <c r="H1057" s="332"/>
      <c r="I1057" s="320"/>
      <c r="J1057" s="321"/>
    </row>
    <row r="1058" spans="1:10" x14ac:dyDescent="0.25">
      <c r="A1058" s="303"/>
      <c r="B1058" s="333" t="s">
        <v>346</v>
      </c>
      <c r="C1058" s="317"/>
      <c r="D1058" s="346"/>
      <c r="E1058" s="320"/>
      <c r="F1058" s="320"/>
      <c r="G1058" s="320"/>
      <c r="H1058" s="332"/>
      <c r="I1058" s="320"/>
      <c r="J1058" s="321"/>
    </row>
    <row r="1059" spans="1:10" x14ac:dyDescent="0.25">
      <c r="A1059" s="303"/>
      <c r="B1059" s="333" t="s">
        <v>346</v>
      </c>
      <c r="C1059" s="317"/>
      <c r="D1059" s="346"/>
      <c r="E1059" s="320"/>
      <c r="F1059" s="320"/>
      <c r="G1059" s="320"/>
      <c r="H1059" s="332"/>
      <c r="I1059" s="320"/>
      <c r="J1059" s="321"/>
    </row>
    <row r="1060" spans="1:10" x14ac:dyDescent="0.25">
      <c r="A1060" s="303"/>
      <c r="B1060" s="310"/>
      <c r="C1060" s="334"/>
      <c r="D1060" s="312"/>
      <c r="E1060" s="313"/>
      <c r="F1060" s="313"/>
      <c r="G1060" s="313"/>
      <c r="H1060" s="313"/>
      <c r="I1060" s="338" t="s">
        <v>513</v>
      </c>
      <c r="J1060" s="315">
        <v>0.68170000000000008</v>
      </c>
    </row>
    <row r="1061" spans="1:10" x14ac:dyDescent="0.25">
      <c r="A1061" s="303"/>
      <c r="B1061" s="310" t="s">
        <v>514</v>
      </c>
      <c r="C1061" s="334"/>
      <c r="D1061" s="312"/>
      <c r="E1061" s="313"/>
      <c r="F1061" s="313"/>
      <c r="G1061" s="313"/>
      <c r="H1061" s="313"/>
      <c r="I1061" s="313"/>
      <c r="J1061" s="315">
        <v>309.62479999999999</v>
      </c>
    </row>
    <row r="1062" spans="1:10" x14ac:dyDescent="0.25">
      <c r="A1062" s="303"/>
      <c r="B1062" s="310" t="s">
        <v>515</v>
      </c>
      <c r="C1062" s="334"/>
      <c r="D1062" s="312">
        <v>0</v>
      </c>
      <c r="E1062" s="313"/>
      <c r="F1062" s="313"/>
      <c r="G1062" s="313"/>
      <c r="H1062" s="313"/>
      <c r="I1062" s="313"/>
      <c r="J1062" s="315">
        <v>0</v>
      </c>
    </row>
    <row r="1063" spans="1:10" ht="14.4" thickBot="1" x14ac:dyDescent="0.3">
      <c r="A1063" s="303"/>
      <c r="B1063" s="310" t="s">
        <v>516</v>
      </c>
      <c r="C1063" s="334"/>
      <c r="D1063" s="312"/>
      <c r="E1063" s="313"/>
      <c r="F1063" s="313"/>
      <c r="G1063" s="313"/>
      <c r="H1063" s="313"/>
      <c r="I1063" s="313"/>
      <c r="J1063" s="347">
        <v>309.62</v>
      </c>
    </row>
    <row r="1064" spans="1:10" x14ac:dyDescent="0.25">
      <c r="A1064" s="303"/>
      <c r="B1064" s="304"/>
      <c r="C1064" s="305"/>
      <c r="D1064" s="348"/>
      <c r="E1064" s="308"/>
      <c r="F1064" s="308"/>
      <c r="G1064" s="308"/>
      <c r="H1064" s="308"/>
      <c r="I1064" s="308"/>
      <c r="J1064" s="309"/>
    </row>
    <row r="1065" spans="1:10" x14ac:dyDescent="0.25">
      <c r="A1065" s="303"/>
      <c r="B1065" s="316"/>
      <c r="C1065" s="303"/>
      <c r="D1065" s="318"/>
      <c r="E1065" s="319"/>
      <c r="F1065" s="319"/>
      <c r="G1065" s="319"/>
      <c r="H1065" s="319"/>
      <c r="I1065" s="319"/>
      <c r="J1065" s="349"/>
    </row>
    <row r="1066" spans="1:10" x14ac:dyDescent="0.25">
      <c r="A1066" s="303"/>
      <c r="B1066" s="316"/>
      <c r="C1066" s="303"/>
      <c r="D1066" s="318"/>
      <c r="E1066" s="319"/>
      <c r="F1066" s="319"/>
      <c r="G1066" s="319"/>
      <c r="H1066" s="319"/>
      <c r="I1066" s="319"/>
      <c r="J1066" s="349"/>
    </row>
    <row r="1067" spans="1:10" ht="14.4" thickBot="1" x14ac:dyDescent="0.3">
      <c r="A1067" s="303"/>
      <c r="B1067" s="350"/>
      <c r="C1067" s="303"/>
      <c r="D1067" s="318"/>
      <c r="E1067" s="319"/>
      <c r="F1067" s="319"/>
      <c r="G1067" s="319"/>
      <c r="H1067" s="319"/>
      <c r="I1067" s="319"/>
      <c r="J1067" s="351"/>
    </row>
    <row r="1068" spans="1:10" x14ac:dyDescent="0.25">
      <c r="A1068" s="303"/>
      <c r="B1068" s="305"/>
      <c r="C1068" s="305"/>
      <c r="D1068" s="348"/>
      <c r="E1068" s="308"/>
      <c r="F1068" s="308"/>
      <c r="G1068" s="308"/>
      <c r="H1068" s="308"/>
      <c r="I1068" s="308"/>
      <c r="J1068" s="352"/>
    </row>
    <row r="1069" spans="1:10" ht="14.4" thickBot="1" x14ac:dyDescent="0.3">
      <c r="A1069" s="303"/>
      <c r="B1069" s="303"/>
      <c r="C1069" s="303"/>
      <c r="D1069" s="318"/>
      <c r="E1069" s="319"/>
      <c r="F1069" s="319"/>
      <c r="G1069" s="319"/>
      <c r="H1069" s="319"/>
      <c r="I1069" s="319"/>
      <c r="J1069" s="353"/>
    </row>
    <row r="1070" spans="1:10" x14ac:dyDescent="0.25">
      <c r="A1070" s="303"/>
      <c r="B1070" s="304"/>
      <c r="C1070" s="305"/>
      <c r="D1070" s="306" t="s">
        <v>463</v>
      </c>
      <c r="E1070" s="307"/>
      <c r="F1070" s="307"/>
      <c r="G1070" s="308"/>
      <c r="H1070" s="308"/>
      <c r="I1070" s="308"/>
      <c r="J1070" s="309"/>
    </row>
    <row r="1071" spans="1:10" x14ac:dyDescent="0.25">
      <c r="A1071" s="303"/>
      <c r="B1071" s="310" t="s">
        <v>464</v>
      </c>
      <c r="C1071" s="311" t="s">
        <v>134</v>
      </c>
      <c r="D1071" s="312"/>
      <c r="E1071" s="313"/>
      <c r="F1071" s="313"/>
      <c r="G1071" s="313"/>
      <c r="H1071" s="314"/>
      <c r="I1071" s="313"/>
      <c r="J1071" s="315" t="s">
        <v>465</v>
      </c>
    </row>
    <row r="1072" spans="1:10" x14ac:dyDescent="0.25">
      <c r="A1072" s="303"/>
      <c r="B1072" s="316">
        <v>5212552</v>
      </c>
      <c r="C1072" s="317" t="s">
        <v>935</v>
      </c>
      <c r="D1072" s="318"/>
      <c r="E1072" s="319"/>
      <c r="F1072" s="319"/>
      <c r="G1072" s="319"/>
      <c r="H1072" s="320"/>
      <c r="I1072" s="319"/>
      <c r="J1072" s="321" t="s">
        <v>368</v>
      </c>
    </row>
    <row r="1073" spans="1:10" x14ac:dyDescent="0.25">
      <c r="A1073" s="303"/>
      <c r="B1073" s="310"/>
      <c r="C1073" s="311"/>
      <c r="D1073" s="312"/>
      <c r="E1073" s="314"/>
      <c r="F1073" s="314" t="s">
        <v>466</v>
      </c>
      <c r="G1073" s="314"/>
      <c r="H1073" s="314" t="s">
        <v>467</v>
      </c>
      <c r="I1073" s="314"/>
      <c r="J1073" s="322" t="s">
        <v>468</v>
      </c>
    </row>
    <row r="1074" spans="1:10" x14ac:dyDescent="0.25">
      <c r="A1074" s="303"/>
      <c r="B1074" s="316" t="s">
        <v>464</v>
      </c>
      <c r="C1074" s="317" t="s">
        <v>469</v>
      </c>
      <c r="D1074" s="318"/>
      <c r="E1074" s="323" t="s">
        <v>355</v>
      </c>
      <c r="F1074" s="324" t="s">
        <v>470</v>
      </c>
      <c r="G1074" s="324" t="s">
        <v>471</v>
      </c>
      <c r="H1074" s="324" t="s">
        <v>472</v>
      </c>
      <c r="I1074" s="325" t="s">
        <v>473</v>
      </c>
      <c r="J1074" s="326" t="s">
        <v>474</v>
      </c>
    </row>
    <row r="1075" spans="1:10" x14ac:dyDescent="0.25">
      <c r="A1075" s="303"/>
      <c r="B1075" s="327" t="s">
        <v>673</v>
      </c>
      <c r="C1075" s="311" t="s">
        <v>674</v>
      </c>
      <c r="D1075" s="312"/>
      <c r="E1075" s="328">
        <v>1</v>
      </c>
      <c r="F1075" s="328">
        <v>1</v>
      </c>
      <c r="G1075" s="328">
        <v>0</v>
      </c>
      <c r="H1075" s="329">
        <v>13.1327</v>
      </c>
      <c r="I1075" s="329">
        <v>2.9087000000000001</v>
      </c>
      <c r="J1075" s="315">
        <v>13.1327</v>
      </c>
    </row>
    <row r="1076" spans="1:10" x14ac:dyDescent="0.25">
      <c r="A1076" s="303"/>
      <c r="B1076" s="330" t="s">
        <v>693</v>
      </c>
      <c r="C1076" s="317" t="s">
        <v>936</v>
      </c>
      <c r="D1076" s="318"/>
      <c r="E1076" s="331">
        <v>1</v>
      </c>
      <c r="F1076" s="331">
        <v>1</v>
      </c>
      <c r="G1076" s="331">
        <v>0</v>
      </c>
      <c r="H1076" s="332">
        <v>36.737299999999998</v>
      </c>
      <c r="I1076" s="332">
        <v>31.699300000000001</v>
      </c>
      <c r="J1076" s="321">
        <v>36.737299999999998</v>
      </c>
    </row>
    <row r="1077" spans="1:10" x14ac:dyDescent="0.25">
      <c r="A1077" s="303"/>
      <c r="B1077" s="333" t="s">
        <v>346</v>
      </c>
      <c r="C1077" s="317"/>
      <c r="D1077" s="318"/>
      <c r="E1077" s="331"/>
      <c r="F1077" s="331"/>
      <c r="G1077" s="331"/>
      <c r="H1077" s="332"/>
      <c r="I1077" s="332"/>
      <c r="J1077" s="321"/>
    </row>
    <row r="1078" spans="1:10" x14ac:dyDescent="0.25">
      <c r="A1078" s="303"/>
      <c r="B1078" s="333" t="s">
        <v>346</v>
      </c>
      <c r="C1078" s="317"/>
      <c r="D1078" s="318"/>
      <c r="E1078" s="331"/>
      <c r="F1078" s="331"/>
      <c r="G1078" s="331"/>
      <c r="H1078" s="332"/>
      <c r="I1078" s="332"/>
      <c r="J1078" s="321"/>
    </row>
    <row r="1079" spans="1:10" x14ac:dyDescent="0.25">
      <c r="A1079" s="303"/>
      <c r="B1079" s="333" t="s">
        <v>346</v>
      </c>
      <c r="C1079" s="317"/>
      <c r="D1079" s="318"/>
      <c r="E1079" s="331"/>
      <c r="F1079" s="331"/>
      <c r="G1079" s="331"/>
      <c r="H1079" s="332"/>
      <c r="I1079" s="332"/>
      <c r="J1079" s="321"/>
    </row>
    <row r="1080" spans="1:10" x14ac:dyDescent="0.25">
      <c r="A1080" s="303"/>
      <c r="B1080" s="333" t="s">
        <v>346</v>
      </c>
      <c r="C1080" s="317"/>
      <c r="D1080" s="318"/>
      <c r="E1080" s="331"/>
      <c r="F1080" s="331"/>
      <c r="G1080" s="331"/>
      <c r="H1080" s="332"/>
      <c r="I1080" s="332"/>
      <c r="J1080" s="321"/>
    </row>
    <row r="1081" spans="1:10" x14ac:dyDescent="0.25">
      <c r="A1081" s="303"/>
      <c r="B1081" s="333" t="s">
        <v>346</v>
      </c>
      <c r="C1081" s="317"/>
      <c r="D1081" s="318"/>
      <c r="E1081" s="331"/>
      <c r="F1081" s="331"/>
      <c r="G1081" s="331"/>
      <c r="H1081" s="332"/>
      <c r="I1081" s="332"/>
      <c r="J1081" s="321"/>
    </row>
    <row r="1082" spans="1:10" x14ac:dyDescent="0.25">
      <c r="A1082" s="303"/>
      <c r="B1082" s="310"/>
      <c r="C1082" s="334"/>
      <c r="D1082" s="312"/>
      <c r="E1082" s="313"/>
      <c r="F1082" s="313"/>
      <c r="G1082" s="313"/>
      <c r="H1082" s="313"/>
      <c r="I1082" s="335" t="s">
        <v>479</v>
      </c>
      <c r="J1082" s="315">
        <v>49.87</v>
      </c>
    </row>
    <row r="1083" spans="1:10" x14ac:dyDescent="0.25">
      <c r="A1083" s="303"/>
      <c r="B1083" s="310" t="s">
        <v>464</v>
      </c>
      <c r="C1083" s="311" t="s">
        <v>480</v>
      </c>
      <c r="D1083" s="312"/>
      <c r="E1083" s="313"/>
      <c r="F1083" s="313"/>
      <c r="G1083" s="313"/>
      <c r="H1083" s="324" t="s">
        <v>355</v>
      </c>
      <c r="I1083" s="336" t="s">
        <v>481</v>
      </c>
      <c r="J1083" s="322" t="s">
        <v>331</v>
      </c>
    </row>
    <row r="1084" spans="1:10" x14ac:dyDescent="0.25">
      <c r="A1084" s="303"/>
      <c r="B1084" s="337" t="s">
        <v>679</v>
      </c>
      <c r="C1084" s="311" t="s">
        <v>680</v>
      </c>
      <c r="D1084" s="312"/>
      <c r="E1084" s="313"/>
      <c r="F1084" s="313"/>
      <c r="G1084" s="313"/>
      <c r="H1084" s="314">
        <v>1</v>
      </c>
      <c r="I1084" s="329">
        <v>18.301200000000001</v>
      </c>
      <c r="J1084" s="315">
        <v>18.301200000000001</v>
      </c>
    </row>
    <row r="1085" spans="1:10" x14ac:dyDescent="0.25">
      <c r="A1085" s="303"/>
      <c r="B1085" s="333" t="s">
        <v>694</v>
      </c>
      <c r="C1085" s="317" t="s">
        <v>695</v>
      </c>
      <c r="D1085" s="318"/>
      <c r="E1085" s="319"/>
      <c r="F1085" s="319"/>
      <c r="G1085" s="319"/>
      <c r="H1085" s="320">
        <v>2</v>
      </c>
      <c r="I1085" s="332">
        <v>24.096599999999999</v>
      </c>
      <c r="J1085" s="321">
        <v>48.193199999999997</v>
      </c>
    </row>
    <row r="1086" spans="1:10" x14ac:dyDescent="0.25">
      <c r="A1086" s="303"/>
      <c r="B1086" s="333" t="s">
        <v>346</v>
      </c>
      <c r="C1086" s="317"/>
      <c r="D1086" s="318"/>
      <c r="E1086" s="319"/>
      <c r="F1086" s="319"/>
      <c r="G1086" s="319"/>
      <c r="H1086" s="320"/>
      <c r="I1086" s="332"/>
      <c r="J1086" s="321"/>
    </row>
    <row r="1087" spans="1:10" x14ac:dyDescent="0.25">
      <c r="A1087" s="303"/>
      <c r="B1087" s="333" t="s">
        <v>346</v>
      </c>
      <c r="C1087" s="317"/>
      <c r="D1087" s="318"/>
      <c r="E1087" s="319"/>
      <c r="F1087" s="319"/>
      <c r="G1087" s="319"/>
      <c r="H1087" s="320"/>
      <c r="I1087" s="332"/>
      <c r="J1087" s="321"/>
    </row>
    <row r="1088" spans="1:10" x14ac:dyDescent="0.25">
      <c r="A1088" s="303"/>
      <c r="B1088" s="333" t="s">
        <v>346</v>
      </c>
      <c r="C1088" s="317"/>
      <c r="D1088" s="318"/>
      <c r="E1088" s="319"/>
      <c r="F1088" s="319"/>
      <c r="G1088" s="319"/>
      <c r="H1088" s="320"/>
      <c r="I1088" s="332"/>
      <c r="J1088" s="321"/>
    </row>
    <row r="1089" spans="1:10" x14ac:dyDescent="0.25">
      <c r="A1089" s="303"/>
      <c r="B1089" s="333" t="s">
        <v>346</v>
      </c>
      <c r="C1089" s="317"/>
      <c r="D1089" s="318"/>
      <c r="E1089" s="319"/>
      <c r="F1089" s="319"/>
      <c r="G1089" s="319"/>
      <c r="H1089" s="320"/>
      <c r="I1089" s="332"/>
      <c r="J1089" s="321"/>
    </row>
    <row r="1090" spans="1:10" x14ac:dyDescent="0.25">
      <c r="A1090" s="303"/>
      <c r="B1090" s="333" t="s">
        <v>346</v>
      </c>
      <c r="C1090" s="317"/>
      <c r="D1090" s="318"/>
      <c r="E1090" s="319"/>
      <c r="F1090" s="319"/>
      <c r="G1090" s="319"/>
      <c r="H1090" s="320"/>
      <c r="I1090" s="332"/>
      <c r="J1090" s="321"/>
    </row>
    <row r="1091" spans="1:10" x14ac:dyDescent="0.25">
      <c r="A1091" s="303"/>
      <c r="B1091" s="310"/>
      <c r="C1091" s="334"/>
      <c r="D1091" s="312"/>
      <c r="E1091" s="313"/>
      <c r="F1091" s="313"/>
      <c r="G1091" s="313"/>
      <c r="H1091" s="313"/>
      <c r="I1091" s="338" t="s">
        <v>484</v>
      </c>
      <c r="J1091" s="315">
        <v>66.494399999999999</v>
      </c>
    </row>
    <row r="1092" spans="1:10" x14ac:dyDescent="0.25">
      <c r="A1092" s="303"/>
      <c r="B1092" s="339"/>
      <c r="C1092" s="334"/>
      <c r="D1092" s="312"/>
      <c r="E1092" s="313"/>
      <c r="F1092" s="313"/>
      <c r="G1092" s="313"/>
      <c r="H1092" s="313"/>
      <c r="I1092" s="338" t="s">
        <v>485</v>
      </c>
      <c r="J1092" s="340">
        <v>116.36439999999999</v>
      </c>
    </row>
    <row r="1093" spans="1:10" x14ac:dyDescent="0.25">
      <c r="A1093" s="303"/>
      <c r="B1093" s="339"/>
      <c r="C1093" s="341" t="s">
        <v>486</v>
      </c>
      <c r="D1093" s="312">
        <v>19.149999999999999</v>
      </c>
      <c r="E1093" s="313"/>
      <c r="F1093" s="313"/>
      <c r="G1093" s="313"/>
      <c r="H1093" s="313"/>
      <c r="I1093" s="338" t="s">
        <v>487</v>
      </c>
      <c r="J1093" s="340">
        <v>6.0765000000000002</v>
      </c>
    </row>
    <row r="1094" spans="1:10" x14ac:dyDescent="0.25">
      <c r="A1094" s="303"/>
      <c r="B1094" s="310"/>
      <c r="C1094" s="334"/>
      <c r="D1094" s="312"/>
      <c r="E1094" s="313"/>
      <c r="F1094" s="313"/>
      <c r="G1094" s="313"/>
      <c r="H1094" s="338" t="s">
        <v>488</v>
      </c>
      <c r="I1094" s="342">
        <v>0</v>
      </c>
      <c r="J1094" s="315">
        <v>0</v>
      </c>
    </row>
    <row r="1095" spans="1:10" x14ac:dyDescent="0.25">
      <c r="A1095" s="303"/>
      <c r="B1095" s="310"/>
      <c r="C1095" s="334"/>
      <c r="D1095" s="312"/>
      <c r="E1095" s="313"/>
      <c r="F1095" s="313"/>
      <c r="G1095" s="313"/>
      <c r="H1095" s="335" t="s">
        <v>489</v>
      </c>
      <c r="I1095" s="343">
        <v>0</v>
      </c>
      <c r="J1095" s="315">
        <v>0</v>
      </c>
    </row>
    <row r="1096" spans="1:10" x14ac:dyDescent="0.25">
      <c r="A1096" s="303"/>
      <c r="B1096" s="310" t="s">
        <v>464</v>
      </c>
      <c r="C1096" s="311" t="s">
        <v>490</v>
      </c>
      <c r="D1096" s="312"/>
      <c r="E1096" s="313"/>
      <c r="F1096" s="313"/>
      <c r="G1096" s="314" t="s">
        <v>465</v>
      </c>
      <c r="H1096" s="336" t="s">
        <v>468</v>
      </c>
      <c r="I1096" s="336" t="s">
        <v>491</v>
      </c>
      <c r="J1096" s="322" t="s">
        <v>492</v>
      </c>
    </row>
    <row r="1097" spans="1:10" x14ac:dyDescent="0.25">
      <c r="A1097" s="303"/>
      <c r="B1097" s="337" t="s">
        <v>696</v>
      </c>
      <c r="C1097" s="311" t="s">
        <v>937</v>
      </c>
      <c r="D1097" s="312"/>
      <c r="E1097" s="313"/>
      <c r="F1097" s="313"/>
      <c r="G1097" s="314" t="s">
        <v>560</v>
      </c>
      <c r="H1097" s="329">
        <v>55.607999999999997</v>
      </c>
      <c r="I1097" s="329">
        <v>0.112</v>
      </c>
      <c r="J1097" s="315">
        <v>6.2281000000000004</v>
      </c>
    </row>
    <row r="1098" spans="1:10" x14ac:dyDescent="0.25">
      <c r="A1098" s="303"/>
      <c r="B1098" s="333" t="s">
        <v>346</v>
      </c>
      <c r="C1098" s="317"/>
      <c r="D1098" s="318"/>
      <c r="E1098" s="319"/>
      <c r="F1098" s="319"/>
      <c r="G1098" s="320"/>
      <c r="H1098" s="332"/>
      <c r="I1098" s="332"/>
      <c r="J1098" s="321"/>
    </row>
    <row r="1099" spans="1:10" x14ac:dyDescent="0.25">
      <c r="A1099" s="303"/>
      <c r="B1099" s="333" t="s">
        <v>346</v>
      </c>
      <c r="C1099" s="317"/>
      <c r="D1099" s="318"/>
      <c r="E1099" s="319"/>
      <c r="F1099" s="319"/>
      <c r="G1099" s="320"/>
      <c r="H1099" s="332"/>
      <c r="I1099" s="332"/>
      <c r="J1099" s="321"/>
    </row>
    <row r="1100" spans="1:10" x14ac:dyDescent="0.25">
      <c r="A1100" s="303"/>
      <c r="B1100" s="333" t="s">
        <v>346</v>
      </c>
      <c r="C1100" s="317"/>
      <c r="D1100" s="318"/>
      <c r="E1100" s="319"/>
      <c r="F1100" s="319"/>
      <c r="G1100" s="320"/>
      <c r="H1100" s="332"/>
      <c r="I1100" s="332"/>
      <c r="J1100" s="321"/>
    </row>
    <row r="1101" spans="1:10" x14ac:dyDescent="0.25">
      <c r="A1101" s="303"/>
      <c r="B1101" s="333" t="s">
        <v>346</v>
      </c>
      <c r="C1101" s="317"/>
      <c r="D1101" s="318"/>
      <c r="E1101" s="319"/>
      <c r="F1101" s="319"/>
      <c r="G1101" s="320"/>
      <c r="H1101" s="332"/>
      <c r="I1101" s="332"/>
      <c r="J1101" s="321"/>
    </row>
    <row r="1102" spans="1:10" x14ac:dyDescent="0.25">
      <c r="A1102" s="303"/>
      <c r="B1102" s="333" t="s">
        <v>346</v>
      </c>
      <c r="C1102" s="317"/>
      <c r="D1102" s="318"/>
      <c r="E1102" s="319"/>
      <c r="F1102" s="319"/>
      <c r="G1102" s="320"/>
      <c r="H1102" s="332"/>
      <c r="I1102" s="332"/>
      <c r="J1102" s="321"/>
    </row>
    <row r="1103" spans="1:10" x14ac:dyDescent="0.25">
      <c r="A1103" s="303"/>
      <c r="B1103" s="333" t="s">
        <v>346</v>
      </c>
      <c r="C1103" s="317"/>
      <c r="D1103" s="318"/>
      <c r="E1103" s="319"/>
      <c r="F1103" s="319"/>
      <c r="G1103" s="320"/>
      <c r="H1103" s="332"/>
      <c r="I1103" s="332"/>
      <c r="J1103" s="321"/>
    </row>
    <row r="1104" spans="1:10" x14ac:dyDescent="0.25">
      <c r="A1104" s="303"/>
      <c r="B1104" s="310"/>
      <c r="C1104" s="334"/>
      <c r="D1104" s="312"/>
      <c r="E1104" s="313"/>
      <c r="F1104" s="313"/>
      <c r="G1104" s="313"/>
      <c r="H1104" s="343"/>
      <c r="I1104" s="335" t="s">
        <v>498</v>
      </c>
      <c r="J1104" s="315">
        <v>6.2281000000000004</v>
      </c>
    </row>
    <row r="1105" spans="1:10" x14ac:dyDescent="0.25">
      <c r="A1105" s="303"/>
      <c r="B1105" s="310" t="s">
        <v>464</v>
      </c>
      <c r="C1105" s="311" t="s">
        <v>499</v>
      </c>
      <c r="D1105" s="312"/>
      <c r="E1105" s="313"/>
      <c r="F1105" s="313"/>
      <c r="G1105" s="314" t="s">
        <v>465</v>
      </c>
      <c r="H1105" s="336" t="s">
        <v>468</v>
      </c>
      <c r="I1105" s="336" t="s">
        <v>491</v>
      </c>
      <c r="J1105" s="322" t="s">
        <v>492</v>
      </c>
    </row>
    <row r="1106" spans="1:10" x14ac:dyDescent="0.25">
      <c r="A1106" s="303"/>
      <c r="B1106" s="337"/>
      <c r="C1106" s="311"/>
      <c r="D1106" s="312"/>
      <c r="E1106" s="313"/>
      <c r="F1106" s="313"/>
      <c r="G1106" s="314"/>
      <c r="H1106" s="329"/>
      <c r="I1106" s="329"/>
      <c r="J1106" s="315"/>
    </row>
    <row r="1107" spans="1:10" x14ac:dyDescent="0.25">
      <c r="A1107" s="303"/>
      <c r="B1107" s="333"/>
      <c r="C1107" s="317"/>
      <c r="D1107" s="318"/>
      <c r="E1107" s="319"/>
      <c r="F1107" s="319"/>
      <c r="G1107" s="320"/>
      <c r="H1107" s="332"/>
      <c r="I1107" s="332"/>
      <c r="J1107" s="321"/>
    </row>
    <row r="1108" spans="1:10" x14ac:dyDescent="0.25">
      <c r="A1108" s="303"/>
      <c r="B1108" s="333"/>
      <c r="C1108" s="317"/>
      <c r="D1108" s="318"/>
      <c r="E1108" s="319"/>
      <c r="F1108" s="319"/>
      <c r="G1108" s="320"/>
      <c r="H1108" s="332"/>
      <c r="I1108" s="332"/>
      <c r="J1108" s="321"/>
    </row>
    <row r="1109" spans="1:10" x14ac:dyDescent="0.25">
      <c r="A1109" s="303"/>
      <c r="B1109" s="333"/>
      <c r="C1109" s="317"/>
      <c r="D1109" s="318"/>
      <c r="E1109" s="319"/>
      <c r="F1109" s="319"/>
      <c r="G1109" s="320"/>
      <c r="H1109" s="332"/>
      <c r="I1109" s="332"/>
      <c r="J1109" s="321"/>
    </row>
    <row r="1110" spans="1:10" x14ac:dyDescent="0.25">
      <c r="A1110" s="303"/>
      <c r="B1110" s="333"/>
      <c r="C1110" s="317"/>
      <c r="D1110" s="318"/>
      <c r="E1110" s="319"/>
      <c r="F1110" s="319"/>
      <c r="G1110" s="320"/>
      <c r="H1110" s="332"/>
      <c r="I1110" s="332"/>
      <c r="J1110" s="321"/>
    </row>
    <row r="1111" spans="1:10" x14ac:dyDescent="0.25">
      <c r="A1111" s="303"/>
      <c r="B1111" s="310"/>
      <c r="C1111" s="334"/>
      <c r="D1111" s="312"/>
      <c r="E1111" s="313"/>
      <c r="F1111" s="313"/>
      <c r="G1111" s="313"/>
      <c r="H1111" s="343"/>
      <c r="I1111" s="335" t="s">
        <v>501</v>
      </c>
      <c r="J1111" s="315">
        <v>0</v>
      </c>
    </row>
    <row r="1112" spans="1:10" x14ac:dyDescent="0.25">
      <c r="A1112" s="303"/>
      <c r="B1112" s="310" t="s">
        <v>464</v>
      </c>
      <c r="C1112" s="311" t="s">
        <v>502</v>
      </c>
      <c r="D1112" s="312"/>
      <c r="E1112" s="313"/>
      <c r="F1112" s="314" t="s">
        <v>464</v>
      </c>
      <c r="G1112" s="324" t="s">
        <v>503</v>
      </c>
      <c r="H1112" s="329" t="s">
        <v>465</v>
      </c>
      <c r="I1112" s="336" t="s">
        <v>468</v>
      </c>
      <c r="J1112" s="322" t="s">
        <v>492</v>
      </c>
    </row>
    <row r="1113" spans="1:10" x14ac:dyDescent="0.25">
      <c r="A1113" s="303"/>
      <c r="B1113" s="337" t="s">
        <v>697</v>
      </c>
      <c r="C1113" s="311" t="s">
        <v>938</v>
      </c>
      <c r="D1113" s="312"/>
      <c r="E1113" s="313"/>
      <c r="F1113" s="344" t="s">
        <v>632</v>
      </c>
      <c r="G1113" s="314">
        <v>1.1E-4</v>
      </c>
      <c r="H1113" s="329" t="s">
        <v>370</v>
      </c>
      <c r="I1113" s="329">
        <v>26.18</v>
      </c>
      <c r="J1113" s="315">
        <v>2.8999999999999998E-3</v>
      </c>
    </row>
    <row r="1114" spans="1:10" x14ac:dyDescent="0.25">
      <c r="A1114" s="303"/>
      <c r="B1114" s="333" t="s">
        <v>346</v>
      </c>
      <c r="C1114" s="317"/>
      <c r="D1114" s="318"/>
      <c r="E1114" s="319"/>
      <c r="F1114" s="320"/>
      <c r="G1114" s="320"/>
      <c r="H1114" s="332"/>
      <c r="I1114" s="332"/>
      <c r="J1114" s="321"/>
    </row>
    <row r="1115" spans="1:10" x14ac:dyDescent="0.25">
      <c r="A1115" s="303"/>
      <c r="B1115" s="333" t="s">
        <v>346</v>
      </c>
      <c r="C1115" s="317"/>
      <c r="D1115" s="318"/>
      <c r="E1115" s="319"/>
      <c r="F1115" s="320"/>
      <c r="G1115" s="320"/>
      <c r="H1115" s="332"/>
      <c r="I1115" s="332"/>
      <c r="J1115" s="321"/>
    </row>
    <row r="1116" spans="1:10" x14ac:dyDescent="0.25">
      <c r="A1116" s="303"/>
      <c r="B1116" s="333" t="s">
        <v>346</v>
      </c>
      <c r="C1116" s="317"/>
      <c r="D1116" s="318"/>
      <c r="E1116" s="319"/>
      <c r="F1116" s="320"/>
      <c r="G1116" s="320"/>
      <c r="H1116" s="332"/>
      <c r="I1116" s="332"/>
      <c r="J1116" s="321"/>
    </row>
    <row r="1117" spans="1:10" x14ac:dyDescent="0.25">
      <c r="A1117" s="303"/>
      <c r="B1117" s="333" t="s">
        <v>346</v>
      </c>
      <c r="C1117" s="317"/>
      <c r="D1117" s="318"/>
      <c r="E1117" s="319"/>
      <c r="F1117" s="320"/>
      <c r="G1117" s="320"/>
      <c r="H1117" s="332"/>
      <c r="I1117" s="332"/>
      <c r="J1117" s="321"/>
    </row>
    <row r="1118" spans="1:10" x14ac:dyDescent="0.25">
      <c r="A1118" s="303"/>
      <c r="B1118" s="310"/>
      <c r="C1118" s="334"/>
      <c r="D1118" s="312"/>
      <c r="E1118" s="313"/>
      <c r="F1118" s="313"/>
      <c r="G1118" s="313"/>
      <c r="H1118" s="343"/>
      <c r="I1118" s="338" t="s">
        <v>507</v>
      </c>
      <c r="J1118" s="315">
        <v>2.8999999999999998E-3</v>
      </c>
    </row>
    <row r="1119" spans="1:10" x14ac:dyDescent="0.25">
      <c r="A1119" s="303"/>
      <c r="B1119" s="310" t="s">
        <v>464</v>
      </c>
      <c r="C1119" s="311" t="s">
        <v>508</v>
      </c>
      <c r="D1119" s="345" t="s">
        <v>509</v>
      </c>
      <c r="E1119" s="324" t="s">
        <v>873</v>
      </c>
      <c r="F1119" s="324" t="s">
        <v>874</v>
      </c>
      <c r="G1119" s="324" t="s">
        <v>875</v>
      </c>
      <c r="H1119" s="336" t="s">
        <v>468</v>
      </c>
      <c r="I1119" s="324" t="s">
        <v>491</v>
      </c>
      <c r="J1119" s="322" t="s">
        <v>492</v>
      </c>
    </row>
    <row r="1120" spans="1:10" x14ac:dyDescent="0.25">
      <c r="A1120" s="303"/>
      <c r="B1120" s="337" t="s">
        <v>698</v>
      </c>
      <c r="C1120" s="311" t="s">
        <v>939</v>
      </c>
      <c r="D1120" s="345" t="s">
        <v>510</v>
      </c>
      <c r="E1120" s="314">
        <v>0</v>
      </c>
      <c r="F1120" s="314">
        <v>0</v>
      </c>
      <c r="G1120" s="314">
        <v>100.45</v>
      </c>
      <c r="H1120" s="329">
        <v>0.55000000000000004</v>
      </c>
      <c r="I1120" s="314">
        <v>1.1E-4</v>
      </c>
      <c r="J1120" s="315">
        <v>6.1000000000000004E-3</v>
      </c>
    </row>
    <row r="1121" spans="1:10" x14ac:dyDescent="0.25">
      <c r="A1121" s="303"/>
      <c r="B1121" s="333" t="s">
        <v>346</v>
      </c>
      <c r="C1121" s="317"/>
      <c r="D1121" s="346"/>
      <c r="E1121" s="320"/>
      <c r="F1121" s="320"/>
      <c r="G1121" s="320"/>
      <c r="H1121" s="332"/>
      <c r="I1121" s="320"/>
      <c r="J1121" s="321"/>
    </row>
    <row r="1122" spans="1:10" x14ac:dyDescent="0.25">
      <c r="A1122" s="303"/>
      <c r="B1122" s="333" t="s">
        <v>346</v>
      </c>
      <c r="C1122" s="317"/>
      <c r="D1122" s="346"/>
      <c r="E1122" s="320"/>
      <c r="F1122" s="320"/>
      <c r="G1122" s="320"/>
      <c r="H1122" s="332"/>
      <c r="I1122" s="320"/>
      <c r="J1122" s="321"/>
    </row>
    <row r="1123" spans="1:10" x14ac:dyDescent="0.25">
      <c r="A1123" s="303"/>
      <c r="B1123" s="333" t="s">
        <v>346</v>
      </c>
      <c r="C1123" s="317"/>
      <c r="D1123" s="346"/>
      <c r="E1123" s="320"/>
      <c r="F1123" s="320"/>
      <c r="G1123" s="320"/>
      <c r="H1123" s="332"/>
      <c r="I1123" s="320"/>
      <c r="J1123" s="321"/>
    </row>
    <row r="1124" spans="1:10" x14ac:dyDescent="0.25">
      <c r="A1124" s="303"/>
      <c r="B1124" s="333" t="s">
        <v>346</v>
      </c>
      <c r="C1124" s="317"/>
      <c r="D1124" s="346"/>
      <c r="E1124" s="320"/>
      <c r="F1124" s="320"/>
      <c r="G1124" s="320"/>
      <c r="H1124" s="332"/>
      <c r="I1124" s="320"/>
      <c r="J1124" s="321"/>
    </row>
    <row r="1125" spans="1:10" x14ac:dyDescent="0.25">
      <c r="A1125" s="303"/>
      <c r="B1125" s="333" t="s">
        <v>346</v>
      </c>
      <c r="C1125" s="317"/>
      <c r="D1125" s="346"/>
      <c r="E1125" s="320"/>
      <c r="F1125" s="320"/>
      <c r="G1125" s="320"/>
      <c r="H1125" s="332"/>
      <c r="I1125" s="320"/>
      <c r="J1125" s="321"/>
    </row>
    <row r="1126" spans="1:10" x14ac:dyDescent="0.25">
      <c r="A1126" s="303"/>
      <c r="B1126" s="333" t="s">
        <v>346</v>
      </c>
      <c r="C1126" s="317"/>
      <c r="D1126" s="346"/>
      <c r="E1126" s="320"/>
      <c r="F1126" s="320"/>
      <c r="G1126" s="320"/>
      <c r="H1126" s="332"/>
      <c r="I1126" s="320"/>
      <c r="J1126" s="321"/>
    </row>
    <row r="1127" spans="1:10" x14ac:dyDescent="0.25">
      <c r="A1127" s="303"/>
      <c r="B1127" s="310"/>
      <c r="C1127" s="334"/>
      <c r="D1127" s="312"/>
      <c r="E1127" s="313"/>
      <c r="F1127" s="313"/>
      <c r="G1127" s="313"/>
      <c r="H1127" s="313"/>
      <c r="I1127" s="338" t="s">
        <v>513</v>
      </c>
      <c r="J1127" s="315">
        <v>6.1000000000000004E-3</v>
      </c>
    </row>
    <row r="1128" spans="1:10" x14ac:dyDescent="0.25">
      <c r="A1128" s="303"/>
      <c r="B1128" s="310" t="s">
        <v>514</v>
      </c>
      <c r="C1128" s="334"/>
      <c r="D1128" s="312"/>
      <c r="E1128" s="313"/>
      <c r="F1128" s="313"/>
      <c r="G1128" s="313"/>
      <c r="H1128" s="313"/>
      <c r="I1128" s="313"/>
      <c r="J1128" s="315">
        <v>12.313600000000001</v>
      </c>
    </row>
    <row r="1129" spans="1:10" x14ac:dyDescent="0.25">
      <c r="A1129" s="303"/>
      <c r="B1129" s="310" t="s">
        <v>515</v>
      </c>
      <c r="C1129" s="334"/>
      <c r="D1129" s="312">
        <v>0</v>
      </c>
      <c r="E1129" s="313"/>
      <c r="F1129" s="313"/>
      <c r="G1129" s="313"/>
      <c r="H1129" s="313"/>
      <c r="I1129" s="313"/>
      <c r="J1129" s="315">
        <v>0</v>
      </c>
    </row>
    <row r="1130" spans="1:10" ht="14.4" thickBot="1" x14ac:dyDescent="0.3">
      <c r="A1130" s="303"/>
      <c r="B1130" s="310" t="s">
        <v>516</v>
      </c>
      <c r="C1130" s="334"/>
      <c r="D1130" s="312"/>
      <c r="E1130" s="313"/>
      <c r="F1130" s="313"/>
      <c r="G1130" s="313"/>
      <c r="H1130" s="313"/>
      <c r="I1130" s="313"/>
      <c r="J1130" s="347">
        <v>12.31</v>
      </c>
    </row>
    <row r="1131" spans="1:10" x14ac:dyDescent="0.25">
      <c r="A1131" s="303"/>
      <c r="B1131" s="304"/>
      <c r="C1131" s="305"/>
      <c r="D1131" s="348"/>
      <c r="E1131" s="308"/>
      <c r="F1131" s="308"/>
      <c r="G1131" s="308"/>
      <c r="H1131" s="308"/>
      <c r="I1131" s="308"/>
      <c r="J1131" s="309"/>
    </row>
    <row r="1132" spans="1:10" x14ac:dyDescent="0.25">
      <c r="A1132" s="303"/>
      <c r="B1132" s="316"/>
      <c r="C1132" s="303"/>
      <c r="D1132" s="318"/>
      <c r="E1132" s="319"/>
      <c r="F1132" s="319"/>
      <c r="G1132" s="319"/>
      <c r="H1132" s="319"/>
      <c r="I1132" s="319"/>
      <c r="J1132" s="349"/>
    </row>
    <row r="1133" spans="1:10" x14ac:dyDescent="0.25">
      <c r="A1133" s="303"/>
      <c r="B1133" s="316"/>
      <c r="C1133" s="303"/>
      <c r="D1133" s="318"/>
      <c r="E1133" s="319"/>
      <c r="F1133" s="319"/>
      <c r="G1133" s="319"/>
      <c r="H1133" s="319"/>
      <c r="I1133" s="319"/>
      <c r="J1133" s="349"/>
    </row>
    <row r="1134" spans="1:10" ht="14.4" thickBot="1" x14ac:dyDescent="0.3">
      <c r="A1134" s="303"/>
      <c r="B1134" s="350"/>
      <c r="C1134" s="303"/>
      <c r="D1134" s="318"/>
      <c r="E1134" s="319"/>
      <c r="F1134" s="319"/>
      <c r="G1134" s="319"/>
      <c r="H1134" s="319"/>
      <c r="I1134" s="319"/>
      <c r="J1134" s="351"/>
    </row>
    <row r="1135" spans="1:10" x14ac:dyDescent="0.25">
      <c r="A1135" s="303"/>
      <c r="B1135" s="305"/>
      <c r="C1135" s="305"/>
      <c r="D1135" s="348"/>
      <c r="E1135" s="308"/>
      <c r="F1135" s="308"/>
      <c r="G1135" s="308"/>
      <c r="H1135" s="308"/>
      <c r="I1135" s="308"/>
      <c r="J1135" s="352"/>
    </row>
    <row r="1136" spans="1:10" ht="14.4" thickBot="1" x14ac:dyDescent="0.3">
      <c r="A1136" s="303"/>
      <c r="B1136" s="303"/>
      <c r="C1136" s="303"/>
      <c r="D1136" s="318"/>
      <c r="E1136" s="319"/>
      <c r="F1136" s="319"/>
      <c r="G1136" s="319"/>
      <c r="H1136" s="319"/>
      <c r="I1136" s="319"/>
      <c r="J1136" s="353"/>
    </row>
    <row r="1137" spans="1:10" x14ac:dyDescent="0.25">
      <c r="A1137" s="303"/>
      <c r="B1137" s="304"/>
      <c r="C1137" s="305"/>
      <c r="D1137" s="306" t="s">
        <v>463</v>
      </c>
      <c r="E1137" s="307"/>
      <c r="F1137" s="307"/>
      <c r="G1137" s="308"/>
      <c r="H1137" s="308"/>
      <c r="I1137" s="308"/>
      <c r="J1137" s="309"/>
    </row>
    <row r="1138" spans="1:10" x14ac:dyDescent="0.25">
      <c r="A1138" s="303"/>
      <c r="B1138" s="310" t="s">
        <v>464</v>
      </c>
      <c r="C1138" s="311" t="s">
        <v>134</v>
      </c>
      <c r="D1138" s="312"/>
      <c r="E1138" s="313"/>
      <c r="F1138" s="313"/>
      <c r="G1138" s="313"/>
      <c r="H1138" s="314"/>
      <c r="I1138" s="313"/>
      <c r="J1138" s="315" t="s">
        <v>465</v>
      </c>
    </row>
    <row r="1139" spans="1:10" x14ac:dyDescent="0.25">
      <c r="A1139" s="303"/>
      <c r="B1139" s="316">
        <v>4915718</v>
      </c>
      <c r="C1139" s="317" t="s">
        <v>383</v>
      </c>
      <c r="D1139" s="318"/>
      <c r="E1139" s="319"/>
      <c r="F1139" s="319"/>
      <c r="G1139" s="319"/>
      <c r="H1139" s="320"/>
      <c r="I1139" s="319"/>
      <c r="J1139" s="321" t="s">
        <v>368</v>
      </c>
    </row>
    <row r="1140" spans="1:10" x14ac:dyDescent="0.25">
      <c r="A1140" s="303"/>
      <c r="B1140" s="310"/>
      <c r="C1140" s="311"/>
      <c r="D1140" s="312"/>
      <c r="E1140" s="314"/>
      <c r="F1140" s="314" t="s">
        <v>466</v>
      </c>
      <c r="G1140" s="314"/>
      <c r="H1140" s="314" t="s">
        <v>467</v>
      </c>
      <c r="I1140" s="314"/>
      <c r="J1140" s="322" t="s">
        <v>468</v>
      </c>
    </row>
    <row r="1141" spans="1:10" x14ac:dyDescent="0.25">
      <c r="A1141" s="303"/>
      <c r="B1141" s="316" t="s">
        <v>464</v>
      </c>
      <c r="C1141" s="317" t="s">
        <v>469</v>
      </c>
      <c r="D1141" s="318"/>
      <c r="E1141" s="323" t="s">
        <v>355</v>
      </c>
      <c r="F1141" s="324" t="s">
        <v>470</v>
      </c>
      <c r="G1141" s="324" t="s">
        <v>471</v>
      </c>
      <c r="H1141" s="324" t="s">
        <v>472</v>
      </c>
      <c r="I1141" s="325" t="s">
        <v>473</v>
      </c>
      <c r="J1141" s="326" t="s">
        <v>474</v>
      </c>
    </row>
    <row r="1142" spans="1:10" x14ac:dyDescent="0.25">
      <c r="A1142" s="303"/>
      <c r="B1142" s="327" t="s">
        <v>651</v>
      </c>
      <c r="C1142" s="311" t="s">
        <v>652</v>
      </c>
      <c r="D1142" s="312"/>
      <c r="E1142" s="328">
        <v>1</v>
      </c>
      <c r="F1142" s="328">
        <v>0.5</v>
      </c>
      <c r="G1142" s="328">
        <v>0.5</v>
      </c>
      <c r="H1142" s="329">
        <v>114.22329999999999</v>
      </c>
      <c r="I1142" s="329">
        <v>46.994700000000002</v>
      </c>
      <c r="J1142" s="315">
        <v>80.608999999999995</v>
      </c>
    </row>
    <row r="1143" spans="1:10" x14ac:dyDescent="0.25">
      <c r="A1143" s="303"/>
      <c r="B1143" s="333" t="s">
        <v>346</v>
      </c>
      <c r="C1143" s="317"/>
      <c r="D1143" s="318"/>
      <c r="E1143" s="331"/>
      <c r="F1143" s="331"/>
      <c r="G1143" s="331"/>
      <c r="H1143" s="332"/>
      <c r="I1143" s="332"/>
      <c r="J1143" s="321"/>
    </row>
    <row r="1144" spans="1:10" x14ac:dyDescent="0.25">
      <c r="A1144" s="303"/>
      <c r="B1144" s="333" t="s">
        <v>346</v>
      </c>
      <c r="C1144" s="317"/>
      <c r="D1144" s="318"/>
      <c r="E1144" s="331"/>
      <c r="F1144" s="331"/>
      <c r="G1144" s="331"/>
      <c r="H1144" s="332"/>
      <c r="I1144" s="332"/>
      <c r="J1144" s="321"/>
    </row>
    <row r="1145" spans="1:10" x14ac:dyDescent="0.25">
      <c r="A1145" s="303"/>
      <c r="B1145" s="333" t="s">
        <v>346</v>
      </c>
      <c r="C1145" s="317"/>
      <c r="D1145" s="318"/>
      <c r="E1145" s="331"/>
      <c r="F1145" s="331"/>
      <c r="G1145" s="331"/>
      <c r="H1145" s="332"/>
      <c r="I1145" s="332"/>
      <c r="J1145" s="321"/>
    </row>
    <row r="1146" spans="1:10" x14ac:dyDescent="0.25">
      <c r="A1146" s="303"/>
      <c r="B1146" s="333" t="s">
        <v>346</v>
      </c>
      <c r="C1146" s="317"/>
      <c r="D1146" s="318"/>
      <c r="E1146" s="331"/>
      <c r="F1146" s="331"/>
      <c r="G1146" s="331"/>
      <c r="H1146" s="332"/>
      <c r="I1146" s="332"/>
      <c r="J1146" s="321"/>
    </row>
    <row r="1147" spans="1:10" x14ac:dyDescent="0.25">
      <c r="A1147" s="303"/>
      <c r="B1147" s="333" t="s">
        <v>346</v>
      </c>
      <c r="C1147" s="317"/>
      <c r="D1147" s="318"/>
      <c r="E1147" s="331"/>
      <c r="F1147" s="331"/>
      <c r="G1147" s="331"/>
      <c r="H1147" s="332"/>
      <c r="I1147" s="332"/>
      <c r="J1147" s="321"/>
    </row>
    <row r="1148" spans="1:10" x14ac:dyDescent="0.25">
      <c r="A1148" s="303"/>
      <c r="B1148" s="333" t="s">
        <v>346</v>
      </c>
      <c r="C1148" s="317"/>
      <c r="D1148" s="318"/>
      <c r="E1148" s="331"/>
      <c r="F1148" s="331"/>
      <c r="G1148" s="331"/>
      <c r="H1148" s="332"/>
      <c r="I1148" s="332"/>
      <c r="J1148" s="321"/>
    </row>
    <row r="1149" spans="1:10" x14ac:dyDescent="0.25">
      <c r="A1149" s="303"/>
      <c r="B1149" s="310"/>
      <c r="C1149" s="334"/>
      <c r="D1149" s="312"/>
      <c r="E1149" s="313"/>
      <c r="F1149" s="313"/>
      <c r="G1149" s="313"/>
      <c r="H1149" s="313"/>
      <c r="I1149" s="335" t="s">
        <v>479</v>
      </c>
      <c r="J1149" s="315">
        <v>80.608999999999995</v>
      </c>
    </row>
    <row r="1150" spans="1:10" x14ac:dyDescent="0.25">
      <c r="A1150" s="303"/>
      <c r="B1150" s="310" t="s">
        <v>464</v>
      </c>
      <c r="C1150" s="311" t="s">
        <v>480</v>
      </c>
      <c r="D1150" s="312"/>
      <c r="E1150" s="313"/>
      <c r="F1150" s="313"/>
      <c r="G1150" s="313"/>
      <c r="H1150" s="324" t="s">
        <v>355</v>
      </c>
      <c r="I1150" s="336" t="s">
        <v>481</v>
      </c>
      <c r="J1150" s="322" t="s">
        <v>331</v>
      </c>
    </row>
    <row r="1151" spans="1:10" x14ac:dyDescent="0.25">
      <c r="A1151" s="303"/>
      <c r="B1151" s="337" t="s">
        <v>482</v>
      </c>
      <c r="C1151" s="311" t="s">
        <v>483</v>
      </c>
      <c r="D1151" s="312"/>
      <c r="E1151" s="313"/>
      <c r="F1151" s="313"/>
      <c r="G1151" s="313"/>
      <c r="H1151" s="314">
        <v>4</v>
      </c>
      <c r="I1151" s="329">
        <v>17.768000000000001</v>
      </c>
      <c r="J1151" s="315">
        <v>71.072000000000003</v>
      </c>
    </row>
    <row r="1152" spans="1:10" x14ac:dyDescent="0.25">
      <c r="A1152" s="303"/>
      <c r="B1152" s="333" t="s">
        <v>346</v>
      </c>
      <c r="C1152" s="317"/>
      <c r="D1152" s="318"/>
      <c r="E1152" s="319"/>
      <c r="F1152" s="319"/>
      <c r="G1152" s="319"/>
      <c r="H1152" s="320"/>
      <c r="I1152" s="332"/>
      <c r="J1152" s="321"/>
    </row>
    <row r="1153" spans="1:10" x14ac:dyDescent="0.25">
      <c r="A1153" s="303"/>
      <c r="B1153" s="333" t="s">
        <v>346</v>
      </c>
      <c r="C1153" s="317"/>
      <c r="D1153" s="318"/>
      <c r="E1153" s="319"/>
      <c r="F1153" s="319"/>
      <c r="G1153" s="319"/>
      <c r="H1153" s="320"/>
      <c r="I1153" s="332"/>
      <c r="J1153" s="321"/>
    </row>
    <row r="1154" spans="1:10" x14ac:dyDescent="0.25">
      <c r="A1154" s="303"/>
      <c r="B1154" s="333" t="s">
        <v>346</v>
      </c>
      <c r="C1154" s="317"/>
      <c r="D1154" s="318"/>
      <c r="E1154" s="319"/>
      <c r="F1154" s="319"/>
      <c r="G1154" s="319"/>
      <c r="H1154" s="320"/>
      <c r="I1154" s="332"/>
      <c r="J1154" s="321"/>
    </row>
    <row r="1155" spans="1:10" x14ac:dyDescent="0.25">
      <c r="A1155" s="303"/>
      <c r="B1155" s="333" t="s">
        <v>346</v>
      </c>
      <c r="C1155" s="317"/>
      <c r="D1155" s="318"/>
      <c r="E1155" s="319"/>
      <c r="F1155" s="319"/>
      <c r="G1155" s="319"/>
      <c r="H1155" s="320"/>
      <c r="I1155" s="332"/>
      <c r="J1155" s="321"/>
    </row>
    <row r="1156" spans="1:10" x14ac:dyDescent="0.25">
      <c r="A1156" s="303"/>
      <c r="B1156" s="333" t="s">
        <v>346</v>
      </c>
      <c r="C1156" s="317"/>
      <c r="D1156" s="318"/>
      <c r="E1156" s="319"/>
      <c r="F1156" s="319"/>
      <c r="G1156" s="319"/>
      <c r="H1156" s="320"/>
      <c r="I1156" s="332"/>
      <c r="J1156" s="321"/>
    </row>
    <row r="1157" spans="1:10" x14ac:dyDescent="0.25">
      <c r="A1157" s="303"/>
      <c r="B1157" s="333" t="s">
        <v>346</v>
      </c>
      <c r="C1157" s="317"/>
      <c r="D1157" s="318"/>
      <c r="E1157" s="319"/>
      <c r="F1157" s="319"/>
      <c r="G1157" s="319"/>
      <c r="H1157" s="320"/>
      <c r="I1157" s="332"/>
      <c r="J1157" s="321"/>
    </row>
    <row r="1158" spans="1:10" x14ac:dyDescent="0.25">
      <c r="A1158" s="303"/>
      <c r="B1158" s="310"/>
      <c r="C1158" s="334"/>
      <c r="D1158" s="312"/>
      <c r="E1158" s="313"/>
      <c r="F1158" s="313"/>
      <c r="G1158" s="313"/>
      <c r="H1158" s="313"/>
      <c r="I1158" s="338" t="s">
        <v>484</v>
      </c>
      <c r="J1158" s="315">
        <v>71.072000000000003</v>
      </c>
    </row>
    <row r="1159" spans="1:10" x14ac:dyDescent="0.25">
      <c r="A1159" s="303"/>
      <c r="B1159" s="339"/>
      <c r="C1159" s="334"/>
      <c r="D1159" s="312"/>
      <c r="E1159" s="313"/>
      <c r="F1159" s="313"/>
      <c r="G1159" s="313"/>
      <c r="H1159" s="313"/>
      <c r="I1159" s="338" t="s">
        <v>485</v>
      </c>
      <c r="J1159" s="340">
        <v>151.68099999999998</v>
      </c>
    </row>
    <row r="1160" spans="1:10" x14ac:dyDescent="0.25">
      <c r="A1160" s="303"/>
      <c r="B1160" s="339"/>
      <c r="C1160" s="341" t="s">
        <v>486</v>
      </c>
      <c r="D1160" s="312">
        <v>22</v>
      </c>
      <c r="E1160" s="313"/>
      <c r="F1160" s="313"/>
      <c r="G1160" s="313"/>
      <c r="H1160" s="313"/>
      <c r="I1160" s="338" t="s">
        <v>487</v>
      </c>
      <c r="J1160" s="340">
        <v>6.8945999999999996</v>
      </c>
    </row>
    <row r="1161" spans="1:10" x14ac:dyDescent="0.25">
      <c r="A1161" s="303"/>
      <c r="B1161" s="310"/>
      <c r="C1161" s="334"/>
      <c r="D1161" s="312"/>
      <c r="E1161" s="313"/>
      <c r="F1161" s="313"/>
      <c r="G1161" s="313"/>
      <c r="H1161" s="338" t="s">
        <v>488</v>
      </c>
      <c r="I1161" s="342">
        <v>0</v>
      </c>
      <c r="J1161" s="315">
        <v>0</v>
      </c>
    </row>
    <row r="1162" spans="1:10" x14ac:dyDescent="0.25">
      <c r="A1162" s="303"/>
      <c r="B1162" s="310"/>
      <c r="C1162" s="334"/>
      <c r="D1162" s="312"/>
      <c r="E1162" s="313"/>
      <c r="F1162" s="313"/>
      <c r="G1162" s="313"/>
      <c r="H1162" s="335" t="s">
        <v>489</v>
      </c>
      <c r="I1162" s="343">
        <v>0</v>
      </c>
      <c r="J1162" s="315">
        <v>0</v>
      </c>
    </row>
    <row r="1163" spans="1:10" x14ac:dyDescent="0.25">
      <c r="A1163" s="303"/>
      <c r="B1163" s="310" t="s">
        <v>464</v>
      </c>
      <c r="C1163" s="311" t="s">
        <v>490</v>
      </c>
      <c r="D1163" s="312"/>
      <c r="E1163" s="313"/>
      <c r="F1163" s="313"/>
      <c r="G1163" s="314" t="s">
        <v>465</v>
      </c>
      <c r="H1163" s="336" t="s">
        <v>468</v>
      </c>
      <c r="I1163" s="336" t="s">
        <v>491</v>
      </c>
      <c r="J1163" s="322" t="s">
        <v>492</v>
      </c>
    </row>
    <row r="1164" spans="1:10" x14ac:dyDescent="0.25">
      <c r="A1164" s="303"/>
      <c r="B1164" s="337" t="s">
        <v>699</v>
      </c>
      <c r="C1164" s="311" t="s">
        <v>940</v>
      </c>
      <c r="D1164" s="312"/>
      <c r="E1164" s="313"/>
      <c r="F1164" s="313"/>
      <c r="G1164" s="314" t="s">
        <v>376</v>
      </c>
      <c r="H1164" s="329">
        <v>3.2641</v>
      </c>
      <c r="I1164" s="329">
        <v>0.1</v>
      </c>
      <c r="J1164" s="315">
        <v>0.32640000000000002</v>
      </c>
    </row>
    <row r="1165" spans="1:10" x14ac:dyDescent="0.25">
      <c r="A1165" s="303"/>
      <c r="B1165" s="333" t="s">
        <v>346</v>
      </c>
      <c r="C1165" s="317"/>
      <c r="D1165" s="318"/>
      <c r="E1165" s="319"/>
      <c r="F1165" s="319"/>
      <c r="G1165" s="320"/>
      <c r="H1165" s="332"/>
      <c r="I1165" s="332"/>
      <c r="J1165" s="321"/>
    </row>
    <row r="1166" spans="1:10" x14ac:dyDescent="0.25">
      <c r="A1166" s="303"/>
      <c r="B1166" s="333" t="s">
        <v>346</v>
      </c>
      <c r="C1166" s="317"/>
      <c r="D1166" s="318"/>
      <c r="E1166" s="319"/>
      <c r="F1166" s="319"/>
      <c r="G1166" s="320"/>
      <c r="H1166" s="332"/>
      <c r="I1166" s="332"/>
      <c r="J1166" s="321"/>
    </row>
    <row r="1167" spans="1:10" x14ac:dyDescent="0.25">
      <c r="A1167" s="303"/>
      <c r="B1167" s="333" t="s">
        <v>346</v>
      </c>
      <c r="C1167" s="317"/>
      <c r="D1167" s="318"/>
      <c r="E1167" s="319"/>
      <c r="F1167" s="319"/>
      <c r="G1167" s="320"/>
      <c r="H1167" s="332"/>
      <c r="I1167" s="332"/>
      <c r="J1167" s="321"/>
    </row>
    <row r="1168" spans="1:10" x14ac:dyDescent="0.25">
      <c r="A1168" s="303"/>
      <c r="B1168" s="333" t="s">
        <v>346</v>
      </c>
      <c r="C1168" s="317"/>
      <c r="D1168" s="318"/>
      <c r="E1168" s="319"/>
      <c r="F1168" s="319"/>
      <c r="G1168" s="320"/>
      <c r="H1168" s="332"/>
      <c r="I1168" s="332"/>
      <c r="J1168" s="321"/>
    </row>
    <row r="1169" spans="1:10" x14ac:dyDescent="0.25">
      <c r="A1169" s="303"/>
      <c r="B1169" s="333" t="s">
        <v>346</v>
      </c>
      <c r="C1169" s="317"/>
      <c r="D1169" s="318"/>
      <c r="E1169" s="319"/>
      <c r="F1169" s="319"/>
      <c r="G1169" s="320"/>
      <c r="H1169" s="332"/>
      <c r="I1169" s="332"/>
      <c r="J1169" s="321"/>
    </row>
    <row r="1170" spans="1:10" x14ac:dyDescent="0.25">
      <c r="A1170" s="303"/>
      <c r="B1170" s="333" t="s">
        <v>346</v>
      </c>
      <c r="C1170" s="317"/>
      <c r="D1170" s="318"/>
      <c r="E1170" s="319"/>
      <c r="F1170" s="319"/>
      <c r="G1170" s="320"/>
      <c r="H1170" s="332"/>
      <c r="I1170" s="332"/>
      <c r="J1170" s="321"/>
    </row>
    <row r="1171" spans="1:10" x14ac:dyDescent="0.25">
      <c r="A1171" s="303"/>
      <c r="B1171" s="310"/>
      <c r="C1171" s="334"/>
      <c r="D1171" s="312"/>
      <c r="E1171" s="313"/>
      <c r="F1171" s="313"/>
      <c r="G1171" s="313"/>
      <c r="H1171" s="343"/>
      <c r="I1171" s="335" t="s">
        <v>498</v>
      </c>
      <c r="J1171" s="315">
        <v>0.32640000000000002</v>
      </c>
    </row>
    <row r="1172" spans="1:10" x14ac:dyDescent="0.25">
      <c r="A1172" s="303"/>
      <c r="B1172" s="310" t="s">
        <v>464</v>
      </c>
      <c r="C1172" s="311" t="s">
        <v>499</v>
      </c>
      <c r="D1172" s="312"/>
      <c r="E1172" s="313"/>
      <c r="F1172" s="313"/>
      <c r="G1172" s="314" t="s">
        <v>465</v>
      </c>
      <c r="H1172" s="336" t="s">
        <v>468</v>
      </c>
      <c r="I1172" s="336" t="s">
        <v>491</v>
      </c>
      <c r="J1172" s="322" t="s">
        <v>492</v>
      </c>
    </row>
    <row r="1173" spans="1:10" x14ac:dyDescent="0.25">
      <c r="A1173" s="303"/>
      <c r="B1173" s="337"/>
      <c r="C1173" s="311"/>
      <c r="D1173" s="312"/>
      <c r="E1173" s="313"/>
      <c r="F1173" s="313"/>
      <c r="G1173" s="314"/>
      <c r="H1173" s="329"/>
      <c r="I1173" s="329"/>
      <c r="J1173" s="315"/>
    </row>
    <row r="1174" spans="1:10" x14ac:dyDescent="0.25">
      <c r="A1174" s="303"/>
      <c r="B1174" s="333"/>
      <c r="C1174" s="317"/>
      <c r="D1174" s="318"/>
      <c r="E1174" s="319"/>
      <c r="F1174" s="319"/>
      <c r="G1174" s="320"/>
      <c r="H1174" s="332"/>
      <c r="I1174" s="332"/>
      <c r="J1174" s="321"/>
    </row>
    <row r="1175" spans="1:10" x14ac:dyDescent="0.25">
      <c r="A1175" s="303"/>
      <c r="B1175" s="333"/>
      <c r="C1175" s="317"/>
      <c r="D1175" s="318"/>
      <c r="E1175" s="319"/>
      <c r="F1175" s="319"/>
      <c r="G1175" s="320"/>
      <c r="H1175" s="332"/>
      <c r="I1175" s="332"/>
      <c r="J1175" s="321"/>
    </row>
    <row r="1176" spans="1:10" x14ac:dyDescent="0.25">
      <c r="A1176" s="303"/>
      <c r="B1176" s="333"/>
      <c r="C1176" s="317"/>
      <c r="D1176" s="318"/>
      <c r="E1176" s="319"/>
      <c r="F1176" s="319"/>
      <c r="G1176" s="320"/>
      <c r="H1176" s="332"/>
      <c r="I1176" s="332"/>
      <c r="J1176" s="321"/>
    </row>
    <row r="1177" spans="1:10" x14ac:dyDescent="0.25">
      <c r="A1177" s="303"/>
      <c r="B1177" s="333"/>
      <c r="C1177" s="317"/>
      <c r="D1177" s="318"/>
      <c r="E1177" s="319"/>
      <c r="F1177" s="319"/>
      <c r="G1177" s="320"/>
      <c r="H1177" s="332"/>
      <c r="I1177" s="332"/>
      <c r="J1177" s="321"/>
    </row>
    <row r="1178" spans="1:10" x14ac:dyDescent="0.25">
      <c r="A1178" s="303"/>
      <c r="B1178" s="310"/>
      <c r="C1178" s="334"/>
      <c r="D1178" s="312"/>
      <c r="E1178" s="313"/>
      <c r="F1178" s="313"/>
      <c r="G1178" s="313"/>
      <c r="H1178" s="343"/>
      <c r="I1178" s="335" t="s">
        <v>501</v>
      </c>
      <c r="J1178" s="315">
        <v>0</v>
      </c>
    </row>
    <row r="1179" spans="1:10" x14ac:dyDescent="0.25">
      <c r="A1179" s="303"/>
      <c r="B1179" s="310" t="s">
        <v>464</v>
      </c>
      <c r="C1179" s="311" t="s">
        <v>502</v>
      </c>
      <c r="D1179" s="312"/>
      <c r="E1179" s="313"/>
      <c r="F1179" s="314" t="s">
        <v>464</v>
      </c>
      <c r="G1179" s="324" t="s">
        <v>503</v>
      </c>
      <c r="H1179" s="329" t="s">
        <v>465</v>
      </c>
      <c r="I1179" s="336" t="s">
        <v>468</v>
      </c>
      <c r="J1179" s="322" t="s">
        <v>492</v>
      </c>
    </row>
    <row r="1180" spans="1:10" x14ac:dyDescent="0.25">
      <c r="A1180" s="303"/>
      <c r="B1180" s="337" t="s">
        <v>346</v>
      </c>
      <c r="C1180" s="311"/>
      <c r="D1180" s="312"/>
      <c r="E1180" s="313"/>
      <c r="F1180" s="314"/>
      <c r="G1180" s="314"/>
      <c r="H1180" s="329"/>
      <c r="I1180" s="329"/>
      <c r="J1180" s="315"/>
    </row>
    <row r="1181" spans="1:10" x14ac:dyDescent="0.25">
      <c r="A1181" s="303"/>
      <c r="B1181" s="333" t="s">
        <v>346</v>
      </c>
      <c r="C1181" s="317"/>
      <c r="D1181" s="318"/>
      <c r="E1181" s="319"/>
      <c r="F1181" s="320"/>
      <c r="G1181" s="320"/>
      <c r="H1181" s="332"/>
      <c r="I1181" s="332"/>
      <c r="J1181" s="321"/>
    </row>
    <row r="1182" spans="1:10" x14ac:dyDescent="0.25">
      <c r="A1182" s="303"/>
      <c r="B1182" s="333" t="s">
        <v>346</v>
      </c>
      <c r="C1182" s="317"/>
      <c r="D1182" s="318"/>
      <c r="E1182" s="319"/>
      <c r="F1182" s="320"/>
      <c r="G1182" s="320"/>
      <c r="H1182" s="332"/>
      <c r="I1182" s="332"/>
      <c r="J1182" s="321"/>
    </row>
    <row r="1183" spans="1:10" x14ac:dyDescent="0.25">
      <c r="A1183" s="303"/>
      <c r="B1183" s="333" t="s">
        <v>346</v>
      </c>
      <c r="C1183" s="317"/>
      <c r="D1183" s="318"/>
      <c r="E1183" s="319"/>
      <c r="F1183" s="320"/>
      <c r="G1183" s="320"/>
      <c r="H1183" s="332"/>
      <c r="I1183" s="332"/>
      <c r="J1183" s="321"/>
    </row>
    <row r="1184" spans="1:10" x14ac:dyDescent="0.25">
      <c r="A1184" s="303"/>
      <c r="B1184" s="333" t="s">
        <v>346</v>
      </c>
      <c r="C1184" s="317"/>
      <c r="D1184" s="318"/>
      <c r="E1184" s="319"/>
      <c r="F1184" s="320"/>
      <c r="G1184" s="320"/>
      <c r="H1184" s="332"/>
      <c r="I1184" s="332"/>
      <c r="J1184" s="321"/>
    </row>
    <row r="1185" spans="1:10" x14ac:dyDescent="0.25">
      <c r="A1185" s="303"/>
      <c r="B1185" s="310"/>
      <c r="C1185" s="334"/>
      <c r="D1185" s="312"/>
      <c r="E1185" s="313"/>
      <c r="F1185" s="313"/>
      <c r="G1185" s="313"/>
      <c r="H1185" s="343"/>
      <c r="I1185" s="338" t="s">
        <v>507</v>
      </c>
      <c r="J1185" s="315">
        <v>0</v>
      </c>
    </row>
    <row r="1186" spans="1:10" x14ac:dyDescent="0.25">
      <c r="A1186" s="303"/>
      <c r="B1186" s="310" t="s">
        <v>464</v>
      </c>
      <c r="C1186" s="311" t="s">
        <v>508</v>
      </c>
      <c r="D1186" s="345" t="s">
        <v>509</v>
      </c>
      <c r="E1186" s="324" t="s">
        <v>873</v>
      </c>
      <c r="F1186" s="324" t="s">
        <v>874</v>
      </c>
      <c r="G1186" s="324" t="s">
        <v>875</v>
      </c>
      <c r="H1186" s="336" t="s">
        <v>468</v>
      </c>
      <c r="I1186" s="324" t="s">
        <v>491</v>
      </c>
      <c r="J1186" s="322" t="s">
        <v>492</v>
      </c>
    </row>
    <row r="1187" spans="1:10" x14ac:dyDescent="0.25">
      <c r="A1187" s="303"/>
      <c r="B1187" s="337" t="s">
        <v>346</v>
      </c>
      <c r="C1187" s="311"/>
      <c r="D1187" s="345"/>
      <c r="E1187" s="314"/>
      <c r="F1187" s="314"/>
      <c r="G1187" s="314"/>
      <c r="H1187" s="329"/>
      <c r="I1187" s="314"/>
      <c r="J1187" s="315"/>
    </row>
    <row r="1188" spans="1:10" x14ac:dyDescent="0.25">
      <c r="A1188" s="303"/>
      <c r="B1188" s="333" t="s">
        <v>346</v>
      </c>
      <c r="C1188" s="317"/>
      <c r="D1188" s="346"/>
      <c r="E1188" s="320"/>
      <c r="F1188" s="320"/>
      <c r="G1188" s="320"/>
      <c r="H1188" s="332"/>
      <c r="I1188" s="320"/>
      <c r="J1188" s="321"/>
    </row>
    <row r="1189" spans="1:10" x14ac:dyDescent="0.25">
      <c r="A1189" s="303"/>
      <c r="B1189" s="333" t="s">
        <v>346</v>
      </c>
      <c r="C1189" s="317"/>
      <c r="D1189" s="346"/>
      <c r="E1189" s="320"/>
      <c r="F1189" s="320"/>
      <c r="G1189" s="320"/>
      <c r="H1189" s="332"/>
      <c r="I1189" s="320"/>
      <c r="J1189" s="321"/>
    </row>
    <row r="1190" spans="1:10" x14ac:dyDescent="0.25">
      <c r="A1190" s="303"/>
      <c r="B1190" s="333" t="s">
        <v>346</v>
      </c>
      <c r="C1190" s="317"/>
      <c r="D1190" s="346"/>
      <c r="E1190" s="320"/>
      <c r="F1190" s="320"/>
      <c r="G1190" s="320"/>
      <c r="H1190" s="332"/>
      <c r="I1190" s="320"/>
      <c r="J1190" s="321"/>
    </row>
    <row r="1191" spans="1:10" x14ac:dyDescent="0.25">
      <c r="A1191" s="303"/>
      <c r="B1191" s="333" t="s">
        <v>346</v>
      </c>
      <c r="C1191" s="317"/>
      <c r="D1191" s="346"/>
      <c r="E1191" s="320"/>
      <c r="F1191" s="320"/>
      <c r="G1191" s="320"/>
      <c r="H1191" s="332"/>
      <c r="I1191" s="320"/>
      <c r="J1191" s="321"/>
    </row>
    <row r="1192" spans="1:10" x14ac:dyDescent="0.25">
      <c r="A1192" s="303"/>
      <c r="B1192" s="333" t="s">
        <v>346</v>
      </c>
      <c r="C1192" s="317"/>
      <c r="D1192" s="346"/>
      <c r="E1192" s="320"/>
      <c r="F1192" s="320"/>
      <c r="G1192" s="320"/>
      <c r="H1192" s="332"/>
      <c r="I1192" s="320"/>
      <c r="J1192" s="321"/>
    </row>
    <row r="1193" spans="1:10" x14ac:dyDescent="0.25">
      <c r="A1193" s="303"/>
      <c r="B1193" s="333" t="s">
        <v>346</v>
      </c>
      <c r="C1193" s="317"/>
      <c r="D1193" s="346"/>
      <c r="E1193" s="320"/>
      <c r="F1193" s="320"/>
      <c r="G1193" s="320"/>
      <c r="H1193" s="332"/>
      <c r="I1193" s="320"/>
      <c r="J1193" s="321"/>
    </row>
    <row r="1194" spans="1:10" x14ac:dyDescent="0.25">
      <c r="A1194" s="303"/>
      <c r="B1194" s="310"/>
      <c r="C1194" s="334"/>
      <c r="D1194" s="312"/>
      <c r="E1194" s="313"/>
      <c r="F1194" s="313"/>
      <c r="G1194" s="313"/>
      <c r="H1194" s="313"/>
      <c r="I1194" s="338" t="s">
        <v>513</v>
      </c>
      <c r="J1194" s="315">
        <v>0</v>
      </c>
    </row>
    <row r="1195" spans="1:10" x14ac:dyDescent="0.25">
      <c r="A1195" s="303"/>
      <c r="B1195" s="310" t="s">
        <v>514</v>
      </c>
      <c r="C1195" s="334"/>
      <c r="D1195" s="312"/>
      <c r="E1195" s="313"/>
      <c r="F1195" s="313"/>
      <c r="G1195" s="313"/>
      <c r="H1195" s="313"/>
      <c r="I1195" s="313"/>
      <c r="J1195" s="315">
        <v>7.2210000000000001</v>
      </c>
    </row>
    <row r="1196" spans="1:10" x14ac:dyDescent="0.25">
      <c r="A1196" s="303"/>
      <c r="B1196" s="310" t="s">
        <v>515</v>
      </c>
      <c r="C1196" s="334"/>
      <c r="D1196" s="312">
        <v>0</v>
      </c>
      <c r="E1196" s="313"/>
      <c r="F1196" s="313"/>
      <c r="G1196" s="313"/>
      <c r="H1196" s="313"/>
      <c r="I1196" s="313"/>
      <c r="J1196" s="315">
        <v>0</v>
      </c>
    </row>
    <row r="1197" spans="1:10" ht="14.4" thickBot="1" x14ac:dyDescent="0.3">
      <c r="A1197" s="303"/>
      <c r="B1197" s="310" t="s">
        <v>516</v>
      </c>
      <c r="C1197" s="334"/>
      <c r="D1197" s="312"/>
      <c r="E1197" s="313"/>
      <c r="F1197" s="313"/>
      <c r="G1197" s="313"/>
      <c r="H1197" s="313"/>
      <c r="I1197" s="313"/>
      <c r="J1197" s="347">
        <v>7.22</v>
      </c>
    </row>
    <row r="1198" spans="1:10" x14ac:dyDescent="0.25">
      <c r="A1198" s="303"/>
      <c r="B1198" s="304"/>
      <c r="C1198" s="305"/>
      <c r="D1198" s="348"/>
      <c r="E1198" s="308"/>
      <c r="F1198" s="308"/>
      <c r="G1198" s="308"/>
      <c r="H1198" s="308"/>
      <c r="I1198" s="308"/>
      <c r="J1198" s="309"/>
    </row>
    <row r="1199" spans="1:10" x14ac:dyDescent="0.25">
      <c r="A1199" s="303"/>
      <c r="B1199" s="316"/>
      <c r="C1199" s="303"/>
      <c r="D1199" s="318"/>
      <c r="E1199" s="319"/>
      <c r="F1199" s="319"/>
      <c r="G1199" s="319"/>
      <c r="H1199" s="319"/>
      <c r="I1199" s="319"/>
      <c r="J1199" s="349"/>
    </row>
    <row r="1200" spans="1:10" x14ac:dyDescent="0.25">
      <c r="A1200" s="303"/>
      <c r="B1200" s="316"/>
      <c r="C1200" s="303"/>
      <c r="D1200" s="318"/>
      <c r="E1200" s="319"/>
      <c r="F1200" s="319"/>
      <c r="G1200" s="319"/>
      <c r="H1200" s="319"/>
      <c r="I1200" s="319"/>
      <c r="J1200" s="349"/>
    </row>
    <row r="1201" spans="1:10" ht="14.4" thickBot="1" x14ac:dyDescent="0.3">
      <c r="A1201" s="303"/>
      <c r="B1201" s="350"/>
      <c r="C1201" s="303"/>
      <c r="D1201" s="318"/>
      <c r="E1201" s="319"/>
      <c r="F1201" s="319"/>
      <c r="G1201" s="319"/>
      <c r="H1201" s="319"/>
      <c r="I1201" s="319"/>
      <c r="J1201" s="351"/>
    </row>
    <row r="1202" spans="1:10" x14ac:dyDescent="0.25">
      <c r="A1202" s="303"/>
      <c r="B1202" s="305"/>
      <c r="C1202" s="305"/>
      <c r="D1202" s="348"/>
      <c r="E1202" s="308"/>
      <c r="F1202" s="308"/>
      <c r="G1202" s="308"/>
      <c r="H1202" s="308"/>
      <c r="I1202" s="308"/>
      <c r="J1202" s="352"/>
    </row>
    <row r="1203" spans="1:10" ht="14.4" thickBot="1" x14ac:dyDescent="0.3">
      <c r="A1203" s="303"/>
      <c r="B1203" s="303"/>
      <c r="C1203" s="303"/>
      <c r="D1203" s="318"/>
      <c r="E1203" s="319"/>
      <c r="F1203" s="319"/>
      <c r="G1203" s="319"/>
      <c r="H1203" s="319"/>
      <c r="I1203" s="319"/>
      <c r="J1203" s="353"/>
    </row>
    <row r="1204" spans="1:10" x14ac:dyDescent="0.25">
      <c r="A1204" s="303"/>
      <c r="B1204" s="304"/>
      <c r="C1204" s="305"/>
      <c r="D1204" s="306" t="s">
        <v>463</v>
      </c>
      <c r="E1204" s="307"/>
      <c r="F1204" s="307"/>
      <c r="G1204" s="308"/>
      <c r="H1204" s="308"/>
      <c r="I1204" s="308"/>
      <c r="J1204" s="309"/>
    </row>
    <row r="1205" spans="1:10" x14ac:dyDescent="0.25">
      <c r="A1205" s="303"/>
      <c r="B1205" s="310" t="s">
        <v>464</v>
      </c>
      <c r="C1205" s="311" t="s">
        <v>134</v>
      </c>
      <c r="D1205" s="312"/>
      <c r="E1205" s="313"/>
      <c r="F1205" s="313"/>
      <c r="G1205" s="313"/>
      <c r="H1205" s="314"/>
      <c r="I1205" s="313"/>
      <c r="J1205" s="315" t="s">
        <v>465</v>
      </c>
    </row>
    <row r="1206" spans="1:10" x14ac:dyDescent="0.25">
      <c r="A1206" s="303"/>
      <c r="B1206" s="316">
        <v>5213440</v>
      </c>
      <c r="C1206" s="317" t="s">
        <v>385</v>
      </c>
      <c r="D1206" s="318"/>
      <c r="E1206" s="319"/>
      <c r="F1206" s="319"/>
      <c r="G1206" s="319"/>
      <c r="H1206" s="320"/>
      <c r="I1206" s="319"/>
      <c r="J1206" s="321" t="s">
        <v>368</v>
      </c>
    </row>
    <row r="1207" spans="1:10" x14ac:dyDescent="0.25">
      <c r="A1207" s="303"/>
      <c r="B1207" s="310"/>
      <c r="C1207" s="311"/>
      <c r="D1207" s="312"/>
      <c r="E1207" s="314"/>
      <c r="F1207" s="314" t="s">
        <v>466</v>
      </c>
      <c r="G1207" s="314"/>
      <c r="H1207" s="314" t="s">
        <v>467</v>
      </c>
      <c r="I1207" s="314"/>
      <c r="J1207" s="322" t="s">
        <v>468</v>
      </c>
    </row>
    <row r="1208" spans="1:10" x14ac:dyDescent="0.25">
      <c r="A1208" s="303"/>
      <c r="B1208" s="316" t="s">
        <v>464</v>
      </c>
      <c r="C1208" s="317" t="s">
        <v>469</v>
      </c>
      <c r="D1208" s="318"/>
      <c r="E1208" s="323" t="s">
        <v>355</v>
      </c>
      <c r="F1208" s="324" t="s">
        <v>470</v>
      </c>
      <c r="G1208" s="324" t="s">
        <v>471</v>
      </c>
      <c r="H1208" s="324" t="s">
        <v>472</v>
      </c>
      <c r="I1208" s="325" t="s">
        <v>473</v>
      </c>
      <c r="J1208" s="326" t="s">
        <v>474</v>
      </c>
    </row>
    <row r="1209" spans="1:10" x14ac:dyDescent="0.25">
      <c r="A1209" s="303"/>
      <c r="B1209" s="327" t="s">
        <v>651</v>
      </c>
      <c r="C1209" s="311" t="s">
        <v>652</v>
      </c>
      <c r="D1209" s="312"/>
      <c r="E1209" s="328">
        <v>1</v>
      </c>
      <c r="F1209" s="328">
        <v>0.3</v>
      </c>
      <c r="G1209" s="328">
        <v>0.7</v>
      </c>
      <c r="H1209" s="329">
        <v>114.22329999999999</v>
      </c>
      <c r="I1209" s="329">
        <v>46.994700000000002</v>
      </c>
      <c r="J1209" s="315">
        <v>67.163300000000007</v>
      </c>
    </row>
    <row r="1210" spans="1:10" x14ac:dyDescent="0.25">
      <c r="A1210" s="303"/>
      <c r="B1210" s="333" t="s">
        <v>346</v>
      </c>
      <c r="C1210" s="317"/>
      <c r="D1210" s="318"/>
      <c r="E1210" s="331"/>
      <c r="F1210" s="331"/>
      <c r="G1210" s="331"/>
      <c r="H1210" s="332"/>
      <c r="I1210" s="332"/>
      <c r="J1210" s="321"/>
    </row>
    <row r="1211" spans="1:10" x14ac:dyDescent="0.25">
      <c r="A1211" s="303"/>
      <c r="B1211" s="333" t="s">
        <v>346</v>
      </c>
      <c r="C1211" s="317"/>
      <c r="D1211" s="318"/>
      <c r="E1211" s="331"/>
      <c r="F1211" s="331"/>
      <c r="G1211" s="331"/>
      <c r="H1211" s="332"/>
      <c r="I1211" s="332"/>
      <c r="J1211" s="321"/>
    </row>
    <row r="1212" spans="1:10" x14ac:dyDescent="0.25">
      <c r="A1212" s="303"/>
      <c r="B1212" s="333" t="s">
        <v>346</v>
      </c>
      <c r="C1212" s="317"/>
      <c r="D1212" s="318"/>
      <c r="E1212" s="331"/>
      <c r="F1212" s="331"/>
      <c r="G1212" s="331"/>
      <c r="H1212" s="332"/>
      <c r="I1212" s="332"/>
      <c r="J1212" s="321"/>
    </row>
    <row r="1213" spans="1:10" x14ac:dyDescent="0.25">
      <c r="A1213" s="303"/>
      <c r="B1213" s="333" t="s">
        <v>346</v>
      </c>
      <c r="C1213" s="317"/>
      <c r="D1213" s="318"/>
      <c r="E1213" s="331"/>
      <c r="F1213" s="331"/>
      <c r="G1213" s="331"/>
      <c r="H1213" s="332"/>
      <c r="I1213" s="332"/>
      <c r="J1213" s="321"/>
    </row>
    <row r="1214" spans="1:10" x14ac:dyDescent="0.25">
      <c r="A1214" s="303"/>
      <c r="B1214" s="333" t="s">
        <v>346</v>
      </c>
      <c r="C1214" s="317"/>
      <c r="D1214" s="318"/>
      <c r="E1214" s="331"/>
      <c r="F1214" s="331"/>
      <c r="G1214" s="331"/>
      <c r="H1214" s="332"/>
      <c r="I1214" s="332"/>
      <c r="J1214" s="321"/>
    </row>
    <row r="1215" spans="1:10" x14ac:dyDescent="0.25">
      <c r="A1215" s="303"/>
      <c r="B1215" s="333" t="s">
        <v>346</v>
      </c>
      <c r="C1215" s="317"/>
      <c r="D1215" s="318"/>
      <c r="E1215" s="331"/>
      <c r="F1215" s="331"/>
      <c r="G1215" s="331"/>
      <c r="H1215" s="332"/>
      <c r="I1215" s="332"/>
      <c r="J1215" s="321"/>
    </row>
    <row r="1216" spans="1:10" x14ac:dyDescent="0.25">
      <c r="A1216" s="303"/>
      <c r="B1216" s="310"/>
      <c r="C1216" s="334"/>
      <c r="D1216" s="312"/>
      <c r="E1216" s="313"/>
      <c r="F1216" s="313"/>
      <c r="G1216" s="313"/>
      <c r="H1216" s="313"/>
      <c r="I1216" s="335" t="s">
        <v>479</v>
      </c>
      <c r="J1216" s="315">
        <v>67.163300000000007</v>
      </c>
    </row>
    <row r="1217" spans="1:10" x14ac:dyDescent="0.25">
      <c r="A1217" s="303"/>
      <c r="B1217" s="310" t="s">
        <v>464</v>
      </c>
      <c r="C1217" s="311" t="s">
        <v>480</v>
      </c>
      <c r="D1217" s="312"/>
      <c r="E1217" s="313"/>
      <c r="F1217" s="313"/>
      <c r="G1217" s="313"/>
      <c r="H1217" s="324" t="s">
        <v>355</v>
      </c>
      <c r="I1217" s="336" t="s">
        <v>481</v>
      </c>
      <c r="J1217" s="322" t="s">
        <v>331</v>
      </c>
    </row>
    <row r="1218" spans="1:10" x14ac:dyDescent="0.25">
      <c r="A1218" s="303"/>
      <c r="B1218" s="337" t="s">
        <v>482</v>
      </c>
      <c r="C1218" s="311" t="s">
        <v>483</v>
      </c>
      <c r="D1218" s="312"/>
      <c r="E1218" s="313"/>
      <c r="F1218" s="313"/>
      <c r="G1218" s="313"/>
      <c r="H1218" s="314">
        <v>2</v>
      </c>
      <c r="I1218" s="329">
        <v>17.768000000000001</v>
      </c>
      <c r="J1218" s="315">
        <v>35.536000000000001</v>
      </c>
    </row>
    <row r="1219" spans="1:10" x14ac:dyDescent="0.25">
      <c r="A1219" s="303"/>
      <c r="B1219" s="333" t="s">
        <v>661</v>
      </c>
      <c r="C1219" s="317" t="s">
        <v>662</v>
      </c>
      <c r="D1219" s="318"/>
      <c r="E1219" s="319"/>
      <c r="F1219" s="319"/>
      <c r="G1219" s="319"/>
      <c r="H1219" s="320">
        <v>1</v>
      </c>
      <c r="I1219" s="332">
        <v>24.440999999999999</v>
      </c>
      <c r="J1219" s="321">
        <v>24.440999999999999</v>
      </c>
    </row>
    <row r="1220" spans="1:10" x14ac:dyDescent="0.25">
      <c r="A1220" s="303"/>
      <c r="B1220" s="333" t="s">
        <v>346</v>
      </c>
      <c r="C1220" s="317"/>
      <c r="D1220" s="318"/>
      <c r="E1220" s="319"/>
      <c r="F1220" s="319"/>
      <c r="G1220" s="319"/>
      <c r="H1220" s="320"/>
      <c r="I1220" s="332"/>
      <c r="J1220" s="321"/>
    </row>
    <row r="1221" spans="1:10" x14ac:dyDescent="0.25">
      <c r="A1221" s="303"/>
      <c r="B1221" s="333" t="s">
        <v>346</v>
      </c>
      <c r="C1221" s="317"/>
      <c r="D1221" s="318"/>
      <c r="E1221" s="319"/>
      <c r="F1221" s="319"/>
      <c r="G1221" s="319"/>
      <c r="H1221" s="320"/>
      <c r="I1221" s="332"/>
      <c r="J1221" s="321"/>
    </row>
    <row r="1222" spans="1:10" x14ac:dyDescent="0.25">
      <c r="A1222" s="303"/>
      <c r="B1222" s="333" t="s">
        <v>346</v>
      </c>
      <c r="C1222" s="317"/>
      <c r="D1222" s="318"/>
      <c r="E1222" s="319"/>
      <c r="F1222" s="319"/>
      <c r="G1222" s="319"/>
      <c r="H1222" s="320"/>
      <c r="I1222" s="332"/>
      <c r="J1222" s="321"/>
    </row>
    <row r="1223" spans="1:10" x14ac:dyDescent="0.25">
      <c r="A1223" s="303"/>
      <c r="B1223" s="333" t="s">
        <v>346</v>
      </c>
      <c r="C1223" s="317"/>
      <c r="D1223" s="318"/>
      <c r="E1223" s="319"/>
      <c r="F1223" s="319"/>
      <c r="G1223" s="319"/>
      <c r="H1223" s="320"/>
      <c r="I1223" s="332"/>
      <c r="J1223" s="321"/>
    </row>
    <row r="1224" spans="1:10" x14ac:dyDescent="0.25">
      <c r="A1224" s="303"/>
      <c r="B1224" s="333" t="s">
        <v>346</v>
      </c>
      <c r="C1224" s="317"/>
      <c r="D1224" s="318"/>
      <c r="E1224" s="319"/>
      <c r="F1224" s="319"/>
      <c r="G1224" s="319"/>
      <c r="H1224" s="320"/>
      <c r="I1224" s="332"/>
      <c r="J1224" s="321"/>
    </row>
    <row r="1225" spans="1:10" x14ac:dyDescent="0.25">
      <c r="A1225" s="303"/>
      <c r="B1225" s="310"/>
      <c r="C1225" s="334"/>
      <c r="D1225" s="312"/>
      <c r="E1225" s="313"/>
      <c r="F1225" s="313"/>
      <c r="G1225" s="313"/>
      <c r="H1225" s="313"/>
      <c r="I1225" s="338" t="s">
        <v>484</v>
      </c>
      <c r="J1225" s="315">
        <v>59.977000000000004</v>
      </c>
    </row>
    <row r="1226" spans="1:10" x14ac:dyDescent="0.25">
      <c r="A1226" s="303"/>
      <c r="B1226" s="339"/>
      <c r="C1226" s="334"/>
      <c r="D1226" s="312"/>
      <c r="E1226" s="313"/>
      <c r="F1226" s="313"/>
      <c r="G1226" s="313"/>
      <c r="H1226" s="313"/>
      <c r="I1226" s="338" t="s">
        <v>485</v>
      </c>
      <c r="J1226" s="340">
        <v>127.14030000000001</v>
      </c>
    </row>
    <row r="1227" spans="1:10" x14ac:dyDescent="0.25">
      <c r="A1227" s="303"/>
      <c r="B1227" s="339"/>
      <c r="C1227" s="341" t="s">
        <v>486</v>
      </c>
      <c r="D1227" s="312">
        <v>3</v>
      </c>
      <c r="E1227" s="313"/>
      <c r="F1227" s="313"/>
      <c r="G1227" s="313"/>
      <c r="H1227" s="313"/>
      <c r="I1227" s="338" t="s">
        <v>487</v>
      </c>
      <c r="J1227" s="340">
        <v>42.380099999999999</v>
      </c>
    </row>
    <row r="1228" spans="1:10" x14ac:dyDescent="0.25">
      <c r="A1228" s="303"/>
      <c r="B1228" s="310"/>
      <c r="C1228" s="334"/>
      <c r="D1228" s="312"/>
      <c r="E1228" s="313"/>
      <c r="F1228" s="313"/>
      <c r="G1228" s="313"/>
      <c r="H1228" s="338" t="s">
        <v>488</v>
      </c>
      <c r="I1228" s="342">
        <v>0</v>
      </c>
      <c r="J1228" s="315">
        <v>0</v>
      </c>
    </row>
    <row r="1229" spans="1:10" x14ac:dyDescent="0.25">
      <c r="A1229" s="303"/>
      <c r="B1229" s="310"/>
      <c r="C1229" s="334"/>
      <c r="D1229" s="312"/>
      <c r="E1229" s="313"/>
      <c r="F1229" s="313"/>
      <c r="G1229" s="313"/>
      <c r="H1229" s="335" t="s">
        <v>489</v>
      </c>
      <c r="I1229" s="343">
        <v>0</v>
      </c>
      <c r="J1229" s="315">
        <v>0</v>
      </c>
    </row>
    <row r="1230" spans="1:10" x14ac:dyDescent="0.25">
      <c r="A1230" s="303"/>
      <c r="B1230" s="310" t="s">
        <v>464</v>
      </c>
      <c r="C1230" s="311" t="s">
        <v>490</v>
      </c>
      <c r="D1230" s="312"/>
      <c r="E1230" s="313"/>
      <c r="F1230" s="313"/>
      <c r="G1230" s="314" t="s">
        <v>465</v>
      </c>
      <c r="H1230" s="336" t="s">
        <v>468</v>
      </c>
      <c r="I1230" s="336" t="s">
        <v>491</v>
      </c>
      <c r="J1230" s="322" t="s">
        <v>492</v>
      </c>
    </row>
    <row r="1231" spans="1:10" x14ac:dyDescent="0.25">
      <c r="A1231" s="303"/>
      <c r="B1231" s="337" t="s">
        <v>346</v>
      </c>
      <c r="C1231" s="311"/>
      <c r="D1231" s="312"/>
      <c r="E1231" s="313"/>
      <c r="F1231" s="313"/>
      <c r="G1231" s="314"/>
      <c r="H1231" s="329"/>
      <c r="I1231" s="329"/>
      <c r="J1231" s="315"/>
    </row>
    <row r="1232" spans="1:10" x14ac:dyDescent="0.25">
      <c r="A1232" s="303"/>
      <c r="B1232" s="333" t="s">
        <v>346</v>
      </c>
      <c r="C1232" s="317"/>
      <c r="D1232" s="318"/>
      <c r="E1232" s="319"/>
      <c r="F1232" s="319"/>
      <c r="G1232" s="320"/>
      <c r="H1232" s="332"/>
      <c r="I1232" s="332"/>
      <c r="J1232" s="321"/>
    </row>
    <row r="1233" spans="1:10" x14ac:dyDescent="0.25">
      <c r="A1233" s="303"/>
      <c r="B1233" s="333" t="s">
        <v>346</v>
      </c>
      <c r="C1233" s="317"/>
      <c r="D1233" s="318"/>
      <c r="E1233" s="319"/>
      <c r="F1233" s="319"/>
      <c r="G1233" s="320"/>
      <c r="H1233" s="332"/>
      <c r="I1233" s="332"/>
      <c r="J1233" s="321"/>
    </row>
    <row r="1234" spans="1:10" x14ac:dyDescent="0.25">
      <c r="A1234" s="303"/>
      <c r="B1234" s="333" t="s">
        <v>346</v>
      </c>
      <c r="C1234" s="317"/>
      <c r="D1234" s="318"/>
      <c r="E1234" s="319"/>
      <c r="F1234" s="319"/>
      <c r="G1234" s="320"/>
      <c r="H1234" s="332"/>
      <c r="I1234" s="332"/>
      <c r="J1234" s="321"/>
    </row>
    <row r="1235" spans="1:10" x14ac:dyDescent="0.25">
      <c r="A1235" s="303"/>
      <c r="B1235" s="333" t="s">
        <v>346</v>
      </c>
      <c r="C1235" s="317"/>
      <c r="D1235" s="318"/>
      <c r="E1235" s="319"/>
      <c r="F1235" s="319"/>
      <c r="G1235" s="320"/>
      <c r="H1235" s="332"/>
      <c r="I1235" s="332"/>
      <c r="J1235" s="321"/>
    </row>
    <row r="1236" spans="1:10" x14ac:dyDescent="0.25">
      <c r="A1236" s="303"/>
      <c r="B1236" s="333" t="s">
        <v>346</v>
      </c>
      <c r="C1236" s="317"/>
      <c r="D1236" s="318"/>
      <c r="E1236" s="319"/>
      <c r="F1236" s="319"/>
      <c r="G1236" s="320"/>
      <c r="H1236" s="332"/>
      <c r="I1236" s="332"/>
      <c r="J1236" s="321"/>
    </row>
    <row r="1237" spans="1:10" x14ac:dyDescent="0.25">
      <c r="A1237" s="303"/>
      <c r="B1237" s="333" t="s">
        <v>346</v>
      </c>
      <c r="C1237" s="317"/>
      <c r="D1237" s="318"/>
      <c r="E1237" s="319"/>
      <c r="F1237" s="319"/>
      <c r="G1237" s="320"/>
      <c r="H1237" s="332"/>
      <c r="I1237" s="332"/>
      <c r="J1237" s="321"/>
    </row>
    <row r="1238" spans="1:10" x14ac:dyDescent="0.25">
      <c r="A1238" s="303"/>
      <c r="B1238" s="310"/>
      <c r="C1238" s="334"/>
      <c r="D1238" s="312"/>
      <c r="E1238" s="313"/>
      <c r="F1238" s="313"/>
      <c r="G1238" s="313"/>
      <c r="H1238" s="343"/>
      <c r="I1238" s="335" t="s">
        <v>498</v>
      </c>
      <c r="J1238" s="315">
        <v>0</v>
      </c>
    </row>
    <row r="1239" spans="1:10" x14ac:dyDescent="0.25">
      <c r="A1239" s="303"/>
      <c r="B1239" s="310" t="s">
        <v>464</v>
      </c>
      <c r="C1239" s="311" t="s">
        <v>499</v>
      </c>
      <c r="D1239" s="312"/>
      <c r="E1239" s="313"/>
      <c r="F1239" s="313"/>
      <c r="G1239" s="314" t="s">
        <v>465</v>
      </c>
      <c r="H1239" s="336" t="s">
        <v>468</v>
      </c>
      <c r="I1239" s="336" t="s">
        <v>491</v>
      </c>
      <c r="J1239" s="322" t="s">
        <v>492</v>
      </c>
    </row>
    <row r="1240" spans="1:10" x14ac:dyDescent="0.25">
      <c r="A1240" s="303"/>
      <c r="B1240" s="337">
        <v>5213414</v>
      </c>
      <c r="C1240" s="311" t="s">
        <v>941</v>
      </c>
      <c r="D1240" s="312"/>
      <c r="E1240" s="313"/>
      <c r="F1240" s="313"/>
      <c r="G1240" s="314" t="s">
        <v>368</v>
      </c>
      <c r="H1240" s="329">
        <v>478.73</v>
      </c>
      <c r="I1240" s="329">
        <v>0.36</v>
      </c>
      <c r="J1240" s="315">
        <v>172.34280000000001</v>
      </c>
    </row>
    <row r="1241" spans="1:10" x14ac:dyDescent="0.25">
      <c r="A1241" s="303"/>
      <c r="B1241" s="333"/>
      <c r="C1241" s="317"/>
      <c r="D1241" s="318"/>
      <c r="E1241" s="319"/>
      <c r="F1241" s="319"/>
      <c r="G1241" s="320"/>
      <c r="H1241" s="332"/>
      <c r="I1241" s="332"/>
      <c r="J1241" s="321"/>
    </row>
    <row r="1242" spans="1:10" x14ac:dyDescent="0.25">
      <c r="A1242" s="303"/>
      <c r="B1242" s="333"/>
      <c r="C1242" s="317"/>
      <c r="D1242" s="318"/>
      <c r="E1242" s="319"/>
      <c r="F1242" s="319"/>
      <c r="G1242" s="320"/>
      <c r="H1242" s="332"/>
      <c r="I1242" s="332"/>
      <c r="J1242" s="321"/>
    </row>
    <row r="1243" spans="1:10" x14ac:dyDescent="0.25">
      <c r="A1243" s="303"/>
      <c r="B1243" s="333"/>
      <c r="C1243" s="317"/>
      <c r="D1243" s="318"/>
      <c r="E1243" s="319"/>
      <c r="F1243" s="319"/>
      <c r="G1243" s="320"/>
      <c r="H1243" s="332"/>
      <c r="I1243" s="332"/>
      <c r="J1243" s="321"/>
    </row>
    <row r="1244" spans="1:10" x14ac:dyDescent="0.25">
      <c r="A1244" s="303"/>
      <c r="B1244" s="333"/>
      <c r="C1244" s="317"/>
      <c r="D1244" s="318"/>
      <c r="E1244" s="319"/>
      <c r="F1244" s="319"/>
      <c r="G1244" s="320"/>
      <c r="H1244" s="332"/>
      <c r="I1244" s="332"/>
      <c r="J1244" s="321"/>
    </row>
    <row r="1245" spans="1:10" x14ac:dyDescent="0.25">
      <c r="A1245" s="303"/>
      <c r="B1245" s="310"/>
      <c r="C1245" s="334"/>
      <c r="D1245" s="312"/>
      <c r="E1245" s="313"/>
      <c r="F1245" s="313"/>
      <c r="G1245" s="313"/>
      <c r="H1245" s="343"/>
      <c r="I1245" s="335" t="s">
        <v>501</v>
      </c>
      <c r="J1245" s="315">
        <v>172.34280000000001</v>
      </c>
    </row>
    <row r="1246" spans="1:10" x14ac:dyDescent="0.25">
      <c r="A1246" s="303"/>
      <c r="B1246" s="310" t="s">
        <v>464</v>
      </c>
      <c r="C1246" s="311" t="s">
        <v>502</v>
      </c>
      <c r="D1246" s="312"/>
      <c r="E1246" s="313"/>
      <c r="F1246" s="314" t="s">
        <v>464</v>
      </c>
      <c r="G1246" s="324" t="s">
        <v>503</v>
      </c>
      <c r="H1246" s="329" t="s">
        <v>465</v>
      </c>
      <c r="I1246" s="336" t="s">
        <v>468</v>
      </c>
      <c r="J1246" s="322" t="s">
        <v>492</v>
      </c>
    </row>
    <row r="1247" spans="1:10" x14ac:dyDescent="0.25">
      <c r="A1247" s="303"/>
      <c r="B1247" s="337" t="s">
        <v>346</v>
      </c>
      <c r="C1247" s="311"/>
      <c r="D1247" s="312"/>
      <c r="E1247" s="313"/>
      <c r="F1247" s="314"/>
      <c r="G1247" s="314"/>
      <c r="H1247" s="329"/>
      <c r="I1247" s="329"/>
      <c r="J1247" s="315"/>
    </row>
    <row r="1248" spans="1:10" x14ac:dyDescent="0.25">
      <c r="A1248" s="303"/>
      <c r="B1248" s="333" t="s">
        <v>346</v>
      </c>
      <c r="C1248" s="317"/>
      <c r="D1248" s="318"/>
      <c r="E1248" s="319"/>
      <c r="F1248" s="320"/>
      <c r="G1248" s="320"/>
      <c r="H1248" s="332"/>
      <c r="I1248" s="332"/>
      <c r="J1248" s="321"/>
    </row>
    <row r="1249" spans="1:10" x14ac:dyDescent="0.25">
      <c r="A1249" s="303"/>
      <c r="B1249" s="333" t="s">
        <v>346</v>
      </c>
      <c r="C1249" s="317"/>
      <c r="D1249" s="318"/>
      <c r="E1249" s="319"/>
      <c r="F1249" s="320"/>
      <c r="G1249" s="320"/>
      <c r="H1249" s="332"/>
      <c r="I1249" s="332"/>
      <c r="J1249" s="321"/>
    </row>
    <row r="1250" spans="1:10" x14ac:dyDescent="0.25">
      <c r="A1250" s="303"/>
      <c r="B1250" s="333" t="s">
        <v>346</v>
      </c>
      <c r="C1250" s="317"/>
      <c r="D1250" s="318"/>
      <c r="E1250" s="319"/>
      <c r="F1250" s="320"/>
      <c r="G1250" s="320"/>
      <c r="H1250" s="332"/>
      <c r="I1250" s="332"/>
      <c r="J1250" s="321"/>
    </row>
    <row r="1251" spans="1:10" x14ac:dyDescent="0.25">
      <c r="A1251" s="303"/>
      <c r="B1251" s="333" t="s">
        <v>346</v>
      </c>
      <c r="C1251" s="317"/>
      <c r="D1251" s="318"/>
      <c r="E1251" s="319"/>
      <c r="F1251" s="320"/>
      <c r="G1251" s="320"/>
      <c r="H1251" s="332"/>
      <c r="I1251" s="332"/>
      <c r="J1251" s="321"/>
    </row>
    <row r="1252" spans="1:10" x14ac:dyDescent="0.25">
      <c r="A1252" s="303"/>
      <c r="B1252" s="310"/>
      <c r="C1252" s="334"/>
      <c r="D1252" s="312"/>
      <c r="E1252" s="313"/>
      <c r="F1252" s="313"/>
      <c r="G1252" s="313"/>
      <c r="H1252" s="343"/>
      <c r="I1252" s="338" t="s">
        <v>507</v>
      </c>
      <c r="J1252" s="315">
        <v>0</v>
      </c>
    </row>
    <row r="1253" spans="1:10" x14ac:dyDescent="0.25">
      <c r="A1253" s="303"/>
      <c r="B1253" s="310" t="s">
        <v>464</v>
      </c>
      <c r="C1253" s="311" t="s">
        <v>508</v>
      </c>
      <c r="D1253" s="345" t="s">
        <v>509</v>
      </c>
      <c r="E1253" s="324" t="s">
        <v>873</v>
      </c>
      <c r="F1253" s="324" t="s">
        <v>874</v>
      </c>
      <c r="G1253" s="324" t="s">
        <v>875</v>
      </c>
      <c r="H1253" s="336" t="s">
        <v>468</v>
      </c>
      <c r="I1253" s="324" t="s">
        <v>491</v>
      </c>
      <c r="J1253" s="322" t="s">
        <v>492</v>
      </c>
    </row>
    <row r="1254" spans="1:10" x14ac:dyDescent="0.25">
      <c r="A1254" s="303"/>
      <c r="B1254" s="337" t="s">
        <v>346</v>
      </c>
      <c r="C1254" s="311"/>
      <c r="D1254" s="345"/>
      <c r="E1254" s="314"/>
      <c r="F1254" s="314"/>
      <c r="G1254" s="314"/>
      <c r="H1254" s="329"/>
      <c r="I1254" s="314"/>
      <c r="J1254" s="315"/>
    </row>
    <row r="1255" spans="1:10" x14ac:dyDescent="0.25">
      <c r="A1255" s="303"/>
      <c r="B1255" s="333" t="s">
        <v>346</v>
      </c>
      <c r="C1255" s="317"/>
      <c r="D1255" s="346"/>
      <c r="E1255" s="320"/>
      <c r="F1255" s="320"/>
      <c r="G1255" s="320"/>
      <c r="H1255" s="332"/>
      <c r="I1255" s="320"/>
      <c r="J1255" s="321"/>
    </row>
    <row r="1256" spans="1:10" x14ac:dyDescent="0.25">
      <c r="A1256" s="303"/>
      <c r="B1256" s="333" t="s">
        <v>346</v>
      </c>
      <c r="C1256" s="317"/>
      <c r="D1256" s="346"/>
      <c r="E1256" s="320"/>
      <c r="F1256" s="320"/>
      <c r="G1256" s="320"/>
      <c r="H1256" s="332"/>
      <c r="I1256" s="320"/>
      <c r="J1256" s="321"/>
    </row>
    <row r="1257" spans="1:10" x14ac:dyDescent="0.25">
      <c r="A1257" s="303"/>
      <c r="B1257" s="333" t="s">
        <v>346</v>
      </c>
      <c r="C1257" s="317"/>
      <c r="D1257" s="346"/>
      <c r="E1257" s="320"/>
      <c r="F1257" s="320"/>
      <c r="G1257" s="320"/>
      <c r="H1257" s="332"/>
      <c r="I1257" s="320"/>
      <c r="J1257" s="321"/>
    </row>
    <row r="1258" spans="1:10" x14ac:dyDescent="0.25">
      <c r="A1258" s="303"/>
      <c r="B1258" s="333" t="s">
        <v>346</v>
      </c>
      <c r="C1258" s="317"/>
      <c r="D1258" s="346"/>
      <c r="E1258" s="320"/>
      <c r="F1258" s="320"/>
      <c r="G1258" s="320"/>
      <c r="H1258" s="332"/>
      <c r="I1258" s="320"/>
      <c r="J1258" s="321"/>
    </row>
    <row r="1259" spans="1:10" x14ac:dyDescent="0.25">
      <c r="A1259" s="303"/>
      <c r="B1259" s="333" t="s">
        <v>346</v>
      </c>
      <c r="C1259" s="317"/>
      <c r="D1259" s="346"/>
      <c r="E1259" s="320"/>
      <c r="F1259" s="320"/>
      <c r="G1259" s="320"/>
      <c r="H1259" s="332"/>
      <c r="I1259" s="320"/>
      <c r="J1259" s="321"/>
    </row>
    <row r="1260" spans="1:10" x14ac:dyDescent="0.25">
      <c r="A1260" s="303"/>
      <c r="B1260" s="333" t="s">
        <v>346</v>
      </c>
      <c r="C1260" s="317"/>
      <c r="D1260" s="346"/>
      <c r="E1260" s="320"/>
      <c r="F1260" s="320"/>
      <c r="G1260" s="320"/>
      <c r="H1260" s="332"/>
      <c r="I1260" s="320"/>
      <c r="J1260" s="321"/>
    </row>
    <row r="1261" spans="1:10" x14ac:dyDescent="0.25">
      <c r="A1261" s="303"/>
      <c r="B1261" s="310"/>
      <c r="C1261" s="334"/>
      <c r="D1261" s="312"/>
      <c r="E1261" s="313"/>
      <c r="F1261" s="313"/>
      <c r="G1261" s="313"/>
      <c r="H1261" s="313"/>
      <c r="I1261" s="338" t="s">
        <v>513</v>
      </c>
      <c r="J1261" s="315">
        <v>0</v>
      </c>
    </row>
    <row r="1262" spans="1:10" x14ac:dyDescent="0.25">
      <c r="A1262" s="303"/>
      <c r="B1262" s="310" t="s">
        <v>514</v>
      </c>
      <c r="C1262" s="334"/>
      <c r="D1262" s="312"/>
      <c r="E1262" s="313"/>
      <c r="F1262" s="313"/>
      <c r="G1262" s="313"/>
      <c r="H1262" s="313"/>
      <c r="I1262" s="313"/>
      <c r="J1262" s="315">
        <v>214.72290000000001</v>
      </c>
    </row>
    <row r="1263" spans="1:10" x14ac:dyDescent="0.25">
      <c r="A1263" s="303"/>
      <c r="B1263" s="310" t="s">
        <v>515</v>
      </c>
      <c r="C1263" s="334"/>
      <c r="D1263" s="312">
        <v>0</v>
      </c>
      <c r="E1263" s="313"/>
      <c r="F1263" s="313"/>
      <c r="G1263" s="313"/>
      <c r="H1263" s="313"/>
      <c r="I1263" s="313"/>
      <c r="J1263" s="315">
        <v>0</v>
      </c>
    </row>
    <row r="1264" spans="1:10" ht="14.4" thickBot="1" x14ac:dyDescent="0.3">
      <c r="A1264" s="303"/>
      <c r="B1264" s="310" t="s">
        <v>516</v>
      </c>
      <c r="C1264" s="334"/>
      <c r="D1264" s="312"/>
      <c r="E1264" s="313"/>
      <c r="F1264" s="313"/>
      <c r="G1264" s="313"/>
      <c r="H1264" s="313"/>
      <c r="I1264" s="313"/>
      <c r="J1264" s="347">
        <v>214.72</v>
      </c>
    </row>
    <row r="1265" spans="1:10" x14ac:dyDescent="0.25">
      <c r="A1265" s="303"/>
      <c r="B1265" s="304"/>
      <c r="C1265" s="305"/>
      <c r="D1265" s="348"/>
      <c r="E1265" s="308"/>
      <c r="F1265" s="308"/>
      <c r="G1265" s="308"/>
      <c r="H1265" s="308"/>
      <c r="I1265" s="308"/>
      <c r="J1265" s="309"/>
    </row>
    <row r="1266" spans="1:10" x14ac:dyDescent="0.25">
      <c r="A1266" s="303"/>
      <c r="B1266" s="316"/>
      <c r="C1266" s="303"/>
      <c r="D1266" s="318"/>
      <c r="E1266" s="319"/>
      <c r="F1266" s="319"/>
      <c r="G1266" s="319"/>
      <c r="H1266" s="319"/>
      <c r="I1266" s="319"/>
      <c r="J1266" s="349"/>
    </row>
    <row r="1267" spans="1:10" x14ac:dyDescent="0.25">
      <c r="A1267" s="303"/>
      <c r="B1267" s="316"/>
      <c r="C1267" s="303"/>
      <c r="D1267" s="318"/>
      <c r="E1267" s="319"/>
      <c r="F1267" s="319"/>
      <c r="G1267" s="319"/>
      <c r="H1267" s="319"/>
      <c r="I1267" s="319"/>
      <c r="J1267" s="349"/>
    </row>
    <row r="1268" spans="1:10" ht="14.4" thickBot="1" x14ac:dyDescent="0.3">
      <c r="A1268" s="303"/>
      <c r="B1268" s="350"/>
      <c r="C1268" s="303"/>
      <c r="D1268" s="318"/>
      <c r="E1268" s="319"/>
      <c r="F1268" s="319"/>
      <c r="G1268" s="319"/>
      <c r="H1268" s="319"/>
      <c r="I1268" s="319"/>
      <c r="J1268" s="351"/>
    </row>
    <row r="1269" spans="1:10" x14ac:dyDescent="0.25">
      <c r="A1269" s="303"/>
      <c r="B1269" s="305"/>
      <c r="C1269" s="305"/>
      <c r="D1269" s="348"/>
      <c r="E1269" s="308"/>
      <c r="F1269" s="308"/>
      <c r="G1269" s="308"/>
      <c r="H1269" s="308"/>
      <c r="I1269" s="308"/>
      <c r="J1269" s="352"/>
    </row>
    <row r="1270" spans="1:10" ht="14.4" thickBot="1" x14ac:dyDescent="0.3">
      <c r="A1270" s="303"/>
      <c r="B1270" s="303"/>
      <c r="C1270" s="303"/>
      <c r="D1270" s="318"/>
      <c r="E1270" s="319"/>
      <c r="F1270" s="319"/>
      <c r="G1270" s="319"/>
      <c r="H1270" s="319"/>
      <c r="I1270" s="319"/>
      <c r="J1270" s="353"/>
    </row>
    <row r="1271" spans="1:10" x14ac:dyDescent="0.25">
      <c r="A1271" s="303"/>
      <c r="B1271" s="304"/>
      <c r="C1271" s="305"/>
      <c r="D1271" s="306" t="s">
        <v>463</v>
      </c>
      <c r="E1271" s="307"/>
      <c r="F1271" s="307"/>
      <c r="G1271" s="308"/>
      <c r="H1271" s="308"/>
      <c r="I1271" s="308"/>
      <c r="J1271" s="309"/>
    </row>
    <row r="1272" spans="1:10" x14ac:dyDescent="0.25">
      <c r="A1272" s="303"/>
      <c r="B1272" s="310" t="s">
        <v>464</v>
      </c>
      <c r="C1272" s="311" t="s">
        <v>134</v>
      </c>
      <c r="D1272" s="312"/>
      <c r="E1272" s="313"/>
      <c r="F1272" s="313"/>
      <c r="G1272" s="313"/>
      <c r="H1272" s="314"/>
      <c r="I1272" s="313"/>
      <c r="J1272" s="315" t="s">
        <v>465</v>
      </c>
    </row>
    <row r="1273" spans="1:10" x14ac:dyDescent="0.25">
      <c r="A1273" s="303"/>
      <c r="B1273" s="316">
        <v>5213414</v>
      </c>
      <c r="C1273" s="317" t="s">
        <v>942</v>
      </c>
      <c r="D1273" s="318"/>
      <c r="E1273" s="319"/>
      <c r="F1273" s="319"/>
      <c r="G1273" s="319"/>
      <c r="H1273" s="320"/>
      <c r="I1273" s="319"/>
      <c r="J1273" s="321" t="s">
        <v>368</v>
      </c>
    </row>
    <row r="1274" spans="1:10" x14ac:dyDescent="0.25">
      <c r="A1274" s="303"/>
      <c r="B1274" s="310"/>
      <c r="C1274" s="311"/>
      <c r="D1274" s="312"/>
      <c r="E1274" s="314"/>
      <c r="F1274" s="314" t="s">
        <v>466</v>
      </c>
      <c r="G1274" s="314"/>
      <c r="H1274" s="314" t="s">
        <v>467</v>
      </c>
      <c r="I1274" s="314"/>
      <c r="J1274" s="322" t="s">
        <v>468</v>
      </c>
    </row>
    <row r="1275" spans="1:10" x14ac:dyDescent="0.25">
      <c r="A1275" s="303"/>
      <c r="B1275" s="316" t="s">
        <v>464</v>
      </c>
      <c r="C1275" s="317" t="s">
        <v>469</v>
      </c>
      <c r="D1275" s="318"/>
      <c r="E1275" s="323" t="s">
        <v>355</v>
      </c>
      <c r="F1275" s="324" t="s">
        <v>470</v>
      </c>
      <c r="G1275" s="324" t="s">
        <v>471</v>
      </c>
      <c r="H1275" s="324" t="s">
        <v>472</v>
      </c>
      <c r="I1275" s="325" t="s">
        <v>473</v>
      </c>
      <c r="J1275" s="326" t="s">
        <v>474</v>
      </c>
    </row>
    <row r="1276" spans="1:10" x14ac:dyDescent="0.25">
      <c r="A1276" s="303"/>
      <c r="B1276" s="327" t="s">
        <v>673</v>
      </c>
      <c r="C1276" s="311" t="s">
        <v>674</v>
      </c>
      <c r="D1276" s="312"/>
      <c r="E1276" s="328">
        <v>0.48193000000000003</v>
      </c>
      <c r="F1276" s="328">
        <v>1</v>
      </c>
      <c r="G1276" s="328">
        <v>0</v>
      </c>
      <c r="H1276" s="329">
        <v>13.1327</v>
      </c>
      <c r="I1276" s="329">
        <v>2.9087000000000001</v>
      </c>
      <c r="J1276" s="315">
        <v>6.3289999999999997</v>
      </c>
    </row>
    <row r="1277" spans="1:10" x14ac:dyDescent="0.25">
      <c r="A1277" s="303"/>
      <c r="B1277" s="330" t="s">
        <v>676</v>
      </c>
      <c r="C1277" s="317" t="s">
        <v>922</v>
      </c>
      <c r="D1277" s="318"/>
      <c r="E1277" s="331">
        <v>0.15060000000000001</v>
      </c>
      <c r="F1277" s="331">
        <v>1</v>
      </c>
      <c r="G1277" s="331">
        <v>0</v>
      </c>
      <c r="H1277" s="332">
        <v>0.18540000000000001</v>
      </c>
      <c r="I1277" s="332">
        <v>0.122</v>
      </c>
      <c r="J1277" s="321">
        <v>2.7900000000000001E-2</v>
      </c>
    </row>
    <row r="1278" spans="1:10" x14ac:dyDescent="0.25">
      <c r="A1278" s="303"/>
      <c r="B1278" s="330" t="s">
        <v>677</v>
      </c>
      <c r="C1278" s="317" t="s">
        <v>923</v>
      </c>
      <c r="D1278" s="318"/>
      <c r="E1278" s="331">
        <v>0.48193000000000003</v>
      </c>
      <c r="F1278" s="331">
        <v>1</v>
      </c>
      <c r="G1278" s="331">
        <v>0</v>
      </c>
      <c r="H1278" s="332">
        <v>5.4790000000000001</v>
      </c>
      <c r="I1278" s="332">
        <v>3.4460000000000002</v>
      </c>
      <c r="J1278" s="321">
        <v>2.6404999999999998</v>
      </c>
    </row>
    <row r="1279" spans="1:10" x14ac:dyDescent="0.25">
      <c r="A1279" s="303"/>
      <c r="B1279" s="330" t="s">
        <v>678</v>
      </c>
      <c r="C1279" s="317" t="s">
        <v>924</v>
      </c>
      <c r="D1279" s="318"/>
      <c r="E1279" s="331">
        <v>0.20080000000000001</v>
      </c>
      <c r="F1279" s="331">
        <v>1</v>
      </c>
      <c r="G1279" s="331">
        <v>0</v>
      </c>
      <c r="H1279" s="332">
        <v>14.480499999999999</v>
      </c>
      <c r="I1279" s="332">
        <v>9.1074000000000002</v>
      </c>
      <c r="J1279" s="321">
        <v>2.9077000000000002</v>
      </c>
    </row>
    <row r="1280" spans="1:10" x14ac:dyDescent="0.25">
      <c r="A1280" s="303"/>
      <c r="B1280" s="333" t="s">
        <v>346</v>
      </c>
      <c r="C1280" s="317"/>
      <c r="D1280" s="318"/>
      <c r="E1280" s="331"/>
      <c r="F1280" s="331"/>
      <c r="G1280" s="331"/>
      <c r="H1280" s="332"/>
      <c r="I1280" s="332"/>
      <c r="J1280" s="321"/>
    </row>
    <row r="1281" spans="1:10" x14ac:dyDescent="0.25">
      <c r="A1281" s="303"/>
      <c r="B1281" s="333" t="s">
        <v>346</v>
      </c>
      <c r="C1281" s="317"/>
      <c r="D1281" s="318"/>
      <c r="E1281" s="331"/>
      <c r="F1281" s="331"/>
      <c r="G1281" s="331"/>
      <c r="H1281" s="332"/>
      <c r="I1281" s="332"/>
      <c r="J1281" s="321"/>
    </row>
    <row r="1282" spans="1:10" x14ac:dyDescent="0.25">
      <c r="A1282" s="303"/>
      <c r="B1282" s="333" t="s">
        <v>346</v>
      </c>
      <c r="C1282" s="317"/>
      <c r="D1282" s="318"/>
      <c r="E1282" s="331"/>
      <c r="F1282" s="331"/>
      <c r="G1282" s="331"/>
      <c r="H1282" s="332"/>
      <c r="I1282" s="332"/>
      <c r="J1282" s="321"/>
    </row>
    <row r="1283" spans="1:10" x14ac:dyDescent="0.25">
      <c r="A1283" s="303"/>
      <c r="B1283" s="310"/>
      <c r="C1283" s="334"/>
      <c r="D1283" s="312"/>
      <c r="E1283" s="313"/>
      <c r="F1283" s="313"/>
      <c r="G1283" s="313"/>
      <c r="H1283" s="313"/>
      <c r="I1283" s="335" t="s">
        <v>479</v>
      </c>
      <c r="J1283" s="315">
        <v>11.905099999999999</v>
      </c>
    </row>
    <row r="1284" spans="1:10" x14ac:dyDescent="0.25">
      <c r="A1284" s="303"/>
      <c r="B1284" s="310" t="s">
        <v>464</v>
      </c>
      <c r="C1284" s="311" t="s">
        <v>480</v>
      </c>
      <c r="D1284" s="312"/>
      <c r="E1284" s="313"/>
      <c r="F1284" s="313"/>
      <c r="G1284" s="313"/>
      <c r="H1284" s="324" t="s">
        <v>355</v>
      </c>
      <c r="I1284" s="336" t="s">
        <v>481</v>
      </c>
      <c r="J1284" s="322" t="s">
        <v>331</v>
      </c>
    </row>
    <row r="1285" spans="1:10" x14ac:dyDescent="0.25">
      <c r="A1285" s="303"/>
      <c r="B1285" s="337" t="s">
        <v>679</v>
      </c>
      <c r="C1285" s="311" t="s">
        <v>680</v>
      </c>
      <c r="D1285" s="312"/>
      <c r="E1285" s="313"/>
      <c r="F1285" s="313"/>
      <c r="G1285" s="313"/>
      <c r="H1285" s="314">
        <v>2</v>
      </c>
      <c r="I1285" s="329">
        <v>18.301200000000001</v>
      </c>
      <c r="J1285" s="315">
        <v>36.602400000000003</v>
      </c>
    </row>
    <row r="1286" spans="1:10" x14ac:dyDescent="0.25">
      <c r="A1286" s="303"/>
      <c r="B1286" s="333" t="s">
        <v>681</v>
      </c>
      <c r="C1286" s="317" t="s">
        <v>682</v>
      </c>
      <c r="D1286" s="318"/>
      <c r="E1286" s="319"/>
      <c r="F1286" s="319"/>
      <c r="G1286" s="319"/>
      <c r="H1286" s="320">
        <v>1</v>
      </c>
      <c r="I1286" s="332">
        <v>24.008600000000001</v>
      </c>
      <c r="J1286" s="321">
        <v>24.008600000000001</v>
      </c>
    </row>
    <row r="1287" spans="1:10" x14ac:dyDescent="0.25">
      <c r="A1287" s="303"/>
      <c r="B1287" s="333" t="s">
        <v>482</v>
      </c>
      <c r="C1287" s="317" t="s">
        <v>483</v>
      </c>
      <c r="D1287" s="318"/>
      <c r="E1287" s="319"/>
      <c r="F1287" s="319"/>
      <c r="G1287" s="319"/>
      <c r="H1287" s="320">
        <v>2</v>
      </c>
      <c r="I1287" s="332">
        <v>17.768000000000001</v>
      </c>
      <c r="J1287" s="321">
        <v>35.536000000000001</v>
      </c>
    </row>
    <row r="1288" spans="1:10" x14ac:dyDescent="0.25">
      <c r="A1288" s="303"/>
      <c r="B1288" s="333" t="s">
        <v>661</v>
      </c>
      <c r="C1288" s="317" t="s">
        <v>662</v>
      </c>
      <c r="D1288" s="318"/>
      <c r="E1288" s="319"/>
      <c r="F1288" s="319"/>
      <c r="G1288" s="319"/>
      <c r="H1288" s="320">
        <v>1</v>
      </c>
      <c r="I1288" s="332">
        <v>24.440999999999999</v>
      </c>
      <c r="J1288" s="321">
        <v>24.440999999999999</v>
      </c>
    </row>
    <row r="1289" spans="1:10" x14ac:dyDescent="0.25">
      <c r="A1289" s="303"/>
      <c r="B1289" s="333" t="s">
        <v>346</v>
      </c>
      <c r="C1289" s="317"/>
      <c r="D1289" s="318"/>
      <c r="E1289" s="319"/>
      <c r="F1289" s="319"/>
      <c r="G1289" s="319"/>
      <c r="H1289" s="320"/>
      <c r="I1289" s="332"/>
      <c r="J1289" s="321"/>
    </row>
    <row r="1290" spans="1:10" x14ac:dyDescent="0.25">
      <c r="A1290" s="303"/>
      <c r="B1290" s="333" t="s">
        <v>346</v>
      </c>
      <c r="C1290" s="317"/>
      <c r="D1290" s="318"/>
      <c r="E1290" s="319"/>
      <c r="F1290" s="319"/>
      <c r="G1290" s="319"/>
      <c r="H1290" s="320"/>
      <c r="I1290" s="332"/>
      <c r="J1290" s="321"/>
    </row>
    <row r="1291" spans="1:10" x14ac:dyDescent="0.25">
      <c r="A1291" s="303"/>
      <c r="B1291" s="333" t="s">
        <v>346</v>
      </c>
      <c r="C1291" s="317"/>
      <c r="D1291" s="318"/>
      <c r="E1291" s="319"/>
      <c r="F1291" s="319"/>
      <c r="G1291" s="319"/>
      <c r="H1291" s="320"/>
      <c r="I1291" s="332"/>
      <c r="J1291" s="321"/>
    </row>
    <row r="1292" spans="1:10" x14ac:dyDescent="0.25">
      <c r="A1292" s="303"/>
      <c r="B1292" s="310"/>
      <c r="C1292" s="334"/>
      <c r="D1292" s="312"/>
      <c r="E1292" s="313"/>
      <c r="F1292" s="313"/>
      <c r="G1292" s="313"/>
      <c r="H1292" s="313"/>
      <c r="I1292" s="338" t="s">
        <v>484</v>
      </c>
      <c r="J1292" s="315">
        <v>120.58800000000001</v>
      </c>
    </row>
    <row r="1293" spans="1:10" x14ac:dyDescent="0.25">
      <c r="A1293" s="303"/>
      <c r="B1293" s="339"/>
      <c r="C1293" s="334"/>
      <c r="D1293" s="312"/>
      <c r="E1293" s="313"/>
      <c r="F1293" s="313"/>
      <c r="G1293" s="313"/>
      <c r="H1293" s="313"/>
      <c r="I1293" s="338" t="s">
        <v>485</v>
      </c>
      <c r="J1293" s="340">
        <v>132.4931</v>
      </c>
    </row>
    <row r="1294" spans="1:10" x14ac:dyDescent="0.25">
      <c r="A1294" s="303"/>
      <c r="B1294" s="339"/>
      <c r="C1294" s="341" t="s">
        <v>486</v>
      </c>
      <c r="D1294" s="312">
        <v>4</v>
      </c>
      <c r="E1294" s="313"/>
      <c r="F1294" s="313"/>
      <c r="G1294" s="313"/>
      <c r="H1294" s="313"/>
      <c r="I1294" s="338" t="s">
        <v>487</v>
      </c>
      <c r="J1294" s="340">
        <v>33.1233</v>
      </c>
    </row>
    <row r="1295" spans="1:10" x14ac:dyDescent="0.25">
      <c r="A1295" s="303"/>
      <c r="B1295" s="310"/>
      <c r="C1295" s="334"/>
      <c r="D1295" s="312"/>
      <c r="E1295" s="313"/>
      <c r="F1295" s="313"/>
      <c r="G1295" s="313"/>
      <c r="H1295" s="338" t="s">
        <v>488</v>
      </c>
      <c r="I1295" s="342">
        <v>0</v>
      </c>
      <c r="J1295" s="315">
        <v>0</v>
      </c>
    </row>
    <row r="1296" spans="1:10" x14ac:dyDescent="0.25">
      <c r="A1296" s="303"/>
      <c r="B1296" s="310"/>
      <c r="C1296" s="334"/>
      <c r="D1296" s="312"/>
      <c r="E1296" s="313"/>
      <c r="F1296" s="313"/>
      <c r="G1296" s="313"/>
      <c r="H1296" s="335" t="s">
        <v>489</v>
      </c>
      <c r="I1296" s="343">
        <v>0</v>
      </c>
      <c r="J1296" s="315">
        <v>0</v>
      </c>
    </row>
    <row r="1297" spans="1:10" x14ac:dyDescent="0.25">
      <c r="A1297" s="303"/>
      <c r="B1297" s="310" t="s">
        <v>464</v>
      </c>
      <c r="C1297" s="311" t="s">
        <v>490</v>
      </c>
      <c r="D1297" s="312"/>
      <c r="E1297" s="313"/>
      <c r="F1297" s="313"/>
      <c r="G1297" s="314" t="s">
        <v>465</v>
      </c>
      <c r="H1297" s="336" t="s">
        <v>468</v>
      </c>
      <c r="I1297" s="336" t="s">
        <v>491</v>
      </c>
      <c r="J1297" s="322" t="s">
        <v>492</v>
      </c>
    </row>
    <row r="1298" spans="1:10" x14ac:dyDescent="0.25">
      <c r="A1298" s="303"/>
      <c r="B1298" s="337" t="s">
        <v>683</v>
      </c>
      <c r="C1298" s="311" t="s">
        <v>925</v>
      </c>
      <c r="D1298" s="312"/>
      <c r="E1298" s="313"/>
      <c r="F1298" s="313"/>
      <c r="G1298" s="314" t="s">
        <v>560</v>
      </c>
      <c r="H1298" s="329">
        <v>9.7101000000000006</v>
      </c>
      <c r="I1298" s="329">
        <v>11.775</v>
      </c>
      <c r="J1298" s="315">
        <v>114.3364</v>
      </c>
    </row>
    <row r="1299" spans="1:10" x14ac:dyDescent="0.25">
      <c r="A1299" s="303"/>
      <c r="B1299" s="333" t="s">
        <v>700</v>
      </c>
      <c r="C1299" s="317" t="s">
        <v>701</v>
      </c>
      <c r="D1299" s="318"/>
      <c r="E1299" s="319"/>
      <c r="F1299" s="319"/>
      <c r="G1299" s="320" t="s">
        <v>368</v>
      </c>
      <c r="H1299" s="332">
        <v>317.97399999999999</v>
      </c>
      <c r="I1299" s="332">
        <v>1</v>
      </c>
      <c r="J1299" s="321">
        <v>317.97399999999999</v>
      </c>
    </row>
    <row r="1300" spans="1:10" x14ac:dyDescent="0.25">
      <c r="A1300" s="303"/>
      <c r="B1300" s="333" t="s">
        <v>346</v>
      </c>
      <c r="C1300" s="317"/>
      <c r="D1300" s="318"/>
      <c r="E1300" s="319"/>
      <c r="F1300" s="319"/>
      <c r="G1300" s="320"/>
      <c r="H1300" s="332"/>
      <c r="I1300" s="332"/>
      <c r="J1300" s="321"/>
    </row>
    <row r="1301" spans="1:10" x14ac:dyDescent="0.25">
      <c r="A1301" s="303"/>
      <c r="B1301" s="333" t="s">
        <v>346</v>
      </c>
      <c r="C1301" s="317"/>
      <c r="D1301" s="318"/>
      <c r="E1301" s="319"/>
      <c r="F1301" s="319"/>
      <c r="G1301" s="320"/>
      <c r="H1301" s="332"/>
      <c r="I1301" s="332"/>
      <c r="J1301" s="321"/>
    </row>
    <row r="1302" spans="1:10" x14ac:dyDescent="0.25">
      <c r="A1302" s="303"/>
      <c r="B1302" s="333" t="s">
        <v>346</v>
      </c>
      <c r="C1302" s="317"/>
      <c r="D1302" s="318"/>
      <c r="E1302" s="319"/>
      <c r="F1302" s="319"/>
      <c r="G1302" s="320"/>
      <c r="H1302" s="332"/>
      <c r="I1302" s="332"/>
      <c r="J1302" s="321"/>
    </row>
    <row r="1303" spans="1:10" x14ac:dyDescent="0.25">
      <c r="A1303" s="303"/>
      <c r="B1303" s="333" t="s">
        <v>346</v>
      </c>
      <c r="C1303" s="317"/>
      <c r="D1303" s="318"/>
      <c r="E1303" s="319"/>
      <c r="F1303" s="319"/>
      <c r="G1303" s="320"/>
      <c r="H1303" s="332"/>
      <c r="I1303" s="332"/>
      <c r="J1303" s="321"/>
    </row>
    <row r="1304" spans="1:10" x14ac:dyDescent="0.25">
      <c r="A1304" s="303"/>
      <c r="B1304" s="333" t="s">
        <v>346</v>
      </c>
      <c r="C1304" s="317"/>
      <c r="D1304" s="318"/>
      <c r="E1304" s="319"/>
      <c r="F1304" s="319"/>
      <c r="G1304" s="320"/>
      <c r="H1304" s="332"/>
      <c r="I1304" s="332"/>
      <c r="J1304" s="321"/>
    </row>
    <row r="1305" spans="1:10" x14ac:dyDescent="0.25">
      <c r="A1305" s="303"/>
      <c r="B1305" s="310"/>
      <c r="C1305" s="334"/>
      <c r="D1305" s="312"/>
      <c r="E1305" s="313"/>
      <c r="F1305" s="313"/>
      <c r="G1305" s="313"/>
      <c r="H1305" s="343"/>
      <c r="I1305" s="335" t="s">
        <v>498</v>
      </c>
      <c r="J1305" s="315">
        <v>432.31039999999996</v>
      </c>
    </row>
    <row r="1306" spans="1:10" x14ac:dyDescent="0.25">
      <c r="A1306" s="303"/>
      <c r="B1306" s="310" t="s">
        <v>464</v>
      </c>
      <c r="C1306" s="311" t="s">
        <v>499</v>
      </c>
      <c r="D1306" s="312"/>
      <c r="E1306" s="313"/>
      <c r="F1306" s="313"/>
      <c r="G1306" s="314" t="s">
        <v>465</v>
      </c>
      <c r="H1306" s="336" t="s">
        <v>468</v>
      </c>
      <c r="I1306" s="336" t="s">
        <v>491</v>
      </c>
      <c r="J1306" s="322" t="s">
        <v>492</v>
      </c>
    </row>
    <row r="1307" spans="1:10" x14ac:dyDescent="0.25">
      <c r="A1307" s="303"/>
      <c r="B1307" s="337">
        <v>5212552</v>
      </c>
      <c r="C1307" s="311" t="s">
        <v>926</v>
      </c>
      <c r="D1307" s="312"/>
      <c r="E1307" s="313"/>
      <c r="F1307" s="313"/>
      <c r="G1307" s="314" t="s">
        <v>368</v>
      </c>
      <c r="H1307" s="329">
        <v>12.31</v>
      </c>
      <c r="I1307" s="329">
        <v>1</v>
      </c>
      <c r="J1307" s="315">
        <v>12.31</v>
      </c>
    </row>
    <row r="1308" spans="1:10" x14ac:dyDescent="0.25">
      <c r="A1308" s="303"/>
      <c r="B1308" s="333"/>
      <c r="C1308" s="317"/>
      <c r="D1308" s="318"/>
      <c r="E1308" s="319"/>
      <c r="F1308" s="319"/>
      <c r="G1308" s="320"/>
      <c r="H1308" s="332"/>
      <c r="I1308" s="332"/>
      <c r="J1308" s="321"/>
    </row>
    <row r="1309" spans="1:10" x14ac:dyDescent="0.25">
      <c r="A1309" s="303"/>
      <c r="B1309" s="333"/>
      <c r="C1309" s="317"/>
      <c r="D1309" s="318"/>
      <c r="E1309" s="319"/>
      <c r="F1309" s="319"/>
      <c r="G1309" s="320"/>
      <c r="H1309" s="332"/>
      <c r="I1309" s="332"/>
      <c r="J1309" s="321"/>
    </row>
    <row r="1310" spans="1:10" x14ac:dyDescent="0.25">
      <c r="A1310" s="303"/>
      <c r="B1310" s="333"/>
      <c r="C1310" s="317"/>
      <c r="D1310" s="318"/>
      <c r="E1310" s="319"/>
      <c r="F1310" s="319"/>
      <c r="G1310" s="320"/>
      <c r="H1310" s="332"/>
      <c r="I1310" s="332"/>
      <c r="J1310" s="321"/>
    </row>
    <row r="1311" spans="1:10" x14ac:dyDescent="0.25">
      <c r="A1311" s="303"/>
      <c r="B1311" s="333"/>
      <c r="C1311" s="317"/>
      <c r="D1311" s="318"/>
      <c r="E1311" s="319"/>
      <c r="F1311" s="319"/>
      <c r="G1311" s="320"/>
      <c r="H1311" s="332"/>
      <c r="I1311" s="332"/>
      <c r="J1311" s="321"/>
    </row>
    <row r="1312" spans="1:10" x14ac:dyDescent="0.25">
      <c r="A1312" s="303"/>
      <c r="B1312" s="310"/>
      <c r="C1312" s="334"/>
      <c r="D1312" s="312"/>
      <c r="E1312" s="313"/>
      <c r="F1312" s="313"/>
      <c r="G1312" s="313"/>
      <c r="H1312" s="343"/>
      <c r="I1312" s="335" t="s">
        <v>501</v>
      </c>
      <c r="J1312" s="315">
        <v>12.31</v>
      </c>
    </row>
    <row r="1313" spans="1:10" x14ac:dyDescent="0.25">
      <c r="A1313" s="303"/>
      <c r="B1313" s="310" t="s">
        <v>464</v>
      </c>
      <c r="C1313" s="311" t="s">
        <v>502</v>
      </c>
      <c r="D1313" s="312"/>
      <c r="E1313" s="313"/>
      <c r="F1313" s="314" t="s">
        <v>464</v>
      </c>
      <c r="G1313" s="324" t="s">
        <v>503</v>
      </c>
      <c r="H1313" s="329" t="s">
        <v>465</v>
      </c>
      <c r="I1313" s="336" t="s">
        <v>468</v>
      </c>
      <c r="J1313" s="322" t="s">
        <v>492</v>
      </c>
    </row>
    <row r="1314" spans="1:10" x14ac:dyDescent="0.25">
      <c r="A1314" s="303"/>
      <c r="B1314" s="337" t="s">
        <v>688</v>
      </c>
      <c r="C1314" s="311" t="s">
        <v>927</v>
      </c>
      <c r="D1314" s="312"/>
      <c r="E1314" s="313"/>
      <c r="F1314" s="344" t="s">
        <v>689</v>
      </c>
      <c r="G1314" s="314">
        <v>1.1780000000000001E-2</v>
      </c>
      <c r="H1314" s="329" t="s">
        <v>370</v>
      </c>
      <c r="I1314" s="329">
        <v>25.38</v>
      </c>
      <c r="J1314" s="315">
        <v>0.29899999999999999</v>
      </c>
    </row>
    <row r="1315" spans="1:10" x14ac:dyDescent="0.25">
      <c r="A1315" s="303"/>
      <c r="B1315" s="333" t="s">
        <v>943</v>
      </c>
      <c r="C1315" s="317" t="s">
        <v>944</v>
      </c>
      <c r="D1315" s="318"/>
      <c r="E1315" s="319"/>
      <c r="F1315" s="354" t="s">
        <v>632</v>
      </c>
      <c r="G1315" s="320">
        <v>4.4000000000000002E-4</v>
      </c>
      <c r="H1315" s="332" t="s">
        <v>370</v>
      </c>
      <c r="I1315" s="332">
        <v>26.18</v>
      </c>
      <c r="J1315" s="321">
        <v>1.15E-2</v>
      </c>
    </row>
    <row r="1316" spans="1:10" x14ac:dyDescent="0.25">
      <c r="A1316" s="303"/>
      <c r="B1316" s="333" t="s">
        <v>346</v>
      </c>
      <c r="C1316" s="317"/>
      <c r="D1316" s="318"/>
      <c r="E1316" s="319"/>
      <c r="F1316" s="320"/>
      <c r="G1316" s="320"/>
      <c r="H1316" s="332"/>
      <c r="I1316" s="332"/>
      <c r="J1316" s="321"/>
    </row>
    <row r="1317" spans="1:10" x14ac:dyDescent="0.25">
      <c r="A1317" s="303"/>
      <c r="B1317" s="333" t="s">
        <v>346</v>
      </c>
      <c r="C1317" s="317"/>
      <c r="D1317" s="318"/>
      <c r="E1317" s="319"/>
      <c r="F1317" s="320"/>
      <c r="G1317" s="320"/>
      <c r="H1317" s="332"/>
      <c r="I1317" s="332"/>
      <c r="J1317" s="321"/>
    </row>
    <row r="1318" spans="1:10" x14ac:dyDescent="0.25">
      <c r="A1318" s="303"/>
      <c r="B1318" s="333" t="s">
        <v>346</v>
      </c>
      <c r="C1318" s="317"/>
      <c r="D1318" s="318"/>
      <c r="E1318" s="319"/>
      <c r="F1318" s="320"/>
      <c r="G1318" s="320"/>
      <c r="H1318" s="332"/>
      <c r="I1318" s="332"/>
      <c r="J1318" s="321"/>
    </row>
    <row r="1319" spans="1:10" x14ac:dyDescent="0.25">
      <c r="A1319" s="303"/>
      <c r="B1319" s="310"/>
      <c r="C1319" s="334"/>
      <c r="D1319" s="312"/>
      <c r="E1319" s="313"/>
      <c r="F1319" s="313"/>
      <c r="G1319" s="313"/>
      <c r="H1319" s="343"/>
      <c r="I1319" s="338" t="s">
        <v>507</v>
      </c>
      <c r="J1319" s="315">
        <v>0.3105</v>
      </c>
    </row>
    <row r="1320" spans="1:10" x14ac:dyDescent="0.25">
      <c r="A1320" s="303"/>
      <c r="B1320" s="310" t="s">
        <v>464</v>
      </c>
      <c r="C1320" s="311" t="s">
        <v>508</v>
      </c>
      <c r="D1320" s="345" t="s">
        <v>509</v>
      </c>
      <c r="E1320" s="324" t="s">
        <v>873</v>
      </c>
      <c r="F1320" s="324" t="s">
        <v>874</v>
      </c>
      <c r="G1320" s="324" t="s">
        <v>875</v>
      </c>
      <c r="H1320" s="336" t="s">
        <v>468</v>
      </c>
      <c r="I1320" s="324" t="s">
        <v>491</v>
      </c>
      <c r="J1320" s="322" t="s">
        <v>492</v>
      </c>
    </row>
    <row r="1321" spans="1:10" x14ac:dyDescent="0.25">
      <c r="A1321" s="303"/>
      <c r="B1321" s="337" t="s">
        <v>690</v>
      </c>
      <c r="C1321" s="311" t="s">
        <v>932</v>
      </c>
      <c r="D1321" s="345" t="s">
        <v>510</v>
      </c>
      <c r="E1321" s="314">
        <v>0</v>
      </c>
      <c r="F1321" s="314">
        <v>0</v>
      </c>
      <c r="G1321" s="314">
        <v>100.45</v>
      </c>
      <c r="H1321" s="329">
        <v>0.55000000000000004</v>
      </c>
      <c r="I1321" s="314">
        <v>1.1780000000000001E-2</v>
      </c>
      <c r="J1321" s="315">
        <v>0.65080000000000005</v>
      </c>
    </row>
    <row r="1322" spans="1:10" x14ac:dyDescent="0.25">
      <c r="A1322" s="303"/>
      <c r="B1322" s="333" t="s">
        <v>702</v>
      </c>
      <c r="C1322" s="317" t="s">
        <v>945</v>
      </c>
      <c r="D1322" s="346" t="s">
        <v>510</v>
      </c>
      <c r="E1322" s="320">
        <v>0</v>
      </c>
      <c r="F1322" s="320">
        <v>0</v>
      </c>
      <c r="G1322" s="320">
        <v>100.45</v>
      </c>
      <c r="H1322" s="332">
        <v>0.55000000000000004</v>
      </c>
      <c r="I1322" s="320">
        <v>4.4000000000000002E-4</v>
      </c>
      <c r="J1322" s="321">
        <v>2.4299999999999999E-2</v>
      </c>
    </row>
    <row r="1323" spans="1:10" x14ac:dyDescent="0.25">
      <c r="A1323" s="303"/>
      <c r="B1323" s="333" t="s">
        <v>346</v>
      </c>
      <c r="C1323" s="317"/>
      <c r="D1323" s="346"/>
      <c r="E1323" s="320"/>
      <c r="F1323" s="320"/>
      <c r="G1323" s="320"/>
      <c r="H1323" s="332"/>
      <c r="I1323" s="320"/>
      <c r="J1323" s="321"/>
    </row>
    <row r="1324" spans="1:10" x14ac:dyDescent="0.25">
      <c r="A1324" s="303"/>
      <c r="B1324" s="333" t="s">
        <v>346</v>
      </c>
      <c r="C1324" s="317"/>
      <c r="D1324" s="346"/>
      <c r="E1324" s="320"/>
      <c r="F1324" s="320"/>
      <c r="G1324" s="320"/>
      <c r="H1324" s="332"/>
      <c r="I1324" s="320"/>
      <c r="J1324" s="321"/>
    </row>
    <row r="1325" spans="1:10" x14ac:dyDescent="0.25">
      <c r="A1325" s="303"/>
      <c r="B1325" s="333" t="s">
        <v>346</v>
      </c>
      <c r="C1325" s="317"/>
      <c r="D1325" s="346"/>
      <c r="E1325" s="320"/>
      <c r="F1325" s="320"/>
      <c r="G1325" s="320"/>
      <c r="H1325" s="332"/>
      <c r="I1325" s="320"/>
      <c r="J1325" s="321"/>
    </row>
    <row r="1326" spans="1:10" x14ac:dyDescent="0.25">
      <c r="A1326" s="303"/>
      <c r="B1326" s="333" t="s">
        <v>346</v>
      </c>
      <c r="C1326" s="317"/>
      <c r="D1326" s="346"/>
      <c r="E1326" s="320"/>
      <c r="F1326" s="320"/>
      <c r="G1326" s="320"/>
      <c r="H1326" s="332"/>
      <c r="I1326" s="320"/>
      <c r="J1326" s="321"/>
    </row>
    <row r="1327" spans="1:10" x14ac:dyDescent="0.25">
      <c r="A1327" s="303"/>
      <c r="B1327" s="333" t="s">
        <v>346</v>
      </c>
      <c r="C1327" s="317"/>
      <c r="D1327" s="346"/>
      <c r="E1327" s="320"/>
      <c r="F1327" s="320"/>
      <c r="G1327" s="320"/>
      <c r="H1327" s="332"/>
      <c r="I1327" s="320"/>
      <c r="J1327" s="321"/>
    </row>
    <row r="1328" spans="1:10" x14ac:dyDescent="0.25">
      <c r="A1328" s="303"/>
      <c r="B1328" s="310"/>
      <c r="C1328" s="334"/>
      <c r="D1328" s="312"/>
      <c r="E1328" s="313"/>
      <c r="F1328" s="313"/>
      <c r="G1328" s="313"/>
      <c r="H1328" s="313"/>
      <c r="I1328" s="338" t="s">
        <v>513</v>
      </c>
      <c r="J1328" s="315">
        <v>0.67510000000000003</v>
      </c>
    </row>
    <row r="1329" spans="1:10" x14ac:dyDescent="0.25">
      <c r="A1329" s="303"/>
      <c r="B1329" s="310" t="s">
        <v>514</v>
      </c>
      <c r="C1329" s="334"/>
      <c r="D1329" s="312"/>
      <c r="E1329" s="313"/>
      <c r="F1329" s="313"/>
      <c r="G1329" s="313"/>
      <c r="H1329" s="313"/>
      <c r="I1329" s="313"/>
      <c r="J1329" s="315">
        <v>478.72929999999997</v>
      </c>
    </row>
    <row r="1330" spans="1:10" x14ac:dyDescent="0.25">
      <c r="A1330" s="303"/>
      <c r="B1330" s="310" t="s">
        <v>515</v>
      </c>
      <c r="C1330" s="334"/>
      <c r="D1330" s="312">
        <v>0</v>
      </c>
      <c r="E1330" s="313"/>
      <c r="F1330" s="313"/>
      <c r="G1330" s="313"/>
      <c r="H1330" s="313"/>
      <c r="I1330" s="313"/>
      <c r="J1330" s="315">
        <v>0</v>
      </c>
    </row>
    <row r="1331" spans="1:10" ht="14.4" thickBot="1" x14ac:dyDescent="0.3">
      <c r="A1331" s="303"/>
      <c r="B1331" s="310" t="s">
        <v>516</v>
      </c>
      <c r="C1331" s="334"/>
      <c r="D1331" s="312"/>
      <c r="E1331" s="313"/>
      <c r="F1331" s="313"/>
      <c r="G1331" s="313"/>
      <c r="H1331" s="313"/>
      <c r="I1331" s="313"/>
      <c r="J1331" s="347">
        <v>478.73</v>
      </c>
    </row>
    <row r="1332" spans="1:10" x14ac:dyDescent="0.25">
      <c r="A1332" s="303"/>
      <c r="B1332" s="304"/>
      <c r="C1332" s="305"/>
      <c r="D1332" s="348"/>
      <c r="E1332" s="308"/>
      <c r="F1332" s="308"/>
      <c r="G1332" s="308"/>
      <c r="H1332" s="308"/>
      <c r="I1332" s="308"/>
      <c r="J1332" s="309"/>
    </row>
    <row r="1333" spans="1:10" x14ac:dyDescent="0.25">
      <c r="A1333" s="303"/>
      <c r="B1333" s="316"/>
      <c r="C1333" s="303"/>
      <c r="D1333" s="318"/>
      <c r="E1333" s="319"/>
      <c r="F1333" s="319"/>
      <c r="G1333" s="319"/>
      <c r="H1333" s="319"/>
      <c r="I1333" s="319"/>
      <c r="J1333" s="349"/>
    </row>
    <row r="1334" spans="1:10" x14ac:dyDescent="0.25">
      <c r="A1334" s="303"/>
      <c r="B1334" s="316"/>
      <c r="C1334" s="303"/>
      <c r="D1334" s="318"/>
      <c r="E1334" s="319"/>
      <c r="F1334" s="319"/>
      <c r="G1334" s="319"/>
      <c r="H1334" s="319"/>
      <c r="I1334" s="319"/>
      <c r="J1334" s="349"/>
    </row>
    <row r="1335" spans="1:10" ht="14.4" thickBot="1" x14ac:dyDescent="0.3">
      <c r="A1335" s="303"/>
      <c r="B1335" s="350"/>
      <c r="C1335" s="303"/>
      <c r="D1335" s="318"/>
      <c r="E1335" s="319"/>
      <c r="F1335" s="319"/>
      <c r="G1335" s="319"/>
      <c r="H1335" s="319"/>
      <c r="I1335" s="319"/>
      <c r="J1335" s="351"/>
    </row>
    <row r="1336" spans="1:10" x14ac:dyDescent="0.25">
      <c r="A1336" s="303"/>
      <c r="B1336" s="305"/>
      <c r="C1336" s="305"/>
      <c r="D1336" s="348"/>
      <c r="E1336" s="308"/>
      <c r="F1336" s="308"/>
      <c r="G1336" s="308"/>
      <c r="H1336" s="308"/>
      <c r="I1336" s="308"/>
      <c r="J1336" s="352"/>
    </row>
    <row r="1337" spans="1:10" ht="14.4" thickBot="1" x14ac:dyDescent="0.3">
      <c r="A1337" s="303"/>
      <c r="B1337" s="303"/>
      <c r="C1337" s="303"/>
      <c r="D1337" s="318"/>
      <c r="E1337" s="319"/>
      <c r="F1337" s="319"/>
      <c r="G1337" s="319"/>
      <c r="H1337" s="319"/>
      <c r="I1337" s="319"/>
      <c r="J1337" s="353"/>
    </row>
    <row r="1338" spans="1:10" x14ac:dyDescent="0.25">
      <c r="A1338" s="303"/>
      <c r="B1338" s="304"/>
      <c r="C1338" s="305"/>
      <c r="D1338" s="306" t="s">
        <v>463</v>
      </c>
      <c r="E1338" s="307"/>
      <c r="F1338" s="307"/>
      <c r="G1338" s="308"/>
      <c r="H1338" s="308"/>
      <c r="I1338" s="308"/>
      <c r="J1338" s="309"/>
    </row>
    <row r="1339" spans="1:10" x14ac:dyDescent="0.25">
      <c r="A1339" s="303"/>
      <c r="B1339" s="310" t="s">
        <v>464</v>
      </c>
      <c r="C1339" s="311" t="s">
        <v>134</v>
      </c>
      <c r="D1339" s="312"/>
      <c r="E1339" s="313"/>
      <c r="F1339" s="313"/>
      <c r="G1339" s="313"/>
      <c r="H1339" s="314"/>
      <c r="I1339" s="313"/>
      <c r="J1339" s="315" t="s">
        <v>465</v>
      </c>
    </row>
    <row r="1340" spans="1:10" x14ac:dyDescent="0.25">
      <c r="A1340" s="303"/>
      <c r="B1340" s="316">
        <v>4915721</v>
      </c>
      <c r="C1340" s="317" t="s">
        <v>388</v>
      </c>
      <c r="D1340" s="318"/>
      <c r="E1340" s="319"/>
      <c r="F1340" s="319"/>
      <c r="G1340" s="319"/>
      <c r="H1340" s="320"/>
      <c r="I1340" s="319"/>
      <c r="J1340" s="321" t="s">
        <v>372</v>
      </c>
    </row>
    <row r="1341" spans="1:10" x14ac:dyDescent="0.25">
      <c r="A1341" s="303"/>
      <c r="B1341" s="310"/>
      <c r="C1341" s="311"/>
      <c r="D1341" s="312"/>
      <c r="E1341" s="314"/>
      <c r="F1341" s="314" t="s">
        <v>466</v>
      </c>
      <c r="G1341" s="314"/>
      <c r="H1341" s="314" t="s">
        <v>467</v>
      </c>
      <c r="I1341" s="314"/>
      <c r="J1341" s="322" t="s">
        <v>468</v>
      </c>
    </row>
    <row r="1342" spans="1:10" x14ac:dyDescent="0.25">
      <c r="A1342" s="303"/>
      <c r="B1342" s="316" t="s">
        <v>464</v>
      </c>
      <c r="C1342" s="317" t="s">
        <v>469</v>
      </c>
      <c r="D1342" s="318"/>
      <c r="E1342" s="323" t="s">
        <v>355</v>
      </c>
      <c r="F1342" s="324" t="s">
        <v>470</v>
      </c>
      <c r="G1342" s="324" t="s">
        <v>471</v>
      </c>
      <c r="H1342" s="324" t="s">
        <v>472</v>
      </c>
      <c r="I1342" s="325" t="s">
        <v>473</v>
      </c>
      <c r="J1342" s="326" t="s">
        <v>474</v>
      </c>
    </row>
    <row r="1343" spans="1:10" x14ac:dyDescent="0.25">
      <c r="A1343" s="303"/>
      <c r="B1343" s="327" t="s">
        <v>703</v>
      </c>
      <c r="C1343" s="311" t="s">
        <v>704</v>
      </c>
      <c r="D1343" s="312"/>
      <c r="E1343" s="328">
        <v>1</v>
      </c>
      <c r="F1343" s="328">
        <v>0</v>
      </c>
      <c r="G1343" s="328">
        <v>0</v>
      </c>
      <c r="H1343" s="329">
        <v>272.42110000000002</v>
      </c>
      <c r="I1343" s="329">
        <v>120.39149999999999</v>
      </c>
      <c r="J1343" s="315">
        <v>0</v>
      </c>
    </row>
    <row r="1344" spans="1:10" x14ac:dyDescent="0.25">
      <c r="A1344" s="303"/>
      <c r="B1344" s="333" t="s">
        <v>346</v>
      </c>
      <c r="C1344" s="317"/>
      <c r="D1344" s="318"/>
      <c r="E1344" s="331"/>
      <c r="F1344" s="331"/>
      <c r="G1344" s="331"/>
      <c r="H1344" s="332"/>
      <c r="I1344" s="332"/>
      <c r="J1344" s="321"/>
    </row>
    <row r="1345" spans="1:10" x14ac:dyDescent="0.25">
      <c r="A1345" s="303"/>
      <c r="B1345" s="333" t="s">
        <v>346</v>
      </c>
      <c r="C1345" s="317"/>
      <c r="D1345" s="318"/>
      <c r="E1345" s="331"/>
      <c r="F1345" s="331"/>
      <c r="G1345" s="331"/>
      <c r="H1345" s="332"/>
      <c r="I1345" s="332"/>
      <c r="J1345" s="321"/>
    </row>
    <row r="1346" spans="1:10" x14ac:dyDescent="0.25">
      <c r="A1346" s="303"/>
      <c r="B1346" s="333" t="s">
        <v>346</v>
      </c>
      <c r="C1346" s="317"/>
      <c r="D1346" s="318"/>
      <c r="E1346" s="331"/>
      <c r="F1346" s="331"/>
      <c r="G1346" s="331"/>
      <c r="H1346" s="332"/>
      <c r="I1346" s="332"/>
      <c r="J1346" s="321"/>
    </row>
    <row r="1347" spans="1:10" x14ac:dyDescent="0.25">
      <c r="A1347" s="303"/>
      <c r="B1347" s="333" t="s">
        <v>346</v>
      </c>
      <c r="C1347" s="317"/>
      <c r="D1347" s="318"/>
      <c r="E1347" s="331"/>
      <c r="F1347" s="331"/>
      <c r="G1347" s="331"/>
      <c r="H1347" s="332"/>
      <c r="I1347" s="332"/>
      <c r="J1347" s="321"/>
    </row>
    <row r="1348" spans="1:10" x14ac:dyDescent="0.25">
      <c r="A1348" s="303"/>
      <c r="B1348" s="333" t="s">
        <v>346</v>
      </c>
      <c r="C1348" s="317"/>
      <c r="D1348" s="318"/>
      <c r="E1348" s="331"/>
      <c r="F1348" s="331"/>
      <c r="G1348" s="331"/>
      <c r="H1348" s="332"/>
      <c r="I1348" s="332"/>
      <c r="J1348" s="321"/>
    </row>
    <row r="1349" spans="1:10" x14ac:dyDescent="0.25">
      <c r="A1349" s="303"/>
      <c r="B1349" s="333" t="s">
        <v>346</v>
      </c>
      <c r="C1349" s="317"/>
      <c r="D1349" s="318"/>
      <c r="E1349" s="331"/>
      <c r="F1349" s="331"/>
      <c r="G1349" s="331"/>
      <c r="H1349" s="332"/>
      <c r="I1349" s="332"/>
      <c r="J1349" s="321"/>
    </row>
    <row r="1350" spans="1:10" x14ac:dyDescent="0.25">
      <c r="A1350" s="303"/>
      <c r="B1350" s="310"/>
      <c r="C1350" s="334"/>
      <c r="D1350" s="312"/>
      <c r="E1350" s="313"/>
      <c r="F1350" s="313"/>
      <c r="G1350" s="313"/>
      <c r="H1350" s="313"/>
      <c r="I1350" s="335" t="s">
        <v>479</v>
      </c>
      <c r="J1350" s="315">
        <v>0</v>
      </c>
    </row>
    <row r="1351" spans="1:10" x14ac:dyDescent="0.25">
      <c r="A1351" s="303"/>
      <c r="B1351" s="310" t="s">
        <v>464</v>
      </c>
      <c r="C1351" s="311" t="s">
        <v>480</v>
      </c>
      <c r="D1351" s="312"/>
      <c r="E1351" s="313"/>
      <c r="F1351" s="313"/>
      <c r="G1351" s="313"/>
      <c r="H1351" s="324" t="s">
        <v>355</v>
      </c>
      <c r="I1351" s="336" t="s">
        <v>481</v>
      </c>
      <c r="J1351" s="322" t="s">
        <v>331</v>
      </c>
    </row>
    <row r="1352" spans="1:10" x14ac:dyDescent="0.25">
      <c r="A1352" s="303"/>
      <c r="B1352" s="337" t="s">
        <v>679</v>
      </c>
      <c r="C1352" s="311" t="s">
        <v>680</v>
      </c>
      <c r="D1352" s="312"/>
      <c r="E1352" s="313"/>
      <c r="F1352" s="313"/>
      <c r="G1352" s="313"/>
      <c r="H1352" s="314">
        <v>3</v>
      </c>
      <c r="I1352" s="329">
        <v>18.301200000000001</v>
      </c>
      <c r="J1352" s="315">
        <v>54.903599999999997</v>
      </c>
    </row>
    <row r="1353" spans="1:10" x14ac:dyDescent="0.25">
      <c r="A1353" s="303"/>
      <c r="B1353" s="333" t="s">
        <v>661</v>
      </c>
      <c r="C1353" s="317" t="s">
        <v>662</v>
      </c>
      <c r="D1353" s="318"/>
      <c r="E1353" s="319"/>
      <c r="F1353" s="319"/>
      <c r="G1353" s="319"/>
      <c r="H1353" s="320">
        <v>1</v>
      </c>
      <c r="I1353" s="332">
        <v>24.440999999999999</v>
      </c>
      <c r="J1353" s="321">
        <v>24.440999999999999</v>
      </c>
    </row>
    <row r="1354" spans="1:10" x14ac:dyDescent="0.25">
      <c r="A1354" s="303"/>
      <c r="B1354" s="333" t="s">
        <v>346</v>
      </c>
      <c r="C1354" s="317"/>
      <c r="D1354" s="318"/>
      <c r="E1354" s="319"/>
      <c r="F1354" s="319"/>
      <c r="G1354" s="319"/>
      <c r="H1354" s="320"/>
      <c r="I1354" s="332"/>
      <c r="J1354" s="321"/>
    </row>
    <row r="1355" spans="1:10" x14ac:dyDescent="0.25">
      <c r="A1355" s="303"/>
      <c r="B1355" s="333" t="s">
        <v>346</v>
      </c>
      <c r="C1355" s="317"/>
      <c r="D1355" s="318"/>
      <c r="E1355" s="319"/>
      <c r="F1355" s="319"/>
      <c r="G1355" s="319"/>
      <c r="H1355" s="320"/>
      <c r="I1355" s="332"/>
      <c r="J1355" s="321"/>
    </row>
    <row r="1356" spans="1:10" x14ac:dyDescent="0.25">
      <c r="A1356" s="303"/>
      <c r="B1356" s="333" t="s">
        <v>346</v>
      </c>
      <c r="C1356" s="317"/>
      <c r="D1356" s="318"/>
      <c r="E1356" s="319"/>
      <c r="F1356" s="319"/>
      <c r="G1356" s="319"/>
      <c r="H1356" s="320"/>
      <c r="I1356" s="332"/>
      <c r="J1356" s="321"/>
    </row>
    <row r="1357" spans="1:10" x14ac:dyDescent="0.25">
      <c r="A1357" s="303"/>
      <c r="B1357" s="333" t="s">
        <v>346</v>
      </c>
      <c r="C1357" s="317"/>
      <c r="D1357" s="318"/>
      <c r="E1357" s="319"/>
      <c r="F1357" s="319"/>
      <c r="G1357" s="319"/>
      <c r="H1357" s="320"/>
      <c r="I1357" s="332"/>
      <c r="J1357" s="321"/>
    </row>
    <row r="1358" spans="1:10" x14ac:dyDescent="0.25">
      <c r="A1358" s="303"/>
      <c r="B1358" s="333" t="s">
        <v>346</v>
      </c>
      <c r="C1358" s="317"/>
      <c r="D1358" s="318"/>
      <c r="E1358" s="319"/>
      <c r="F1358" s="319"/>
      <c r="G1358" s="319"/>
      <c r="H1358" s="320"/>
      <c r="I1358" s="332"/>
      <c r="J1358" s="321"/>
    </row>
    <row r="1359" spans="1:10" x14ac:dyDescent="0.25">
      <c r="A1359" s="303"/>
      <c r="B1359" s="310"/>
      <c r="C1359" s="334"/>
      <c r="D1359" s="312"/>
      <c r="E1359" s="313"/>
      <c r="F1359" s="313"/>
      <c r="G1359" s="313"/>
      <c r="H1359" s="313"/>
      <c r="I1359" s="338" t="s">
        <v>484</v>
      </c>
      <c r="J1359" s="315">
        <v>79.3446</v>
      </c>
    </row>
    <row r="1360" spans="1:10" x14ac:dyDescent="0.25">
      <c r="A1360" s="303"/>
      <c r="B1360" s="339"/>
      <c r="C1360" s="334"/>
      <c r="D1360" s="312"/>
      <c r="E1360" s="313"/>
      <c r="F1360" s="313"/>
      <c r="G1360" s="313"/>
      <c r="H1360" s="313"/>
      <c r="I1360" s="338" t="s">
        <v>485</v>
      </c>
      <c r="J1360" s="340">
        <v>79.3446</v>
      </c>
    </row>
    <row r="1361" spans="1:10" x14ac:dyDescent="0.25">
      <c r="A1361" s="303"/>
      <c r="B1361" s="339"/>
      <c r="C1361" s="341" t="s">
        <v>486</v>
      </c>
      <c r="D1361" s="312">
        <v>1</v>
      </c>
      <c r="E1361" s="313"/>
      <c r="F1361" s="313"/>
      <c r="G1361" s="313"/>
      <c r="H1361" s="313"/>
      <c r="I1361" s="338" t="s">
        <v>487</v>
      </c>
      <c r="J1361" s="340">
        <v>79.3446</v>
      </c>
    </row>
    <row r="1362" spans="1:10" x14ac:dyDescent="0.25">
      <c r="A1362" s="303"/>
      <c r="B1362" s="310"/>
      <c r="C1362" s="334"/>
      <c r="D1362" s="312"/>
      <c r="E1362" s="313"/>
      <c r="F1362" s="313"/>
      <c r="G1362" s="313"/>
      <c r="H1362" s="338" t="s">
        <v>488</v>
      </c>
      <c r="I1362" s="342">
        <v>0</v>
      </c>
      <c r="J1362" s="315">
        <v>0</v>
      </c>
    </row>
    <row r="1363" spans="1:10" x14ac:dyDescent="0.25">
      <c r="A1363" s="303"/>
      <c r="B1363" s="310"/>
      <c r="C1363" s="334"/>
      <c r="D1363" s="312"/>
      <c r="E1363" s="313"/>
      <c r="F1363" s="313"/>
      <c r="G1363" s="313"/>
      <c r="H1363" s="335" t="s">
        <v>489</v>
      </c>
      <c r="I1363" s="343">
        <v>0</v>
      </c>
      <c r="J1363" s="315">
        <v>0</v>
      </c>
    </row>
    <row r="1364" spans="1:10" x14ac:dyDescent="0.25">
      <c r="A1364" s="303"/>
      <c r="B1364" s="310" t="s">
        <v>464</v>
      </c>
      <c r="C1364" s="311" t="s">
        <v>490</v>
      </c>
      <c r="D1364" s="312"/>
      <c r="E1364" s="313"/>
      <c r="F1364" s="313"/>
      <c r="G1364" s="314" t="s">
        <v>465</v>
      </c>
      <c r="H1364" s="336" t="s">
        <v>468</v>
      </c>
      <c r="I1364" s="336" t="s">
        <v>491</v>
      </c>
      <c r="J1364" s="322" t="s">
        <v>492</v>
      </c>
    </row>
    <row r="1365" spans="1:10" x14ac:dyDescent="0.25">
      <c r="A1365" s="303"/>
      <c r="B1365" s="337" t="s">
        <v>705</v>
      </c>
      <c r="C1365" s="311" t="s">
        <v>706</v>
      </c>
      <c r="D1365" s="312"/>
      <c r="E1365" s="313"/>
      <c r="F1365" s="313"/>
      <c r="G1365" s="314" t="s">
        <v>433</v>
      </c>
      <c r="H1365" s="329">
        <v>2363.9317000000001</v>
      </c>
      <c r="I1365" s="329">
        <v>0.25</v>
      </c>
      <c r="J1365" s="315">
        <v>590.98289999999997</v>
      </c>
    </row>
    <row r="1366" spans="1:10" x14ac:dyDescent="0.25">
      <c r="A1366" s="303"/>
      <c r="B1366" s="333" t="s">
        <v>346</v>
      </c>
      <c r="C1366" s="317"/>
      <c r="D1366" s="318"/>
      <c r="E1366" s="319"/>
      <c r="F1366" s="319"/>
      <c r="G1366" s="320"/>
      <c r="H1366" s="332"/>
      <c r="I1366" s="332"/>
      <c r="J1366" s="321"/>
    </row>
    <row r="1367" spans="1:10" x14ac:dyDescent="0.25">
      <c r="A1367" s="303"/>
      <c r="B1367" s="333" t="s">
        <v>346</v>
      </c>
      <c r="C1367" s="317"/>
      <c r="D1367" s="318"/>
      <c r="E1367" s="319"/>
      <c r="F1367" s="319"/>
      <c r="G1367" s="320"/>
      <c r="H1367" s="332"/>
      <c r="I1367" s="332"/>
      <c r="J1367" s="321"/>
    </row>
    <row r="1368" spans="1:10" x14ac:dyDescent="0.25">
      <c r="A1368" s="303"/>
      <c r="B1368" s="333" t="s">
        <v>346</v>
      </c>
      <c r="C1368" s="317"/>
      <c r="D1368" s="318"/>
      <c r="E1368" s="319"/>
      <c r="F1368" s="319"/>
      <c r="G1368" s="320"/>
      <c r="H1368" s="332"/>
      <c r="I1368" s="332"/>
      <c r="J1368" s="321"/>
    </row>
    <row r="1369" spans="1:10" x14ac:dyDescent="0.25">
      <c r="A1369" s="303"/>
      <c r="B1369" s="333" t="s">
        <v>346</v>
      </c>
      <c r="C1369" s="317"/>
      <c r="D1369" s="318"/>
      <c r="E1369" s="319"/>
      <c r="F1369" s="319"/>
      <c r="G1369" s="320"/>
      <c r="H1369" s="332"/>
      <c r="I1369" s="332"/>
      <c r="J1369" s="321"/>
    </row>
    <row r="1370" spans="1:10" x14ac:dyDescent="0.25">
      <c r="A1370" s="303"/>
      <c r="B1370" s="333" t="s">
        <v>346</v>
      </c>
      <c r="C1370" s="317"/>
      <c r="D1370" s="318"/>
      <c r="E1370" s="319"/>
      <c r="F1370" s="319"/>
      <c r="G1370" s="320"/>
      <c r="H1370" s="332"/>
      <c r="I1370" s="332"/>
      <c r="J1370" s="321"/>
    </row>
    <row r="1371" spans="1:10" x14ac:dyDescent="0.25">
      <c r="A1371" s="303"/>
      <c r="B1371" s="333" t="s">
        <v>346</v>
      </c>
      <c r="C1371" s="317"/>
      <c r="D1371" s="318"/>
      <c r="E1371" s="319"/>
      <c r="F1371" s="319"/>
      <c r="G1371" s="320"/>
      <c r="H1371" s="332"/>
      <c r="I1371" s="332"/>
      <c r="J1371" s="321"/>
    </row>
    <row r="1372" spans="1:10" x14ac:dyDescent="0.25">
      <c r="A1372" s="303"/>
      <c r="B1372" s="310"/>
      <c r="C1372" s="334"/>
      <c r="D1372" s="312"/>
      <c r="E1372" s="313"/>
      <c r="F1372" s="313"/>
      <c r="G1372" s="313"/>
      <c r="H1372" s="343"/>
      <c r="I1372" s="335" t="s">
        <v>498</v>
      </c>
      <c r="J1372" s="315">
        <v>590.98289999999997</v>
      </c>
    </row>
    <row r="1373" spans="1:10" x14ac:dyDescent="0.25">
      <c r="A1373" s="303"/>
      <c r="B1373" s="310" t="s">
        <v>464</v>
      </c>
      <c r="C1373" s="311" t="s">
        <v>499</v>
      </c>
      <c r="D1373" s="312"/>
      <c r="E1373" s="313"/>
      <c r="F1373" s="313"/>
      <c r="G1373" s="314" t="s">
        <v>465</v>
      </c>
      <c r="H1373" s="336" t="s">
        <v>468</v>
      </c>
      <c r="I1373" s="336" t="s">
        <v>491</v>
      </c>
      <c r="J1373" s="322" t="s">
        <v>492</v>
      </c>
    </row>
    <row r="1374" spans="1:10" x14ac:dyDescent="0.25">
      <c r="A1374" s="303"/>
      <c r="B1374" s="337"/>
      <c r="C1374" s="311"/>
      <c r="D1374" s="312"/>
      <c r="E1374" s="313"/>
      <c r="F1374" s="313"/>
      <c r="G1374" s="314"/>
      <c r="H1374" s="329"/>
      <c r="I1374" s="329"/>
      <c r="J1374" s="315"/>
    </row>
    <row r="1375" spans="1:10" x14ac:dyDescent="0.25">
      <c r="A1375" s="303"/>
      <c r="B1375" s="333"/>
      <c r="C1375" s="317"/>
      <c r="D1375" s="318"/>
      <c r="E1375" s="319"/>
      <c r="F1375" s="319"/>
      <c r="G1375" s="320"/>
      <c r="H1375" s="332"/>
      <c r="I1375" s="332"/>
      <c r="J1375" s="321"/>
    </row>
    <row r="1376" spans="1:10" x14ac:dyDescent="0.25">
      <c r="A1376" s="303"/>
      <c r="B1376" s="333"/>
      <c r="C1376" s="317"/>
      <c r="D1376" s="318"/>
      <c r="E1376" s="319"/>
      <c r="F1376" s="319"/>
      <c r="G1376" s="320"/>
      <c r="H1376" s="332"/>
      <c r="I1376" s="332"/>
      <c r="J1376" s="321"/>
    </row>
    <row r="1377" spans="1:10" x14ac:dyDescent="0.25">
      <c r="A1377" s="303"/>
      <c r="B1377" s="333"/>
      <c r="C1377" s="317"/>
      <c r="D1377" s="318"/>
      <c r="E1377" s="319"/>
      <c r="F1377" s="319"/>
      <c r="G1377" s="320"/>
      <c r="H1377" s="332"/>
      <c r="I1377" s="332"/>
      <c r="J1377" s="321"/>
    </row>
    <row r="1378" spans="1:10" x14ac:dyDescent="0.25">
      <c r="A1378" s="303"/>
      <c r="B1378" s="333"/>
      <c r="C1378" s="317"/>
      <c r="D1378" s="318"/>
      <c r="E1378" s="319"/>
      <c r="F1378" s="319"/>
      <c r="G1378" s="320"/>
      <c r="H1378" s="332"/>
      <c r="I1378" s="332"/>
      <c r="J1378" s="321"/>
    </row>
    <row r="1379" spans="1:10" x14ac:dyDescent="0.25">
      <c r="A1379" s="303"/>
      <c r="B1379" s="310"/>
      <c r="C1379" s="334"/>
      <c r="D1379" s="312"/>
      <c r="E1379" s="313"/>
      <c r="F1379" s="313"/>
      <c r="G1379" s="313"/>
      <c r="H1379" s="343"/>
      <c r="I1379" s="335" t="s">
        <v>501</v>
      </c>
      <c r="J1379" s="315">
        <v>0</v>
      </c>
    </row>
    <row r="1380" spans="1:10" x14ac:dyDescent="0.25">
      <c r="A1380" s="303"/>
      <c r="B1380" s="310" t="s">
        <v>464</v>
      </c>
      <c r="C1380" s="311" t="s">
        <v>502</v>
      </c>
      <c r="D1380" s="312"/>
      <c r="E1380" s="313"/>
      <c r="F1380" s="314" t="s">
        <v>464</v>
      </c>
      <c r="G1380" s="324" t="s">
        <v>503</v>
      </c>
      <c r="H1380" s="329" t="s">
        <v>465</v>
      </c>
      <c r="I1380" s="336" t="s">
        <v>468</v>
      </c>
      <c r="J1380" s="322" t="s">
        <v>492</v>
      </c>
    </row>
    <row r="1381" spans="1:10" x14ac:dyDescent="0.25">
      <c r="A1381" s="303"/>
      <c r="B1381" s="337" t="s">
        <v>707</v>
      </c>
      <c r="C1381" s="311" t="s">
        <v>708</v>
      </c>
      <c r="D1381" s="312"/>
      <c r="E1381" s="313"/>
      <c r="F1381" s="344" t="s">
        <v>709</v>
      </c>
      <c r="G1381" s="314">
        <v>0.03</v>
      </c>
      <c r="H1381" s="329" t="s">
        <v>370</v>
      </c>
      <c r="I1381" s="329">
        <v>13.76</v>
      </c>
      <c r="J1381" s="315">
        <v>0.4128</v>
      </c>
    </row>
    <row r="1382" spans="1:10" x14ac:dyDescent="0.25">
      <c r="A1382" s="303"/>
      <c r="B1382" s="333" t="s">
        <v>346</v>
      </c>
      <c r="C1382" s="317"/>
      <c r="D1382" s="318"/>
      <c r="E1382" s="319"/>
      <c r="F1382" s="320"/>
      <c r="G1382" s="320"/>
      <c r="H1382" s="332"/>
      <c r="I1382" s="332"/>
      <c r="J1382" s="321"/>
    </row>
    <row r="1383" spans="1:10" x14ac:dyDescent="0.25">
      <c r="A1383" s="303"/>
      <c r="B1383" s="333" t="s">
        <v>346</v>
      </c>
      <c r="C1383" s="317"/>
      <c r="D1383" s="318"/>
      <c r="E1383" s="319"/>
      <c r="F1383" s="320"/>
      <c r="G1383" s="320"/>
      <c r="H1383" s="332"/>
      <c r="I1383" s="332"/>
      <c r="J1383" s="321"/>
    </row>
    <row r="1384" spans="1:10" x14ac:dyDescent="0.25">
      <c r="A1384" s="303"/>
      <c r="B1384" s="333" t="s">
        <v>346</v>
      </c>
      <c r="C1384" s="317"/>
      <c r="D1384" s="318"/>
      <c r="E1384" s="319"/>
      <c r="F1384" s="320"/>
      <c r="G1384" s="320"/>
      <c r="H1384" s="332"/>
      <c r="I1384" s="332"/>
      <c r="J1384" s="321"/>
    </row>
    <row r="1385" spans="1:10" x14ac:dyDescent="0.25">
      <c r="A1385" s="303"/>
      <c r="B1385" s="333" t="s">
        <v>346</v>
      </c>
      <c r="C1385" s="317"/>
      <c r="D1385" s="318"/>
      <c r="E1385" s="319"/>
      <c r="F1385" s="320"/>
      <c r="G1385" s="320"/>
      <c r="H1385" s="332"/>
      <c r="I1385" s="332"/>
      <c r="J1385" s="321"/>
    </row>
    <row r="1386" spans="1:10" x14ac:dyDescent="0.25">
      <c r="A1386" s="303"/>
      <c r="B1386" s="310"/>
      <c r="C1386" s="334"/>
      <c r="D1386" s="312"/>
      <c r="E1386" s="313"/>
      <c r="F1386" s="313"/>
      <c r="G1386" s="313"/>
      <c r="H1386" s="343"/>
      <c r="I1386" s="338" t="s">
        <v>507</v>
      </c>
      <c r="J1386" s="315">
        <v>0.4128</v>
      </c>
    </row>
    <row r="1387" spans="1:10" x14ac:dyDescent="0.25">
      <c r="A1387" s="303"/>
      <c r="B1387" s="310" t="s">
        <v>464</v>
      </c>
      <c r="C1387" s="311" t="s">
        <v>508</v>
      </c>
      <c r="D1387" s="345" t="s">
        <v>509</v>
      </c>
      <c r="E1387" s="324" t="s">
        <v>873</v>
      </c>
      <c r="F1387" s="324" t="s">
        <v>874</v>
      </c>
      <c r="G1387" s="324" t="s">
        <v>875</v>
      </c>
      <c r="H1387" s="336" t="s">
        <v>468</v>
      </c>
      <c r="I1387" s="324" t="s">
        <v>491</v>
      </c>
      <c r="J1387" s="322" t="s">
        <v>492</v>
      </c>
    </row>
    <row r="1388" spans="1:10" x14ac:dyDescent="0.25">
      <c r="A1388" s="303"/>
      <c r="B1388" s="337" t="s">
        <v>710</v>
      </c>
      <c r="C1388" s="311" t="s">
        <v>711</v>
      </c>
      <c r="D1388" s="345" t="s">
        <v>510</v>
      </c>
      <c r="E1388" s="314">
        <v>0</v>
      </c>
      <c r="F1388" s="314">
        <v>0</v>
      </c>
      <c r="G1388" s="314">
        <v>100.45</v>
      </c>
      <c r="H1388" s="329">
        <v>1.33</v>
      </c>
      <c r="I1388" s="314">
        <v>0.03</v>
      </c>
      <c r="J1388" s="315">
        <v>4.008</v>
      </c>
    </row>
    <row r="1389" spans="1:10" x14ac:dyDescent="0.25">
      <c r="A1389" s="303"/>
      <c r="B1389" s="333" t="s">
        <v>346</v>
      </c>
      <c r="C1389" s="317"/>
      <c r="D1389" s="346"/>
      <c r="E1389" s="320"/>
      <c r="F1389" s="320"/>
      <c r="G1389" s="320"/>
      <c r="H1389" s="332"/>
      <c r="I1389" s="320"/>
      <c r="J1389" s="321"/>
    </row>
    <row r="1390" spans="1:10" x14ac:dyDescent="0.25">
      <c r="A1390" s="303"/>
      <c r="B1390" s="333" t="s">
        <v>346</v>
      </c>
      <c r="C1390" s="317"/>
      <c r="D1390" s="346"/>
      <c r="E1390" s="320"/>
      <c r="F1390" s="320"/>
      <c r="G1390" s="320"/>
      <c r="H1390" s="332"/>
      <c r="I1390" s="320"/>
      <c r="J1390" s="321"/>
    </row>
    <row r="1391" spans="1:10" x14ac:dyDescent="0.25">
      <c r="A1391" s="303"/>
      <c r="B1391" s="333" t="s">
        <v>346</v>
      </c>
      <c r="C1391" s="317"/>
      <c r="D1391" s="346"/>
      <c r="E1391" s="320"/>
      <c r="F1391" s="320"/>
      <c r="G1391" s="320"/>
      <c r="H1391" s="332"/>
      <c r="I1391" s="320"/>
      <c r="J1391" s="321"/>
    </row>
    <row r="1392" spans="1:10" x14ac:dyDescent="0.25">
      <c r="A1392" s="303"/>
      <c r="B1392" s="333" t="s">
        <v>346</v>
      </c>
      <c r="C1392" s="317"/>
      <c r="D1392" s="346"/>
      <c r="E1392" s="320"/>
      <c r="F1392" s="320"/>
      <c r="G1392" s="320"/>
      <c r="H1392" s="332"/>
      <c r="I1392" s="320"/>
      <c r="J1392" s="321"/>
    </row>
    <row r="1393" spans="1:10" x14ac:dyDescent="0.25">
      <c r="A1393" s="303"/>
      <c r="B1393" s="333" t="s">
        <v>346</v>
      </c>
      <c r="C1393" s="317"/>
      <c r="D1393" s="346"/>
      <c r="E1393" s="320"/>
      <c r="F1393" s="320"/>
      <c r="G1393" s="320"/>
      <c r="H1393" s="332"/>
      <c r="I1393" s="320"/>
      <c r="J1393" s="321"/>
    </row>
    <row r="1394" spans="1:10" x14ac:dyDescent="0.25">
      <c r="A1394" s="303"/>
      <c r="B1394" s="333" t="s">
        <v>346</v>
      </c>
      <c r="C1394" s="317"/>
      <c r="D1394" s="346"/>
      <c r="E1394" s="320"/>
      <c r="F1394" s="320"/>
      <c r="G1394" s="320"/>
      <c r="H1394" s="332"/>
      <c r="I1394" s="320"/>
      <c r="J1394" s="321"/>
    </row>
    <row r="1395" spans="1:10" x14ac:dyDescent="0.25">
      <c r="A1395" s="303"/>
      <c r="B1395" s="310"/>
      <c r="C1395" s="334"/>
      <c r="D1395" s="312"/>
      <c r="E1395" s="313"/>
      <c r="F1395" s="313"/>
      <c r="G1395" s="313"/>
      <c r="H1395" s="313"/>
      <c r="I1395" s="338" t="s">
        <v>513</v>
      </c>
      <c r="J1395" s="315">
        <v>4.008</v>
      </c>
    </row>
    <row r="1396" spans="1:10" x14ac:dyDescent="0.25">
      <c r="A1396" s="303"/>
      <c r="B1396" s="310" t="s">
        <v>514</v>
      </c>
      <c r="C1396" s="334"/>
      <c r="D1396" s="312"/>
      <c r="E1396" s="313"/>
      <c r="F1396" s="313"/>
      <c r="G1396" s="313"/>
      <c r="H1396" s="313"/>
      <c r="I1396" s="313"/>
      <c r="J1396" s="315">
        <v>674.74829999999997</v>
      </c>
    </row>
    <row r="1397" spans="1:10" x14ac:dyDescent="0.25">
      <c r="A1397" s="303"/>
      <c r="B1397" s="310" t="s">
        <v>515</v>
      </c>
      <c r="C1397" s="334"/>
      <c r="D1397" s="312">
        <v>0</v>
      </c>
      <c r="E1397" s="313"/>
      <c r="F1397" s="313"/>
      <c r="G1397" s="313"/>
      <c r="H1397" s="313"/>
      <c r="I1397" s="313"/>
      <c r="J1397" s="315">
        <v>0</v>
      </c>
    </row>
    <row r="1398" spans="1:10" ht="14.4" thickBot="1" x14ac:dyDescent="0.3">
      <c r="A1398" s="303"/>
      <c r="B1398" s="310" t="s">
        <v>516</v>
      </c>
      <c r="C1398" s="334"/>
      <c r="D1398" s="312"/>
      <c r="E1398" s="313"/>
      <c r="F1398" s="313"/>
      <c r="G1398" s="313"/>
      <c r="H1398" s="313"/>
      <c r="I1398" s="313"/>
      <c r="J1398" s="347">
        <v>674.75</v>
      </c>
    </row>
    <row r="1399" spans="1:10" x14ac:dyDescent="0.25">
      <c r="A1399" s="303"/>
      <c r="B1399" s="304"/>
      <c r="C1399" s="305"/>
      <c r="D1399" s="348"/>
      <c r="E1399" s="308"/>
      <c r="F1399" s="308"/>
      <c r="G1399" s="308"/>
      <c r="H1399" s="308"/>
      <c r="I1399" s="308"/>
      <c r="J1399" s="309"/>
    </row>
    <row r="1400" spans="1:10" x14ac:dyDescent="0.25">
      <c r="A1400" s="303"/>
      <c r="B1400" s="316"/>
      <c r="C1400" s="303"/>
      <c r="D1400" s="318"/>
      <c r="E1400" s="319"/>
      <c r="F1400" s="319"/>
      <c r="G1400" s="319"/>
      <c r="H1400" s="319"/>
      <c r="I1400" s="319"/>
      <c r="J1400" s="349"/>
    </row>
    <row r="1401" spans="1:10" x14ac:dyDescent="0.25">
      <c r="A1401" s="303"/>
      <c r="B1401" s="316"/>
      <c r="C1401" s="303"/>
      <c r="D1401" s="318"/>
      <c r="E1401" s="319"/>
      <c r="F1401" s="319"/>
      <c r="G1401" s="319"/>
      <c r="H1401" s="319"/>
      <c r="I1401" s="319"/>
      <c r="J1401" s="349"/>
    </row>
    <row r="1402" spans="1:10" ht="14.4" thickBot="1" x14ac:dyDescent="0.3">
      <c r="A1402" s="303"/>
      <c r="B1402" s="350"/>
      <c r="C1402" s="303"/>
      <c r="D1402" s="318"/>
      <c r="E1402" s="319"/>
      <c r="F1402" s="319"/>
      <c r="G1402" s="319"/>
      <c r="H1402" s="319"/>
      <c r="I1402" s="319"/>
      <c r="J1402" s="351"/>
    </row>
    <row r="1403" spans="1:10" x14ac:dyDescent="0.25">
      <c r="A1403" s="303"/>
      <c r="B1403" s="305"/>
      <c r="C1403" s="305"/>
      <c r="D1403" s="348"/>
      <c r="E1403" s="308"/>
      <c r="F1403" s="308"/>
      <c r="G1403" s="308"/>
      <c r="H1403" s="308"/>
      <c r="I1403" s="308"/>
      <c r="J1403" s="352"/>
    </row>
    <row r="1404" spans="1:10" ht="14.4" thickBot="1" x14ac:dyDescent="0.3">
      <c r="A1404" s="303"/>
      <c r="B1404" s="303"/>
      <c r="C1404" s="303"/>
      <c r="D1404" s="318"/>
      <c r="E1404" s="319"/>
      <c r="F1404" s="319"/>
      <c r="G1404" s="319"/>
      <c r="H1404" s="319"/>
      <c r="I1404" s="319"/>
      <c r="J1404" s="353"/>
    </row>
    <row r="1405" spans="1:10" x14ac:dyDescent="0.25">
      <c r="A1405" s="303"/>
      <c r="B1405" s="304"/>
      <c r="C1405" s="305"/>
      <c r="D1405" s="306" t="s">
        <v>463</v>
      </c>
      <c r="E1405" s="307"/>
      <c r="F1405" s="307"/>
      <c r="G1405" s="308"/>
      <c r="H1405" s="308"/>
      <c r="I1405" s="308"/>
      <c r="J1405" s="309"/>
    </row>
    <row r="1406" spans="1:10" x14ac:dyDescent="0.25">
      <c r="A1406" s="303"/>
      <c r="B1406" s="310" t="s">
        <v>464</v>
      </c>
      <c r="C1406" s="311" t="s">
        <v>134</v>
      </c>
      <c r="D1406" s="312"/>
      <c r="E1406" s="313"/>
      <c r="F1406" s="313"/>
      <c r="G1406" s="313"/>
      <c r="H1406" s="314"/>
      <c r="I1406" s="313"/>
      <c r="J1406" s="315" t="s">
        <v>465</v>
      </c>
    </row>
    <row r="1407" spans="1:10" x14ac:dyDescent="0.25">
      <c r="A1407" s="303"/>
      <c r="B1407" s="316" t="s">
        <v>347</v>
      </c>
      <c r="C1407" s="317" t="s">
        <v>389</v>
      </c>
      <c r="D1407" s="318"/>
      <c r="E1407" s="319"/>
      <c r="F1407" s="319"/>
      <c r="G1407" s="319"/>
      <c r="H1407" s="320"/>
      <c r="I1407" s="319"/>
      <c r="J1407" s="321" t="s">
        <v>365</v>
      </c>
    </row>
    <row r="1408" spans="1:10" x14ac:dyDescent="0.25">
      <c r="A1408" s="303"/>
      <c r="B1408" s="310"/>
      <c r="C1408" s="311"/>
      <c r="D1408" s="312"/>
      <c r="E1408" s="314"/>
      <c r="F1408" s="314" t="s">
        <v>466</v>
      </c>
      <c r="G1408" s="314"/>
      <c r="H1408" s="314" t="s">
        <v>467</v>
      </c>
      <c r="I1408" s="314"/>
      <c r="J1408" s="322" t="s">
        <v>468</v>
      </c>
    </row>
    <row r="1409" spans="1:10" x14ac:dyDescent="0.25">
      <c r="A1409" s="303"/>
      <c r="B1409" s="316" t="s">
        <v>464</v>
      </c>
      <c r="C1409" s="317" t="s">
        <v>469</v>
      </c>
      <c r="D1409" s="318"/>
      <c r="E1409" s="323" t="s">
        <v>355</v>
      </c>
      <c r="F1409" s="324" t="s">
        <v>470</v>
      </c>
      <c r="G1409" s="324" t="s">
        <v>471</v>
      </c>
      <c r="H1409" s="324" t="s">
        <v>472</v>
      </c>
      <c r="I1409" s="325" t="s">
        <v>473</v>
      </c>
      <c r="J1409" s="326" t="s">
        <v>474</v>
      </c>
    </row>
    <row r="1410" spans="1:10" x14ac:dyDescent="0.25">
      <c r="A1410" s="303"/>
      <c r="B1410" s="337" t="s">
        <v>346</v>
      </c>
      <c r="C1410" s="311"/>
      <c r="D1410" s="312"/>
      <c r="E1410" s="328"/>
      <c r="F1410" s="328"/>
      <c r="G1410" s="328"/>
      <c r="H1410" s="329"/>
      <c r="I1410" s="329"/>
      <c r="J1410" s="315"/>
    </row>
    <row r="1411" spans="1:10" x14ac:dyDescent="0.25">
      <c r="A1411" s="303"/>
      <c r="B1411" s="333" t="s">
        <v>346</v>
      </c>
      <c r="C1411" s="317"/>
      <c r="D1411" s="318"/>
      <c r="E1411" s="331"/>
      <c r="F1411" s="331"/>
      <c r="G1411" s="331"/>
      <c r="H1411" s="332"/>
      <c r="I1411" s="332"/>
      <c r="J1411" s="321"/>
    </row>
    <row r="1412" spans="1:10" x14ac:dyDescent="0.25">
      <c r="A1412" s="303"/>
      <c r="B1412" s="333" t="s">
        <v>346</v>
      </c>
      <c r="C1412" s="317"/>
      <c r="D1412" s="318"/>
      <c r="E1412" s="331"/>
      <c r="F1412" s="331"/>
      <c r="G1412" s="331"/>
      <c r="H1412" s="332"/>
      <c r="I1412" s="332"/>
      <c r="J1412" s="321"/>
    </row>
    <row r="1413" spans="1:10" x14ac:dyDescent="0.25">
      <c r="A1413" s="303"/>
      <c r="B1413" s="333" t="s">
        <v>346</v>
      </c>
      <c r="C1413" s="317"/>
      <c r="D1413" s="318"/>
      <c r="E1413" s="331"/>
      <c r="F1413" s="331"/>
      <c r="G1413" s="331"/>
      <c r="H1413" s="332"/>
      <c r="I1413" s="332"/>
      <c r="J1413" s="321"/>
    </row>
    <row r="1414" spans="1:10" x14ac:dyDescent="0.25">
      <c r="A1414" s="303"/>
      <c r="B1414" s="333" t="s">
        <v>346</v>
      </c>
      <c r="C1414" s="317"/>
      <c r="D1414" s="318"/>
      <c r="E1414" s="331"/>
      <c r="F1414" s="331"/>
      <c r="G1414" s="331"/>
      <c r="H1414" s="332"/>
      <c r="I1414" s="332"/>
      <c r="J1414" s="321"/>
    </row>
    <row r="1415" spans="1:10" x14ac:dyDescent="0.25">
      <c r="A1415" s="303"/>
      <c r="B1415" s="333" t="s">
        <v>346</v>
      </c>
      <c r="C1415" s="317"/>
      <c r="D1415" s="318"/>
      <c r="E1415" s="331"/>
      <c r="F1415" s="331"/>
      <c r="G1415" s="331"/>
      <c r="H1415" s="332"/>
      <c r="I1415" s="332"/>
      <c r="J1415" s="321"/>
    </row>
    <row r="1416" spans="1:10" x14ac:dyDescent="0.25">
      <c r="A1416" s="303"/>
      <c r="B1416" s="333" t="s">
        <v>346</v>
      </c>
      <c r="C1416" s="317"/>
      <c r="D1416" s="318"/>
      <c r="E1416" s="331"/>
      <c r="F1416" s="331"/>
      <c r="G1416" s="331"/>
      <c r="H1416" s="332"/>
      <c r="I1416" s="332"/>
      <c r="J1416" s="321"/>
    </row>
    <row r="1417" spans="1:10" x14ac:dyDescent="0.25">
      <c r="A1417" s="303"/>
      <c r="B1417" s="310"/>
      <c r="C1417" s="334"/>
      <c r="D1417" s="312"/>
      <c r="E1417" s="313"/>
      <c r="F1417" s="313"/>
      <c r="G1417" s="313"/>
      <c r="H1417" s="313"/>
      <c r="I1417" s="335" t="s">
        <v>479</v>
      </c>
      <c r="J1417" s="315">
        <v>0</v>
      </c>
    </row>
    <row r="1418" spans="1:10" x14ac:dyDescent="0.25">
      <c r="A1418" s="303"/>
      <c r="B1418" s="310" t="s">
        <v>464</v>
      </c>
      <c r="C1418" s="311" t="s">
        <v>480</v>
      </c>
      <c r="D1418" s="312"/>
      <c r="E1418" s="313"/>
      <c r="F1418" s="313"/>
      <c r="G1418" s="313"/>
      <c r="H1418" s="324" t="s">
        <v>355</v>
      </c>
      <c r="I1418" s="336" t="s">
        <v>481</v>
      </c>
      <c r="J1418" s="322" t="s">
        <v>331</v>
      </c>
    </row>
    <row r="1419" spans="1:10" x14ac:dyDescent="0.25">
      <c r="A1419" s="303"/>
      <c r="B1419" s="337" t="s">
        <v>346</v>
      </c>
      <c r="C1419" s="311"/>
      <c r="D1419" s="312"/>
      <c r="E1419" s="313"/>
      <c r="F1419" s="313"/>
      <c r="G1419" s="313"/>
      <c r="H1419" s="314"/>
      <c r="I1419" s="329"/>
      <c r="J1419" s="315"/>
    </row>
    <row r="1420" spans="1:10" x14ac:dyDescent="0.25">
      <c r="A1420" s="303"/>
      <c r="B1420" s="333" t="s">
        <v>346</v>
      </c>
      <c r="C1420" s="317"/>
      <c r="D1420" s="318"/>
      <c r="E1420" s="319"/>
      <c r="F1420" s="319"/>
      <c r="G1420" s="319"/>
      <c r="H1420" s="320"/>
      <c r="I1420" s="332"/>
      <c r="J1420" s="321"/>
    </row>
    <row r="1421" spans="1:10" x14ac:dyDescent="0.25">
      <c r="A1421" s="303"/>
      <c r="B1421" s="333" t="s">
        <v>346</v>
      </c>
      <c r="C1421" s="317"/>
      <c r="D1421" s="318"/>
      <c r="E1421" s="319"/>
      <c r="F1421" s="319"/>
      <c r="G1421" s="319"/>
      <c r="H1421" s="320"/>
      <c r="I1421" s="332"/>
      <c r="J1421" s="321"/>
    </row>
    <row r="1422" spans="1:10" x14ac:dyDescent="0.25">
      <c r="A1422" s="303"/>
      <c r="B1422" s="333" t="s">
        <v>346</v>
      </c>
      <c r="C1422" s="317"/>
      <c r="D1422" s="318"/>
      <c r="E1422" s="319"/>
      <c r="F1422" s="319"/>
      <c r="G1422" s="319"/>
      <c r="H1422" s="320"/>
      <c r="I1422" s="332"/>
      <c r="J1422" s="321"/>
    </row>
    <row r="1423" spans="1:10" x14ac:dyDescent="0.25">
      <c r="A1423" s="303"/>
      <c r="B1423" s="333" t="s">
        <v>346</v>
      </c>
      <c r="C1423" s="317"/>
      <c r="D1423" s="318"/>
      <c r="E1423" s="319"/>
      <c r="F1423" s="319"/>
      <c r="G1423" s="319"/>
      <c r="H1423" s="320"/>
      <c r="I1423" s="332"/>
      <c r="J1423" s="321"/>
    </row>
    <row r="1424" spans="1:10" x14ac:dyDescent="0.25">
      <c r="A1424" s="303"/>
      <c r="B1424" s="333" t="s">
        <v>346</v>
      </c>
      <c r="C1424" s="317"/>
      <c r="D1424" s="318"/>
      <c r="E1424" s="319"/>
      <c r="F1424" s="319"/>
      <c r="G1424" s="319"/>
      <c r="H1424" s="320"/>
      <c r="I1424" s="332"/>
      <c r="J1424" s="321"/>
    </row>
    <row r="1425" spans="1:10" x14ac:dyDescent="0.25">
      <c r="A1425" s="303"/>
      <c r="B1425" s="333" t="s">
        <v>346</v>
      </c>
      <c r="C1425" s="317"/>
      <c r="D1425" s="318"/>
      <c r="E1425" s="319"/>
      <c r="F1425" s="319"/>
      <c r="G1425" s="319"/>
      <c r="H1425" s="320"/>
      <c r="I1425" s="332"/>
      <c r="J1425" s="321"/>
    </row>
    <row r="1426" spans="1:10" x14ac:dyDescent="0.25">
      <c r="A1426" s="303"/>
      <c r="B1426" s="310"/>
      <c r="C1426" s="334"/>
      <c r="D1426" s="312"/>
      <c r="E1426" s="313"/>
      <c r="F1426" s="313"/>
      <c r="G1426" s="313"/>
      <c r="H1426" s="313"/>
      <c r="I1426" s="338" t="s">
        <v>484</v>
      </c>
      <c r="J1426" s="315">
        <v>0</v>
      </c>
    </row>
    <row r="1427" spans="1:10" x14ac:dyDescent="0.25">
      <c r="A1427" s="303"/>
      <c r="B1427" s="339"/>
      <c r="C1427" s="334"/>
      <c r="D1427" s="312"/>
      <c r="E1427" s="313"/>
      <c r="F1427" s="313"/>
      <c r="G1427" s="313"/>
      <c r="H1427" s="313"/>
      <c r="I1427" s="338" t="s">
        <v>485</v>
      </c>
      <c r="J1427" s="340">
        <v>0</v>
      </c>
    </row>
    <row r="1428" spans="1:10" x14ac:dyDescent="0.25">
      <c r="A1428" s="303"/>
      <c r="B1428" s="339"/>
      <c r="C1428" s="341" t="s">
        <v>486</v>
      </c>
      <c r="D1428" s="312">
        <v>1</v>
      </c>
      <c r="E1428" s="313"/>
      <c r="F1428" s="313"/>
      <c r="G1428" s="313"/>
      <c r="H1428" s="313"/>
      <c r="I1428" s="338" t="s">
        <v>487</v>
      </c>
      <c r="J1428" s="340">
        <v>0</v>
      </c>
    </row>
    <row r="1429" spans="1:10" x14ac:dyDescent="0.25">
      <c r="A1429" s="303"/>
      <c r="B1429" s="310"/>
      <c r="C1429" s="334"/>
      <c r="D1429" s="312"/>
      <c r="E1429" s="313"/>
      <c r="F1429" s="313"/>
      <c r="G1429" s="313"/>
      <c r="H1429" s="338" t="s">
        <v>488</v>
      </c>
      <c r="I1429" s="342">
        <v>0</v>
      </c>
      <c r="J1429" s="315">
        <v>0</v>
      </c>
    </row>
    <row r="1430" spans="1:10" x14ac:dyDescent="0.25">
      <c r="A1430" s="303"/>
      <c r="B1430" s="310"/>
      <c r="C1430" s="334"/>
      <c r="D1430" s="312"/>
      <c r="E1430" s="313"/>
      <c r="F1430" s="313"/>
      <c r="G1430" s="313"/>
      <c r="H1430" s="335" t="s">
        <v>489</v>
      </c>
      <c r="I1430" s="343">
        <v>0</v>
      </c>
      <c r="J1430" s="315">
        <v>0</v>
      </c>
    </row>
    <row r="1431" spans="1:10" x14ac:dyDescent="0.25">
      <c r="A1431" s="303"/>
      <c r="B1431" s="310" t="s">
        <v>464</v>
      </c>
      <c r="C1431" s="311" t="s">
        <v>490</v>
      </c>
      <c r="D1431" s="312"/>
      <c r="E1431" s="313"/>
      <c r="F1431" s="313"/>
      <c r="G1431" s="314" t="s">
        <v>465</v>
      </c>
      <c r="H1431" s="336" t="s">
        <v>468</v>
      </c>
      <c r="I1431" s="336" t="s">
        <v>491</v>
      </c>
      <c r="J1431" s="322" t="s">
        <v>492</v>
      </c>
    </row>
    <row r="1432" spans="1:10" x14ac:dyDescent="0.25">
      <c r="A1432" s="303"/>
      <c r="B1432" s="337" t="s">
        <v>346</v>
      </c>
      <c r="C1432" s="311"/>
      <c r="D1432" s="312"/>
      <c r="E1432" s="313"/>
      <c r="F1432" s="313"/>
      <c r="G1432" s="314"/>
      <c r="H1432" s="329"/>
      <c r="I1432" s="329"/>
      <c r="J1432" s="315"/>
    </row>
    <row r="1433" spans="1:10" x14ac:dyDescent="0.25">
      <c r="A1433" s="303"/>
      <c r="B1433" s="333" t="s">
        <v>346</v>
      </c>
      <c r="C1433" s="317"/>
      <c r="D1433" s="318"/>
      <c r="E1433" s="319"/>
      <c r="F1433" s="319"/>
      <c r="G1433" s="320"/>
      <c r="H1433" s="332"/>
      <c r="I1433" s="332"/>
      <c r="J1433" s="321"/>
    </row>
    <row r="1434" spans="1:10" x14ac:dyDescent="0.25">
      <c r="A1434" s="303"/>
      <c r="B1434" s="333" t="s">
        <v>346</v>
      </c>
      <c r="C1434" s="317"/>
      <c r="D1434" s="318"/>
      <c r="E1434" s="319"/>
      <c r="F1434" s="319"/>
      <c r="G1434" s="320"/>
      <c r="H1434" s="332"/>
      <c r="I1434" s="332"/>
      <c r="J1434" s="321"/>
    </row>
    <row r="1435" spans="1:10" x14ac:dyDescent="0.25">
      <c r="A1435" s="303"/>
      <c r="B1435" s="333" t="s">
        <v>346</v>
      </c>
      <c r="C1435" s="317"/>
      <c r="D1435" s="318"/>
      <c r="E1435" s="319"/>
      <c r="F1435" s="319"/>
      <c r="G1435" s="320"/>
      <c r="H1435" s="332"/>
      <c r="I1435" s="332"/>
      <c r="J1435" s="321"/>
    </row>
    <row r="1436" spans="1:10" x14ac:dyDescent="0.25">
      <c r="A1436" s="303"/>
      <c r="B1436" s="333" t="s">
        <v>346</v>
      </c>
      <c r="C1436" s="317"/>
      <c r="D1436" s="318"/>
      <c r="E1436" s="319"/>
      <c r="F1436" s="319"/>
      <c r="G1436" s="320"/>
      <c r="H1436" s="332"/>
      <c r="I1436" s="332"/>
      <c r="J1436" s="321"/>
    </row>
    <row r="1437" spans="1:10" x14ac:dyDescent="0.25">
      <c r="A1437" s="303"/>
      <c r="B1437" s="333" t="s">
        <v>346</v>
      </c>
      <c r="C1437" s="317"/>
      <c r="D1437" s="318"/>
      <c r="E1437" s="319"/>
      <c r="F1437" s="319"/>
      <c r="G1437" s="320"/>
      <c r="H1437" s="332"/>
      <c r="I1437" s="332"/>
      <c r="J1437" s="321"/>
    </row>
    <row r="1438" spans="1:10" x14ac:dyDescent="0.25">
      <c r="A1438" s="303"/>
      <c r="B1438" s="333" t="s">
        <v>346</v>
      </c>
      <c r="C1438" s="317"/>
      <c r="D1438" s="318"/>
      <c r="E1438" s="319"/>
      <c r="F1438" s="319"/>
      <c r="G1438" s="320"/>
      <c r="H1438" s="332"/>
      <c r="I1438" s="332"/>
      <c r="J1438" s="321"/>
    </row>
    <row r="1439" spans="1:10" x14ac:dyDescent="0.25">
      <c r="A1439" s="303"/>
      <c r="B1439" s="310"/>
      <c r="C1439" s="334"/>
      <c r="D1439" s="312"/>
      <c r="E1439" s="313"/>
      <c r="F1439" s="313"/>
      <c r="G1439" s="313"/>
      <c r="H1439" s="343"/>
      <c r="I1439" s="335" t="s">
        <v>498</v>
      </c>
      <c r="J1439" s="315">
        <v>0</v>
      </c>
    </row>
    <row r="1440" spans="1:10" x14ac:dyDescent="0.25">
      <c r="A1440" s="303"/>
      <c r="B1440" s="310" t="s">
        <v>464</v>
      </c>
      <c r="C1440" s="311" t="s">
        <v>499</v>
      </c>
      <c r="D1440" s="312"/>
      <c r="E1440" s="313"/>
      <c r="F1440" s="313"/>
      <c r="G1440" s="314" t="s">
        <v>465</v>
      </c>
      <c r="H1440" s="336" t="s">
        <v>468</v>
      </c>
      <c r="I1440" s="336" t="s">
        <v>491</v>
      </c>
      <c r="J1440" s="322" t="s">
        <v>492</v>
      </c>
    </row>
    <row r="1441" spans="1:10" x14ac:dyDescent="0.25">
      <c r="A1441" s="303"/>
      <c r="B1441" s="337" t="s">
        <v>439</v>
      </c>
      <c r="C1441" s="311" t="s">
        <v>946</v>
      </c>
      <c r="D1441" s="312"/>
      <c r="E1441" s="313"/>
      <c r="F1441" s="313"/>
      <c r="G1441" s="314" t="s">
        <v>365</v>
      </c>
      <c r="H1441" s="329">
        <v>431.84</v>
      </c>
      <c r="I1441" s="329">
        <v>1</v>
      </c>
      <c r="J1441" s="315">
        <v>431.84</v>
      </c>
    </row>
    <row r="1442" spans="1:10" x14ac:dyDescent="0.25">
      <c r="A1442" s="303"/>
      <c r="B1442" s="333"/>
      <c r="C1442" s="317"/>
      <c r="D1442" s="318"/>
      <c r="E1442" s="319"/>
      <c r="F1442" s="319"/>
      <c r="G1442" s="320"/>
      <c r="H1442" s="332"/>
      <c r="I1442" s="332"/>
      <c r="J1442" s="321"/>
    </row>
    <row r="1443" spans="1:10" x14ac:dyDescent="0.25">
      <c r="A1443" s="303"/>
      <c r="B1443" s="333"/>
      <c r="C1443" s="317"/>
      <c r="D1443" s="318"/>
      <c r="E1443" s="319"/>
      <c r="F1443" s="319"/>
      <c r="G1443" s="320"/>
      <c r="H1443" s="332"/>
      <c r="I1443" s="332"/>
      <c r="J1443" s="321"/>
    </row>
    <row r="1444" spans="1:10" x14ac:dyDescent="0.25">
      <c r="A1444" s="303"/>
      <c r="B1444" s="333"/>
      <c r="C1444" s="317"/>
      <c r="D1444" s="318"/>
      <c r="E1444" s="319"/>
      <c r="F1444" s="319"/>
      <c r="G1444" s="320"/>
      <c r="H1444" s="332"/>
      <c r="I1444" s="332"/>
      <c r="J1444" s="321"/>
    </row>
    <row r="1445" spans="1:10" x14ac:dyDescent="0.25">
      <c r="A1445" s="303"/>
      <c r="B1445" s="333"/>
      <c r="C1445" s="317"/>
      <c r="D1445" s="318"/>
      <c r="E1445" s="319"/>
      <c r="F1445" s="319"/>
      <c r="G1445" s="320"/>
      <c r="H1445" s="332"/>
      <c r="I1445" s="332"/>
      <c r="J1445" s="321"/>
    </row>
    <row r="1446" spans="1:10" x14ac:dyDescent="0.25">
      <c r="A1446" s="303"/>
      <c r="B1446" s="310"/>
      <c r="C1446" s="334"/>
      <c r="D1446" s="312"/>
      <c r="E1446" s="313"/>
      <c r="F1446" s="313"/>
      <c r="G1446" s="313"/>
      <c r="H1446" s="343"/>
      <c r="I1446" s="335" t="s">
        <v>501</v>
      </c>
      <c r="J1446" s="315">
        <v>431.84</v>
      </c>
    </row>
    <row r="1447" spans="1:10" x14ac:dyDescent="0.25">
      <c r="A1447" s="303"/>
      <c r="B1447" s="310" t="s">
        <v>464</v>
      </c>
      <c r="C1447" s="311" t="s">
        <v>502</v>
      </c>
      <c r="D1447" s="312"/>
      <c r="E1447" s="313"/>
      <c r="F1447" s="314" t="s">
        <v>464</v>
      </c>
      <c r="G1447" s="324" t="s">
        <v>503</v>
      </c>
      <c r="H1447" s="329" t="s">
        <v>465</v>
      </c>
      <c r="I1447" s="336" t="s">
        <v>468</v>
      </c>
      <c r="J1447" s="322" t="s">
        <v>492</v>
      </c>
    </row>
    <row r="1448" spans="1:10" x14ac:dyDescent="0.25">
      <c r="A1448" s="303"/>
      <c r="B1448" s="337" t="s">
        <v>712</v>
      </c>
      <c r="C1448" s="311" t="s">
        <v>713</v>
      </c>
      <c r="D1448" s="312"/>
      <c r="E1448" s="313"/>
      <c r="F1448" s="344" t="s">
        <v>593</v>
      </c>
      <c r="G1448" s="314">
        <v>3.88E-4</v>
      </c>
      <c r="H1448" s="329" t="s">
        <v>370</v>
      </c>
      <c r="I1448" s="329">
        <v>23.88</v>
      </c>
      <c r="J1448" s="315">
        <v>9.2999999999999992E-3</v>
      </c>
    </row>
    <row r="1449" spans="1:10" x14ac:dyDescent="0.25">
      <c r="A1449" s="303"/>
      <c r="B1449" s="333" t="s">
        <v>346</v>
      </c>
      <c r="C1449" s="317"/>
      <c r="D1449" s="318"/>
      <c r="E1449" s="319"/>
      <c r="F1449" s="320"/>
      <c r="G1449" s="320"/>
      <c r="H1449" s="332"/>
      <c r="I1449" s="332"/>
      <c r="J1449" s="321"/>
    </row>
    <row r="1450" spans="1:10" x14ac:dyDescent="0.25">
      <c r="A1450" s="303"/>
      <c r="B1450" s="333" t="s">
        <v>346</v>
      </c>
      <c r="C1450" s="317"/>
      <c r="D1450" s="318"/>
      <c r="E1450" s="319"/>
      <c r="F1450" s="320"/>
      <c r="G1450" s="320"/>
      <c r="H1450" s="332"/>
      <c r="I1450" s="332"/>
      <c r="J1450" s="321"/>
    </row>
    <row r="1451" spans="1:10" x14ac:dyDescent="0.25">
      <c r="A1451" s="303"/>
      <c r="B1451" s="333" t="s">
        <v>346</v>
      </c>
      <c r="C1451" s="317"/>
      <c r="D1451" s="318"/>
      <c r="E1451" s="319"/>
      <c r="F1451" s="320"/>
      <c r="G1451" s="320"/>
      <c r="H1451" s="332"/>
      <c r="I1451" s="332"/>
      <c r="J1451" s="321"/>
    </row>
    <row r="1452" spans="1:10" x14ac:dyDescent="0.25">
      <c r="A1452" s="303"/>
      <c r="B1452" s="333" t="s">
        <v>346</v>
      </c>
      <c r="C1452" s="317"/>
      <c r="D1452" s="318"/>
      <c r="E1452" s="319"/>
      <c r="F1452" s="320"/>
      <c r="G1452" s="320"/>
      <c r="H1452" s="332"/>
      <c r="I1452" s="332"/>
      <c r="J1452" s="321"/>
    </row>
    <row r="1453" spans="1:10" x14ac:dyDescent="0.25">
      <c r="A1453" s="303"/>
      <c r="B1453" s="310"/>
      <c r="C1453" s="334"/>
      <c r="D1453" s="312"/>
      <c r="E1453" s="313"/>
      <c r="F1453" s="313"/>
      <c r="G1453" s="313"/>
      <c r="H1453" s="343"/>
      <c r="I1453" s="338" t="s">
        <v>507</v>
      </c>
      <c r="J1453" s="315">
        <v>9.2999999999999992E-3</v>
      </c>
    </row>
    <row r="1454" spans="1:10" x14ac:dyDescent="0.25">
      <c r="A1454" s="303"/>
      <c r="B1454" s="310" t="s">
        <v>464</v>
      </c>
      <c r="C1454" s="311" t="s">
        <v>508</v>
      </c>
      <c r="D1454" s="345" t="s">
        <v>509</v>
      </c>
      <c r="E1454" s="324" t="s">
        <v>873</v>
      </c>
      <c r="F1454" s="324" t="s">
        <v>874</v>
      </c>
      <c r="G1454" s="324" t="s">
        <v>875</v>
      </c>
      <c r="H1454" s="336" t="s">
        <v>468</v>
      </c>
      <c r="I1454" s="324" t="s">
        <v>491</v>
      </c>
      <c r="J1454" s="322" t="s">
        <v>492</v>
      </c>
    </row>
    <row r="1455" spans="1:10" x14ac:dyDescent="0.25">
      <c r="A1455" s="303"/>
      <c r="B1455" s="337" t="s">
        <v>641</v>
      </c>
      <c r="C1455" s="311" t="s">
        <v>642</v>
      </c>
      <c r="D1455" s="345" t="s">
        <v>510</v>
      </c>
      <c r="E1455" s="314">
        <v>0</v>
      </c>
      <c r="F1455" s="314">
        <v>0</v>
      </c>
      <c r="G1455" s="314">
        <v>121</v>
      </c>
      <c r="H1455" s="329">
        <v>0.55000000000000004</v>
      </c>
      <c r="I1455" s="314">
        <v>0.92220000000000002</v>
      </c>
      <c r="J1455" s="315">
        <v>61.372399999999999</v>
      </c>
    </row>
    <row r="1456" spans="1:10" x14ac:dyDescent="0.25">
      <c r="A1456" s="303"/>
      <c r="B1456" s="333" t="s">
        <v>581</v>
      </c>
      <c r="C1456" s="317" t="s">
        <v>582</v>
      </c>
      <c r="D1456" s="346" t="s">
        <v>510</v>
      </c>
      <c r="E1456" s="320">
        <v>0</v>
      </c>
      <c r="F1456" s="320">
        <v>0</v>
      </c>
      <c r="G1456" s="320">
        <v>137.5</v>
      </c>
      <c r="H1456" s="332">
        <v>0.55000000000000004</v>
      </c>
      <c r="I1456" s="320">
        <v>1.1026499999999999</v>
      </c>
      <c r="J1456" s="321">
        <v>83.387900000000002</v>
      </c>
    </row>
    <row r="1457" spans="1:10" x14ac:dyDescent="0.25">
      <c r="A1457" s="303"/>
      <c r="B1457" s="333" t="s">
        <v>346</v>
      </c>
      <c r="C1457" s="317"/>
      <c r="D1457" s="346"/>
      <c r="E1457" s="320"/>
      <c r="F1457" s="320"/>
      <c r="G1457" s="320"/>
      <c r="H1457" s="332"/>
      <c r="I1457" s="320"/>
      <c r="J1457" s="321"/>
    </row>
    <row r="1458" spans="1:10" x14ac:dyDescent="0.25">
      <c r="A1458" s="303"/>
      <c r="B1458" s="333" t="s">
        <v>346</v>
      </c>
      <c r="C1458" s="317"/>
      <c r="D1458" s="346"/>
      <c r="E1458" s="320"/>
      <c r="F1458" s="320"/>
      <c r="G1458" s="320"/>
      <c r="H1458" s="332"/>
      <c r="I1458" s="320"/>
      <c r="J1458" s="321"/>
    </row>
    <row r="1459" spans="1:10" x14ac:dyDescent="0.25">
      <c r="A1459" s="303"/>
      <c r="B1459" s="333" t="s">
        <v>346</v>
      </c>
      <c r="C1459" s="317"/>
      <c r="D1459" s="346"/>
      <c r="E1459" s="320"/>
      <c r="F1459" s="320"/>
      <c r="G1459" s="320"/>
      <c r="H1459" s="332"/>
      <c r="I1459" s="320"/>
      <c r="J1459" s="321"/>
    </row>
    <row r="1460" spans="1:10" x14ac:dyDescent="0.25">
      <c r="A1460" s="303"/>
      <c r="B1460" s="333" t="s">
        <v>346</v>
      </c>
      <c r="C1460" s="317"/>
      <c r="D1460" s="346"/>
      <c r="E1460" s="320"/>
      <c r="F1460" s="320"/>
      <c r="G1460" s="320"/>
      <c r="H1460" s="332"/>
      <c r="I1460" s="320"/>
      <c r="J1460" s="321"/>
    </row>
    <row r="1461" spans="1:10" x14ac:dyDescent="0.25">
      <c r="A1461" s="303"/>
      <c r="B1461" s="333" t="s">
        <v>346</v>
      </c>
      <c r="C1461" s="317"/>
      <c r="D1461" s="346"/>
      <c r="E1461" s="320"/>
      <c r="F1461" s="320"/>
      <c r="G1461" s="320"/>
      <c r="H1461" s="332"/>
      <c r="I1461" s="320"/>
      <c r="J1461" s="321"/>
    </row>
    <row r="1462" spans="1:10" x14ac:dyDescent="0.25">
      <c r="A1462" s="303"/>
      <c r="B1462" s="310"/>
      <c r="C1462" s="334"/>
      <c r="D1462" s="312"/>
      <c r="E1462" s="313"/>
      <c r="F1462" s="313"/>
      <c r="G1462" s="313"/>
      <c r="H1462" s="313"/>
      <c r="I1462" s="338" t="s">
        <v>513</v>
      </c>
      <c r="J1462" s="315">
        <v>144.7603</v>
      </c>
    </row>
    <row r="1463" spans="1:10" x14ac:dyDescent="0.25">
      <c r="A1463" s="303"/>
      <c r="B1463" s="310" t="s">
        <v>514</v>
      </c>
      <c r="C1463" s="334"/>
      <c r="D1463" s="312"/>
      <c r="E1463" s="313"/>
      <c r="F1463" s="313"/>
      <c r="G1463" s="313"/>
      <c r="H1463" s="313"/>
      <c r="I1463" s="313"/>
      <c r="J1463" s="315">
        <v>576.6096</v>
      </c>
    </row>
    <row r="1464" spans="1:10" x14ac:dyDescent="0.25">
      <c r="A1464" s="303"/>
      <c r="B1464" s="310" t="s">
        <v>515</v>
      </c>
      <c r="C1464" s="334"/>
      <c r="D1464" s="312">
        <v>0</v>
      </c>
      <c r="E1464" s="313"/>
      <c r="F1464" s="313"/>
      <c r="G1464" s="313"/>
      <c r="H1464" s="313"/>
      <c r="I1464" s="313"/>
      <c r="J1464" s="315">
        <v>0</v>
      </c>
    </row>
    <row r="1465" spans="1:10" ht="14.4" thickBot="1" x14ac:dyDescent="0.3">
      <c r="A1465" s="303"/>
      <c r="B1465" s="310" t="s">
        <v>516</v>
      </c>
      <c r="C1465" s="334"/>
      <c r="D1465" s="312"/>
      <c r="E1465" s="313"/>
      <c r="F1465" s="313"/>
      <c r="G1465" s="313"/>
      <c r="H1465" s="313"/>
      <c r="I1465" s="313"/>
      <c r="J1465" s="347">
        <v>576.61</v>
      </c>
    </row>
    <row r="1466" spans="1:10" x14ac:dyDescent="0.25">
      <c r="A1466" s="303"/>
      <c r="B1466" s="304"/>
      <c r="C1466" s="305"/>
      <c r="D1466" s="348"/>
      <c r="E1466" s="308"/>
      <c r="F1466" s="308"/>
      <c r="G1466" s="308"/>
      <c r="H1466" s="308"/>
      <c r="I1466" s="308"/>
      <c r="J1466" s="309"/>
    </row>
    <row r="1467" spans="1:10" x14ac:dyDescent="0.25">
      <c r="A1467" s="303"/>
      <c r="B1467" s="316"/>
      <c r="C1467" s="303"/>
      <c r="D1467" s="318"/>
      <c r="E1467" s="319"/>
      <c r="F1467" s="319"/>
      <c r="G1467" s="319"/>
      <c r="H1467" s="319"/>
      <c r="I1467" s="319"/>
      <c r="J1467" s="349"/>
    </row>
    <row r="1468" spans="1:10" x14ac:dyDescent="0.25">
      <c r="A1468" s="303"/>
      <c r="B1468" s="316"/>
      <c r="C1468" s="303"/>
      <c r="D1468" s="318"/>
      <c r="E1468" s="319"/>
      <c r="F1468" s="319"/>
      <c r="G1468" s="319"/>
      <c r="H1468" s="319"/>
      <c r="I1468" s="319"/>
      <c r="J1468" s="349"/>
    </row>
    <row r="1469" spans="1:10" ht="14.4" thickBot="1" x14ac:dyDescent="0.3">
      <c r="A1469" s="303"/>
      <c r="B1469" s="350"/>
      <c r="C1469" s="303"/>
      <c r="D1469" s="318"/>
      <c r="E1469" s="319"/>
      <c r="F1469" s="319"/>
      <c r="G1469" s="319"/>
      <c r="H1469" s="319"/>
      <c r="I1469" s="319"/>
      <c r="J1469" s="351"/>
    </row>
    <row r="1470" spans="1:10" x14ac:dyDescent="0.25">
      <c r="A1470" s="303"/>
      <c r="B1470" s="305"/>
      <c r="C1470" s="305"/>
      <c r="D1470" s="348"/>
      <c r="E1470" s="308"/>
      <c r="F1470" s="308"/>
      <c r="G1470" s="308"/>
      <c r="H1470" s="308"/>
      <c r="I1470" s="308"/>
      <c r="J1470" s="352"/>
    </row>
    <row r="1471" spans="1:10" ht="14.4" thickBot="1" x14ac:dyDescent="0.3">
      <c r="A1471" s="303"/>
      <c r="B1471" s="303"/>
      <c r="C1471" s="303"/>
      <c r="D1471" s="318"/>
      <c r="E1471" s="319"/>
      <c r="F1471" s="319"/>
      <c r="G1471" s="319"/>
      <c r="H1471" s="319"/>
      <c r="I1471" s="319"/>
      <c r="J1471" s="353"/>
    </row>
    <row r="1472" spans="1:10" x14ac:dyDescent="0.25">
      <c r="A1472" s="303"/>
      <c r="B1472" s="304"/>
      <c r="C1472" s="305"/>
      <c r="D1472" s="306" t="s">
        <v>463</v>
      </c>
      <c r="E1472" s="307"/>
      <c r="F1472" s="307"/>
      <c r="G1472" s="308"/>
      <c r="H1472" s="308"/>
      <c r="I1472" s="308"/>
      <c r="J1472" s="309"/>
    </row>
    <row r="1473" spans="1:10" x14ac:dyDescent="0.25">
      <c r="A1473" s="303"/>
      <c r="B1473" s="310" t="s">
        <v>464</v>
      </c>
      <c r="C1473" s="311" t="s">
        <v>134</v>
      </c>
      <c r="D1473" s="312"/>
      <c r="E1473" s="313"/>
      <c r="F1473" s="313"/>
      <c r="G1473" s="313"/>
      <c r="H1473" s="314"/>
      <c r="I1473" s="313"/>
      <c r="J1473" s="315" t="s">
        <v>465</v>
      </c>
    </row>
    <row r="1474" spans="1:10" x14ac:dyDescent="0.25">
      <c r="A1474" s="303"/>
      <c r="B1474" s="316" t="s">
        <v>437</v>
      </c>
      <c r="C1474" s="317" t="s">
        <v>947</v>
      </c>
      <c r="D1474" s="318"/>
      <c r="E1474" s="319"/>
      <c r="F1474" s="319"/>
      <c r="G1474" s="319"/>
      <c r="H1474" s="320"/>
      <c r="I1474" s="319"/>
      <c r="J1474" s="321" t="s">
        <v>365</v>
      </c>
    </row>
    <row r="1475" spans="1:10" x14ac:dyDescent="0.25">
      <c r="A1475" s="303"/>
      <c r="B1475" s="310"/>
      <c r="C1475" s="311"/>
      <c r="D1475" s="312"/>
      <c r="E1475" s="314"/>
      <c r="F1475" s="314" t="s">
        <v>466</v>
      </c>
      <c r="G1475" s="314"/>
      <c r="H1475" s="314" t="s">
        <v>467</v>
      </c>
      <c r="I1475" s="314"/>
      <c r="J1475" s="322" t="s">
        <v>468</v>
      </c>
    </row>
    <row r="1476" spans="1:10" x14ac:dyDescent="0.25">
      <c r="A1476" s="303"/>
      <c r="B1476" s="316" t="s">
        <v>464</v>
      </c>
      <c r="C1476" s="317" t="s">
        <v>469</v>
      </c>
      <c r="D1476" s="318"/>
      <c r="E1476" s="323" t="s">
        <v>355</v>
      </c>
      <c r="F1476" s="324" t="s">
        <v>470</v>
      </c>
      <c r="G1476" s="324" t="s">
        <v>471</v>
      </c>
      <c r="H1476" s="324" t="s">
        <v>472</v>
      </c>
      <c r="I1476" s="325" t="s">
        <v>473</v>
      </c>
      <c r="J1476" s="326" t="s">
        <v>474</v>
      </c>
    </row>
    <row r="1477" spans="1:10" x14ac:dyDescent="0.25">
      <c r="A1477" s="303"/>
      <c r="B1477" s="327" t="s">
        <v>714</v>
      </c>
      <c r="C1477" s="311" t="s">
        <v>715</v>
      </c>
      <c r="D1477" s="312"/>
      <c r="E1477" s="328">
        <v>1</v>
      </c>
      <c r="F1477" s="328">
        <v>1</v>
      </c>
      <c r="G1477" s="328">
        <v>0</v>
      </c>
      <c r="H1477" s="329">
        <v>8.7225999999999999</v>
      </c>
      <c r="I1477" s="329">
        <v>0.68010000000000004</v>
      </c>
      <c r="J1477" s="315">
        <v>8.7225999999999999</v>
      </c>
    </row>
    <row r="1478" spans="1:10" x14ac:dyDescent="0.25">
      <c r="A1478" s="303"/>
      <c r="B1478" s="330" t="s">
        <v>595</v>
      </c>
      <c r="C1478" s="317" t="s">
        <v>596</v>
      </c>
      <c r="D1478" s="318"/>
      <c r="E1478" s="331">
        <v>3</v>
      </c>
      <c r="F1478" s="331">
        <v>0.69</v>
      </c>
      <c r="G1478" s="331">
        <v>0.31</v>
      </c>
      <c r="H1478" s="332">
        <v>0.44979999999999998</v>
      </c>
      <c r="I1478" s="332">
        <v>0.30509999999999998</v>
      </c>
      <c r="J1478" s="321">
        <v>1.2148000000000001</v>
      </c>
    </row>
    <row r="1479" spans="1:10" x14ac:dyDescent="0.25">
      <c r="A1479" s="303"/>
      <c r="B1479" s="330" t="s">
        <v>616</v>
      </c>
      <c r="C1479" s="317" t="s">
        <v>617</v>
      </c>
      <c r="D1479" s="318"/>
      <c r="E1479" s="331">
        <v>1</v>
      </c>
      <c r="F1479" s="331">
        <v>1</v>
      </c>
      <c r="G1479" s="331">
        <v>0</v>
      </c>
      <c r="H1479" s="332">
        <v>44.021000000000001</v>
      </c>
      <c r="I1479" s="332">
        <v>23.415199999999999</v>
      </c>
      <c r="J1479" s="321">
        <v>44.021000000000001</v>
      </c>
    </row>
    <row r="1480" spans="1:10" x14ac:dyDescent="0.25">
      <c r="A1480" s="303"/>
      <c r="B1480" s="330" t="s">
        <v>716</v>
      </c>
      <c r="C1480" s="317" t="s">
        <v>717</v>
      </c>
      <c r="D1480" s="318"/>
      <c r="E1480" s="331">
        <v>1</v>
      </c>
      <c r="F1480" s="331">
        <v>1</v>
      </c>
      <c r="G1480" s="331">
        <v>0</v>
      </c>
      <c r="H1480" s="332">
        <v>29.3445</v>
      </c>
      <c r="I1480" s="332">
        <v>3.7446000000000002</v>
      </c>
      <c r="J1480" s="321">
        <v>29.3445</v>
      </c>
    </row>
    <row r="1481" spans="1:10" x14ac:dyDescent="0.25">
      <c r="A1481" s="303"/>
      <c r="B1481" s="333" t="s">
        <v>346</v>
      </c>
      <c r="C1481" s="317"/>
      <c r="D1481" s="318"/>
      <c r="E1481" s="331"/>
      <c r="F1481" s="331"/>
      <c r="G1481" s="331"/>
      <c r="H1481" s="332"/>
      <c r="I1481" s="332"/>
      <c r="J1481" s="321"/>
    </row>
    <row r="1482" spans="1:10" x14ac:dyDescent="0.25">
      <c r="A1482" s="303"/>
      <c r="B1482" s="333" t="s">
        <v>346</v>
      </c>
      <c r="C1482" s="317"/>
      <c r="D1482" s="318"/>
      <c r="E1482" s="331"/>
      <c r="F1482" s="331"/>
      <c r="G1482" s="331"/>
      <c r="H1482" s="332"/>
      <c r="I1482" s="332"/>
      <c r="J1482" s="321"/>
    </row>
    <row r="1483" spans="1:10" x14ac:dyDescent="0.25">
      <c r="A1483" s="303"/>
      <c r="B1483" s="333" t="s">
        <v>346</v>
      </c>
      <c r="C1483" s="317"/>
      <c r="D1483" s="318"/>
      <c r="E1483" s="331"/>
      <c r="F1483" s="331"/>
      <c r="G1483" s="331"/>
      <c r="H1483" s="332"/>
      <c r="I1483" s="332"/>
      <c r="J1483" s="321"/>
    </row>
    <row r="1484" spans="1:10" x14ac:dyDescent="0.25">
      <c r="A1484" s="303"/>
      <c r="B1484" s="310"/>
      <c r="C1484" s="334"/>
      <c r="D1484" s="312"/>
      <c r="E1484" s="313"/>
      <c r="F1484" s="313"/>
      <c r="G1484" s="313"/>
      <c r="H1484" s="313"/>
      <c r="I1484" s="335" t="s">
        <v>479</v>
      </c>
      <c r="J1484" s="315">
        <v>83.302899999999994</v>
      </c>
    </row>
    <row r="1485" spans="1:10" x14ac:dyDescent="0.25">
      <c r="A1485" s="303"/>
      <c r="B1485" s="310" t="s">
        <v>464</v>
      </c>
      <c r="C1485" s="311" t="s">
        <v>480</v>
      </c>
      <c r="D1485" s="312"/>
      <c r="E1485" s="313"/>
      <c r="F1485" s="313"/>
      <c r="G1485" s="313"/>
      <c r="H1485" s="324" t="s">
        <v>355</v>
      </c>
      <c r="I1485" s="336" t="s">
        <v>481</v>
      </c>
      <c r="J1485" s="322" t="s">
        <v>331</v>
      </c>
    </row>
    <row r="1486" spans="1:10" x14ac:dyDescent="0.25">
      <c r="A1486" s="303"/>
      <c r="B1486" s="337" t="s">
        <v>679</v>
      </c>
      <c r="C1486" s="311" t="s">
        <v>680</v>
      </c>
      <c r="D1486" s="312"/>
      <c r="E1486" s="313"/>
      <c r="F1486" s="313"/>
      <c r="G1486" s="313"/>
      <c r="H1486" s="314">
        <v>14</v>
      </c>
      <c r="I1486" s="329">
        <v>18.301200000000001</v>
      </c>
      <c r="J1486" s="315">
        <v>256.21679999999998</v>
      </c>
    </row>
    <row r="1487" spans="1:10" x14ac:dyDescent="0.25">
      <c r="A1487" s="303"/>
      <c r="B1487" s="333" t="s">
        <v>620</v>
      </c>
      <c r="C1487" s="317" t="s">
        <v>621</v>
      </c>
      <c r="D1487" s="318"/>
      <c r="E1487" s="319"/>
      <c r="F1487" s="319"/>
      <c r="G1487" s="319"/>
      <c r="H1487" s="320">
        <v>1</v>
      </c>
      <c r="I1487" s="332">
        <v>21.433599999999998</v>
      </c>
      <c r="J1487" s="321">
        <v>21.433599999999998</v>
      </c>
    </row>
    <row r="1488" spans="1:10" x14ac:dyDescent="0.25">
      <c r="A1488" s="303"/>
      <c r="B1488" s="333" t="s">
        <v>346</v>
      </c>
      <c r="C1488" s="317"/>
      <c r="D1488" s="318"/>
      <c r="E1488" s="319"/>
      <c r="F1488" s="319"/>
      <c r="G1488" s="319"/>
      <c r="H1488" s="320"/>
      <c r="I1488" s="332"/>
      <c r="J1488" s="321"/>
    </row>
    <row r="1489" spans="1:10" x14ac:dyDescent="0.25">
      <c r="A1489" s="303"/>
      <c r="B1489" s="333" t="s">
        <v>346</v>
      </c>
      <c r="C1489" s="317"/>
      <c r="D1489" s="318"/>
      <c r="E1489" s="319"/>
      <c r="F1489" s="319"/>
      <c r="G1489" s="319"/>
      <c r="H1489" s="320"/>
      <c r="I1489" s="332"/>
      <c r="J1489" s="321"/>
    </row>
    <row r="1490" spans="1:10" x14ac:dyDescent="0.25">
      <c r="A1490" s="303"/>
      <c r="B1490" s="333" t="s">
        <v>346</v>
      </c>
      <c r="C1490" s="317"/>
      <c r="D1490" s="318"/>
      <c r="E1490" s="319"/>
      <c r="F1490" s="319"/>
      <c r="G1490" s="319"/>
      <c r="H1490" s="320"/>
      <c r="I1490" s="332"/>
      <c r="J1490" s="321"/>
    </row>
    <row r="1491" spans="1:10" x14ac:dyDescent="0.25">
      <c r="A1491" s="303"/>
      <c r="B1491" s="333" t="s">
        <v>346</v>
      </c>
      <c r="C1491" s="317"/>
      <c r="D1491" s="318"/>
      <c r="E1491" s="319"/>
      <c r="F1491" s="319"/>
      <c r="G1491" s="319"/>
      <c r="H1491" s="320"/>
      <c r="I1491" s="332"/>
      <c r="J1491" s="321"/>
    </row>
    <row r="1492" spans="1:10" x14ac:dyDescent="0.25">
      <c r="A1492" s="303"/>
      <c r="B1492" s="333" t="s">
        <v>346</v>
      </c>
      <c r="C1492" s="317"/>
      <c r="D1492" s="318"/>
      <c r="E1492" s="319"/>
      <c r="F1492" s="319"/>
      <c r="G1492" s="319"/>
      <c r="H1492" s="320"/>
      <c r="I1492" s="332"/>
      <c r="J1492" s="321"/>
    </row>
    <row r="1493" spans="1:10" x14ac:dyDescent="0.25">
      <c r="A1493" s="303"/>
      <c r="B1493" s="310"/>
      <c r="C1493" s="334"/>
      <c r="D1493" s="312"/>
      <c r="E1493" s="313"/>
      <c r="F1493" s="313"/>
      <c r="G1493" s="313"/>
      <c r="H1493" s="313"/>
      <c r="I1493" s="338" t="s">
        <v>484</v>
      </c>
      <c r="J1493" s="315">
        <v>277.65039999999999</v>
      </c>
    </row>
    <row r="1494" spans="1:10" x14ac:dyDescent="0.25">
      <c r="A1494" s="303"/>
      <c r="B1494" s="339"/>
      <c r="C1494" s="334"/>
      <c r="D1494" s="312"/>
      <c r="E1494" s="313"/>
      <c r="F1494" s="313"/>
      <c r="G1494" s="313"/>
      <c r="H1494" s="313"/>
      <c r="I1494" s="338" t="s">
        <v>485</v>
      </c>
      <c r="J1494" s="340">
        <v>360.95329999999996</v>
      </c>
    </row>
    <row r="1495" spans="1:10" x14ac:dyDescent="0.25">
      <c r="A1495" s="303"/>
      <c r="B1495" s="339"/>
      <c r="C1495" s="341" t="s">
        <v>486</v>
      </c>
      <c r="D1495" s="312">
        <v>1</v>
      </c>
      <c r="E1495" s="313"/>
      <c r="F1495" s="313"/>
      <c r="G1495" s="313"/>
      <c r="H1495" s="313"/>
      <c r="I1495" s="338" t="s">
        <v>487</v>
      </c>
      <c r="J1495" s="340">
        <v>360.95330000000001</v>
      </c>
    </row>
    <row r="1496" spans="1:10" x14ac:dyDescent="0.25">
      <c r="A1496" s="303"/>
      <c r="B1496" s="310"/>
      <c r="C1496" s="334"/>
      <c r="D1496" s="312"/>
      <c r="E1496" s="313"/>
      <c r="F1496" s="313"/>
      <c r="G1496" s="313"/>
      <c r="H1496" s="338" t="s">
        <v>488</v>
      </c>
      <c r="I1496" s="342">
        <v>0</v>
      </c>
      <c r="J1496" s="315">
        <v>0</v>
      </c>
    </row>
    <row r="1497" spans="1:10" x14ac:dyDescent="0.25">
      <c r="A1497" s="303"/>
      <c r="B1497" s="310"/>
      <c r="C1497" s="334"/>
      <c r="D1497" s="312"/>
      <c r="E1497" s="313"/>
      <c r="F1497" s="313"/>
      <c r="G1497" s="313"/>
      <c r="H1497" s="335" t="s">
        <v>489</v>
      </c>
      <c r="I1497" s="343">
        <v>0</v>
      </c>
      <c r="J1497" s="315">
        <v>0</v>
      </c>
    </row>
    <row r="1498" spans="1:10" x14ac:dyDescent="0.25">
      <c r="A1498" s="303"/>
      <c r="B1498" s="310" t="s">
        <v>464</v>
      </c>
      <c r="C1498" s="311" t="s">
        <v>490</v>
      </c>
      <c r="D1498" s="312"/>
      <c r="E1498" s="313"/>
      <c r="F1498" s="313"/>
      <c r="G1498" s="314" t="s">
        <v>465</v>
      </c>
      <c r="H1498" s="336" t="s">
        <v>468</v>
      </c>
      <c r="I1498" s="336" t="s">
        <v>491</v>
      </c>
      <c r="J1498" s="322" t="s">
        <v>492</v>
      </c>
    </row>
    <row r="1499" spans="1:10" x14ac:dyDescent="0.25">
      <c r="A1499" s="303"/>
      <c r="B1499" s="337" t="s">
        <v>624</v>
      </c>
      <c r="C1499" s="311" t="s">
        <v>625</v>
      </c>
      <c r="D1499" s="312"/>
      <c r="E1499" s="313"/>
      <c r="F1499" s="313"/>
      <c r="G1499" s="314" t="s">
        <v>365</v>
      </c>
      <c r="H1499" s="329">
        <v>32.81</v>
      </c>
      <c r="I1499" s="329">
        <v>0.61480000000000001</v>
      </c>
      <c r="J1499" s="315">
        <v>20.171600000000002</v>
      </c>
    </row>
    <row r="1500" spans="1:10" x14ac:dyDescent="0.25">
      <c r="A1500" s="303"/>
      <c r="B1500" s="333" t="s">
        <v>556</v>
      </c>
      <c r="C1500" s="317" t="s">
        <v>557</v>
      </c>
      <c r="D1500" s="318"/>
      <c r="E1500" s="319"/>
      <c r="F1500" s="319"/>
      <c r="G1500" s="320" t="s">
        <v>365</v>
      </c>
      <c r="H1500" s="332">
        <v>68.72</v>
      </c>
      <c r="I1500" s="332">
        <v>0.73509999999999998</v>
      </c>
      <c r="J1500" s="321">
        <v>50.516100000000002</v>
      </c>
    </row>
    <row r="1501" spans="1:10" x14ac:dyDescent="0.25">
      <c r="A1501" s="303"/>
      <c r="B1501" s="333" t="s">
        <v>628</v>
      </c>
      <c r="C1501" s="317" t="s">
        <v>629</v>
      </c>
      <c r="D1501" s="318"/>
      <c r="E1501" s="319"/>
      <c r="F1501" s="319"/>
      <c r="G1501" s="320" t="s">
        <v>560</v>
      </c>
      <c r="H1501" s="332">
        <v>0.51600000000000001</v>
      </c>
      <c r="I1501" s="332">
        <v>0.3881</v>
      </c>
      <c r="J1501" s="321">
        <v>0.20030000000000001</v>
      </c>
    </row>
    <row r="1502" spans="1:10" x14ac:dyDescent="0.25">
      <c r="A1502" s="303"/>
      <c r="B1502" s="333" t="s">
        <v>346</v>
      </c>
      <c r="C1502" s="317"/>
      <c r="D1502" s="318"/>
      <c r="E1502" s="319"/>
      <c r="F1502" s="319"/>
      <c r="G1502" s="320"/>
      <c r="H1502" s="332"/>
      <c r="I1502" s="332"/>
      <c r="J1502" s="321"/>
    </row>
    <row r="1503" spans="1:10" x14ac:dyDescent="0.25">
      <c r="A1503" s="303"/>
      <c r="B1503" s="333" t="s">
        <v>346</v>
      </c>
      <c r="C1503" s="317"/>
      <c r="D1503" s="318"/>
      <c r="E1503" s="319"/>
      <c r="F1503" s="319"/>
      <c r="G1503" s="320"/>
      <c r="H1503" s="332"/>
      <c r="I1503" s="332"/>
      <c r="J1503" s="321"/>
    </row>
    <row r="1504" spans="1:10" x14ac:dyDescent="0.25">
      <c r="A1504" s="303"/>
      <c r="B1504" s="333" t="s">
        <v>346</v>
      </c>
      <c r="C1504" s="317"/>
      <c r="D1504" s="318"/>
      <c r="E1504" s="319"/>
      <c r="F1504" s="319"/>
      <c r="G1504" s="320"/>
      <c r="H1504" s="332"/>
      <c r="I1504" s="332"/>
      <c r="J1504" s="321"/>
    </row>
    <row r="1505" spans="1:10" x14ac:dyDescent="0.25">
      <c r="A1505" s="303"/>
      <c r="B1505" s="333" t="s">
        <v>346</v>
      </c>
      <c r="C1505" s="317"/>
      <c r="D1505" s="318"/>
      <c r="E1505" s="319"/>
      <c r="F1505" s="319"/>
      <c r="G1505" s="320"/>
      <c r="H1505" s="332"/>
      <c r="I1505" s="332"/>
      <c r="J1505" s="321"/>
    </row>
    <row r="1506" spans="1:10" x14ac:dyDescent="0.25">
      <c r="A1506" s="303"/>
      <c r="B1506" s="310"/>
      <c r="C1506" s="334"/>
      <c r="D1506" s="312"/>
      <c r="E1506" s="313"/>
      <c r="F1506" s="313"/>
      <c r="G1506" s="313"/>
      <c r="H1506" s="343"/>
      <c r="I1506" s="335" t="s">
        <v>498</v>
      </c>
      <c r="J1506" s="315">
        <v>70.888000000000005</v>
      </c>
    </row>
    <row r="1507" spans="1:10" x14ac:dyDescent="0.25">
      <c r="A1507" s="303"/>
      <c r="B1507" s="310" t="s">
        <v>464</v>
      </c>
      <c r="C1507" s="311" t="s">
        <v>499</v>
      </c>
      <c r="D1507" s="312"/>
      <c r="E1507" s="313"/>
      <c r="F1507" s="313"/>
      <c r="G1507" s="314" t="s">
        <v>465</v>
      </c>
      <c r="H1507" s="336" t="s">
        <v>468</v>
      </c>
      <c r="I1507" s="336" t="s">
        <v>491</v>
      </c>
      <c r="J1507" s="322" t="s">
        <v>492</v>
      </c>
    </row>
    <row r="1508" spans="1:10" x14ac:dyDescent="0.25">
      <c r="A1508" s="303"/>
      <c r="B1508" s="337"/>
      <c r="C1508" s="311"/>
      <c r="D1508" s="312"/>
      <c r="E1508" s="313"/>
      <c r="F1508" s="313"/>
      <c r="G1508" s="314"/>
      <c r="H1508" s="329"/>
      <c r="I1508" s="329"/>
      <c r="J1508" s="315"/>
    </row>
    <row r="1509" spans="1:10" x14ac:dyDescent="0.25">
      <c r="A1509" s="303"/>
      <c r="B1509" s="333"/>
      <c r="C1509" s="317"/>
      <c r="D1509" s="318"/>
      <c r="E1509" s="319"/>
      <c r="F1509" s="319"/>
      <c r="G1509" s="320"/>
      <c r="H1509" s="332"/>
      <c r="I1509" s="332"/>
      <c r="J1509" s="321"/>
    </row>
    <row r="1510" spans="1:10" x14ac:dyDescent="0.25">
      <c r="A1510" s="303"/>
      <c r="B1510" s="333"/>
      <c r="C1510" s="317"/>
      <c r="D1510" s="318"/>
      <c r="E1510" s="319"/>
      <c r="F1510" s="319"/>
      <c r="G1510" s="320"/>
      <c r="H1510" s="332"/>
      <c r="I1510" s="332"/>
      <c r="J1510" s="321"/>
    </row>
    <row r="1511" spans="1:10" x14ac:dyDescent="0.25">
      <c r="A1511" s="303"/>
      <c r="B1511" s="333"/>
      <c r="C1511" s="317"/>
      <c r="D1511" s="318"/>
      <c r="E1511" s="319"/>
      <c r="F1511" s="319"/>
      <c r="G1511" s="320"/>
      <c r="H1511" s="332"/>
      <c r="I1511" s="332"/>
      <c r="J1511" s="321"/>
    </row>
    <row r="1512" spans="1:10" x14ac:dyDescent="0.25">
      <c r="A1512" s="303"/>
      <c r="B1512" s="333"/>
      <c r="C1512" s="317"/>
      <c r="D1512" s="318"/>
      <c r="E1512" s="319"/>
      <c r="F1512" s="319"/>
      <c r="G1512" s="320"/>
      <c r="H1512" s="332"/>
      <c r="I1512" s="332"/>
      <c r="J1512" s="321"/>
    </row>
    <row r="1513" spans="1:10" x14ac:dyDescent="0.25">
      <c r="A1513" s="303"/>
      <c r="B1513" s="310"/>
      <c r="C1513" s="334"/>
      <c r="D1513" s="312"/>
      <c r="E1513" s="313"/>
      <c r="F1513" s="313"/>
      <c r="G1513" s="313"/>
      <c r="H1513" s="343"/>
      <c r="I1513" s="335" t="s">
        <v>501</v>
      </c>
      <c r="J1513" s="315">
        <v>0</v>
      </c>
    </row>
    <row r="1514" spans="1:10" x14ac:dyDescent="0.25">
      <c r="A1514" s="303"/>
      <c r="B1514" s="310" t="s">
        <v>464</v>
      </c>
      <c r="C1514" s="311" t="s">
        <v>502</v>
      </c>
      <c r="D1514" s="312"/>
      <c r="E1514" s="313"/>
      <c r="F1514" s="314" t="s">
        <v>464</v>
      </c>
      <c r="G1514" s="324" t="s">
        <v>503</v>
      </c>
      <c r="H1514" s="329" t="s">
        <v>465</v>
      </c>
      <c r="I1514" s="336" t="s">
        <v>468</v>
      </c>
      <c r="J1514" s="322" t="s">
        <v>492</v>
      </c>
    </row>
    <row r="1515" spans="1:10" x14ac:dyDescent="0.25">
      <c r="A1515" s="303"/>
      <c r="B1515" s="337" t="s">
        <v>346</v>
      </c>
      <c r="C1515" s="311"/>
      <c r="D1515" s="312"/>
      <c r="E1515" s="313"/>
      <c r="F1515" s="314"/>
      <c r="G1515" s="314"/>
      <c r="H1515" s="329"/>
      <c r="I1515" s="329"/>
      <c r="J1515" s="315"/>
    </row>
    <row r="1516" spans="1:10" x14ac:dyDescent="0.25">
      <c r="A1516" s="303"/>
      <c r="B1516" s="333" t="s">
        <v>346</v>
      </c>
      <c r="C1516" s="317"/>
      <c r="D1516" s="318"/>
      <c r="E1516" s="319"/>
      <c r="F1516" s="320"/>
      <c r="G1516" s="320"/>
      <c r="H1516" s="332"/>
      <c r="I1516" s="332"/>
      <c r="J1516" s="321"/>
    </row>
    <row r="1517" spans="1:10" x14ac:dyDescent="0.25">
      <c r="A1517" s="303"/>
      <c r="B1517" s="333" t="s">
        <v>346</v>
      </c>
      <c r="C1517" s="317"/>
      <c r="D1517" s="318"/>
      <c r="E1517" s="319"/>
      <c r="F1517" s="320"/>
      <c r="G1517" s="320"/>
      <c r="H1517" s="332"/>
      <c r="I1517" s="332"/>
      <c r="J1517" s="321"/>
    </row>
    <row r="1518" spans="1:10" x14ac:dyDescent="0.25">
      <c r="A1518" s="303"/>
      <c r="B1518" s="333" t="s">
        <v>346</v>
      </c>
      <c r="C1518" s="317"/>
      <c r="D1518" s="318"/>
      <c r="E1518" s="319"/>
      <c r="F1518" s="320"/>
      <c r="G1518" s="320"/>
      <c r="H1518" s="332"/>
      <c r="I1518" s="332"/>
      <c r="J1518" s="321"/>
    </row>
    <row r="1519" spans="1:10" x14ac:dyDescent="0.25">
      <c r="A1519" s="303"/>
      <c r="B1519" s="333" t="s">
        <v>346</v>
      </c>
      <c r="C1519" s="317"/>
      <c r="D1519" s="318"/>
      <c r="E1519" s="319"/>
      <c r="F1519" s="320"/>
      <c r="G1519" s="320"/>
      <c r="H1519" s="332"/>
      <c r="I1519" s="332"/>
      <c r="J1519" s="321"/>
    </row>
    <row r="1520" spans="1:10" x14ac:dyDescent="0.25">
      <c r="A1520" s="303"/>
      <c r="B1520" s="310"/>
      <c r="C1520" s="334"/>
      <c r="D1520" s="312"/>
      <c r="E1520" s="313"/>
      <c r="F1520" s="313"/>
      <c r="G1520" s="313"/>
      <c r="H1520" s="343"/>
      <c r="I1520" s="338" t="s">
        <v>507</v>
      </c>
      <c r="J1520" s="315">
        <v>0</v>
      </c>
    </row>
    <row r="1521" spans="1:10" x14ac:dyDescent="0.25">
      <c r="A1521" s="303"/>
      <c r="B1521" s="310" t="s">
        <v>464</v>
      </c>
      <c r="C1521" s="311" t="s">
        <v>508</v>
      </c>
      <c r="D1521" s="345" t="s">
        <v>509</v>
      </c>
      <c r="E1521" s="324" t="s">
        <v>873</v>
      </c>
      <c r="F1521" s="324" t="s">
        <v>874</v>
      </c>
      <c r="G1521" s="324" t="s">
        <v>875</v>
      </c>
      <c r="H1521" s="336" t="s">
        <v>468</v>
      </c>
      <c r="I1521" s="324" t="s">
        <v>491</v>
      </c>
      <c r="J1521" s="322" t="s">
        <v>492</v>
      </c>
    </row>
    <row r="1522" spans="1:10" x14ac:dyDescent="0.25">
      <c r="A1522" s="303"/>
      <c r="B1522" s="337" t="s">
        <v>346</v>
      </c>
      <c r="C1522" s="311"/>
      <c r="D1522" s="345"/>
      <c r="E1522" s="314"/>
      <c r="F1522" s="314"/>
      <c r="G1522" s="314"/>
      <c r="H1522" s="329"/>
      <c r="I1522" s="314"/>
      <c r="J1522" s="315"/>
    </row>
    <row r="1523" spans="1:10" x14ac:dyDescent="0.25">
      <c r="A1523" s="303"/>
      <c r="B1523" s="333" t="s">
        <v>346</v>
      </c>
      <c r="C1523" s="317"/>
      <c r="D1523" s="346"/>
      <c r="E1523" s="320"/>
      <c r="F1523" s="320"/>
      <c r="G1523" s="320"/>
      <c r="H1523" s="332"/>
      <c r="I1523" s="320"/>
      <c r="J1523" s="321"/>
    </row>
    <row r="1524" spans="1:10" x14ac:dyDescent="0.25">
      <c r="A1524" s="303"/>
      <c r="B1524" s="333" t="s">
        <v>346</v>
      </c>
      <c r="C1524" s="317"/>
      <c r="D1524" s="346"/>
      <c r="E1524" s="320"/>
      <c r="F1524" s="320"/>
      <c r="G1524" s="320"/>
      <c r="H1524" s="332"/>
      <c r="I1524" s="320"/>
      <c r="J1524" s="321"/>
    </row>
    <row r="1525" spans="1:10" x14ac:dyDescent="0.25">
      <c r="A1525" s="303"/>
      <c r="B1525" s="333" t="s">
        <v>346</v>
      </c>
      <c r="C1525" s="317"/>
      <c r="D1525" s="346"/>
      <c r="E1525" s="320"/>
      <c r="F1525" s="320"/>
      <c r="G1525" s="320"/>
      <c r="H1525" s="332"/>
      <c r="I1525" s="320"/>
      <c r="J1525" s="321"/>
    </row>
    <row r="1526" spans="1:10" x14ac:dyDescent="0.25">
      <c r="A1526" s="303"/>
      <c r="B1526" s="333" t="s">
        <v>346</v>
      </c>
      <c r="C1526" s="317"/>
      <c r="D1526" s="346"/>
      <c r="E1526" s="320"/>
      <c r="F1526" s="320"/>
      <c r="G1526" s="320"/>
      <c r="H1526" s="332"/>
      <c r="I1526" s="320"/>
      <c r="J1526" s="321"/>
    </row>
    <row r="1527" spans="1:10" x14ac:dyDescent="0.25">
      <c r="A1527" s="303"/>
      <c r="B1527" s="333" t="s">
        <v>346</v>
      </c>
      <c r="C1527" s="317"/>
      <c r="D1527" s="346"/>
      <c r="E1527" s="320"/>
      <c r="F1527" s="320"/>
      <c r="G1527" s="320"/>
      <c r="H1527" s="332"/>
      <c r="I1527" s="320"/>
      <c r="J1527" s="321"/>
    </row>
    <row r="1528" spans="1:10" x14ac:dyDescent="0.25">
      <c r="A1528" s="303"/>
      <c r="B1528" s="333" t="s">
        <v>346</v>
      </c>
      <c r="C1528" s="317"/>
      <c r="D1528" s="346"/>
      <c r="E1528" s="320"/>
      <c r="F1528" s="320"/>
      <c r="G1528" s="320"/>
      <c r="H1528" s="332"/>
      <c r="I1528" s="320"/>
      <c r="J1528" s="321"/>
    </row>
    <row r="1529" spans="1:10" x14ac:dyDescent="0.25">
      <c r="A1529" s="303"/>
      <c r="B1529" s="310"/>
      <c r="C1529" s="334"/>
      <c r="D1529" s="312"/>
      <c r="E1529" s="313"/>
      <c r="F1529" s="313"/>
      <c r="G1529" s="313"/>
      <c r="H1529" s="313"/>
      <c r="I1529" s="338" t="s">
        <v>513</v>
      </c>
      <c r="J1529" s="315">
        <v>0</v>
      </c>
    </row>
    <row r="1530" spans="1:10" x14ac:dyDescent="0.25">
      <c r="A1530" s="303"/>
      <c r="B1530" s="310" t="s">
        <v>514</v>
      </c>
      <c r="C1530" s="334"/>
      <c r="D1530" s="312"/>
      <c r="E1530" s="313"/>
      <c r="F1530" s="313"/>
      <c r="G1530" s="313"/>
      <c r="H1530" s="313"/>
      <c r="I1530" s="313"/>
      <c r="J1530" s="315">
        <v>431.84130000000005</v>
      </c>
    </row>
    <row r="1531" spans="1:10" x14ac:dyDescent="0.25">
      <c r="A1531" s="303"/>
      <c r="B1531" s="310" t="s">
        <v>515</v>
      </c>
      <c r="C1531" s="334"/>
      <c r="D1531" s="312">
        <v>0</v>
      </c>
      <c r="E1531" s="313"/>
      <c r="F1531" s="313"/>
      <c r="G1531" s="313"/>
      <c r="H1531" s="313"/>
      <c r="I1531" s="313"/>
      <c r="J1531" s="315">
        <v>0</v>
      </c>
    </row>
    <row r="1532" spans="1:10" ht="14.4" thickBot="1" x14ac:dyDescent="0.3">
      <c r="A1532" s="303"/>
      <c r="B1532" s="310" t="s">
        <v>516</v>
      </c>
      <c r="C1532" s="334"/>
      <c r="D1532" s="312"/>
      <c r="E1532" s="313"/>
      <c r="F1532" s="313"/>
      <c r="G1532" s="313"/>
      <c r="H1532" s="313"/>
      <c r="I1532" s="313"/>
      <c r="J1532" s="347">
        <v>431.84</v>
      </c>
    </row>
    <row r="1533" spans="1:10" x14ac:dyDescent="0.25">
      <c r="A1533" s="303"/>
      <c r="B1533" s="304"/>
      <c r="C1533" s="305"/>
      <c r="D1533" s="348"/>
      <c r="E1533" s="308"/>
      <c r="F1533" s="308"/>
      <c r="G1533" s="308"/>
      <c r="H1533" s="308"/>
      <c r="I1533" s="308"/>
      <c r="J1533" s="309"/>
    </row>
    <row r="1534" spans="1:10" x14ac:dyDescent="0.25">
      <c r="A1534" s="303"/>
      <c r="B1534" s="316"/>
      <c r="C1534" s="303"/>
      <c r="D1534" s="318"/>
      <c r="E1534" s="319"/>
      <c r="F1534" s="319"/>
      <c r="G1534" s="319"/>
      <c r="H1534" s="319"/>
      <c r="I1534" s="319"/>
      <c r="J1534" s="349"/>
    </row>
    <row r="1535" spans="1:10" x14ac:dyDescent="0.25">
      <c r="A1535" s="303"/>
      <c r="B1535" s="316"/>
      <c r="C1535" s="303"/>
      <c r="D1535" s="318"/>
      <c r="E1535" s="319"/>
      <c r="F1535" s="319"/>
      <c r="G1535" s="319"/>
      <c r="H1535" s="319"/>
      <c r="I1535" s="319"/>
      <c r="J1535" s="349"/>
    </row>
    <row r="1536" spans="1:10" ht="14.4" thickBot="1" x14ac:dyDescent="0.3">
      <c r="A1536" s="303"/>
      <c r="B1536" s="350"/>
      <c r="C1536" s="303"/>
      <c r="D1536" s="318"/>
      <c r="E1536" s="319"/>
      <c r="F1536" s="319"/>
      <c r="G1536" s="319"/>
      <c r="H1536" s="319"/>
      <c r="I1536" s="319"/>
      <c r="J1536" s="351"/>
    </row>
    <row r="1537" spans="1:10" x14ac:dyDescent="0.25">
      <c r="A1537" s="303"/>
      <c r="B1537" s="305"/>
      <c r="C1537" s="305"/>
      <c r="D1537" s="348"/>
      <c r="E1537" s="308"/>
      <c r="F1537" s="308"/>
      <c r="G1537" s="308"/>
      <c r="H1537" s="308"/>
      <c r="I1537" s="308"/>
      <c r="J1537" s="352"/>
    </row>
    <row r="1538" spans="1:10" ht="14.4" thickBot="1" x14ac:dyDescent="0.3">
      <c r="A1538" s="303"/>
      <c r="B1538" s="303"/>
      <c r="C1538" s="303"/>
      <c r="D1538" s="318"/>
      <c r="E1538" s="319"/>
      <c r="F1538" s="319"/>
      <c r="G1538" s="319"/>
      <c r="H1538" s="319"/>
      <c r="I1538" s="319"/>
      <c r="J1538" s="353"/>
    </row>
    <row r="1539" spans="1:10" x14ac:dyDescent="0.25">
      <c r="A1539" s="303"/>
      <c r="B1539" s="304"/>
      <c r="C1539" s="305"/>
      <c r="D1539" s="306" t="s">
        <v>463</v>
      </c>
      <c r="E1539" s="307"/>
      <c r="F1539" s="307"/>
      <c r="G1539" s="308"/>
      <c r="H1539" s="308"/>
      <c r="I1539" s="308"/>
      <c r="J1539" s="309"/>
    </row>
    <row r="1540" spans="1:10" x14ac:dyDescent="0.25">
      <c r="A1540" s="303"/>
      <c r="B1540" s="310" t="s">
        <v>464</v>
      </c>
      <c r="C1540" s="311" t="s">
        <v>134</v>
      </c>
      <c r="D1540" s="312"/>
      <c r="E1540" s="313"/>
      <c r="F1540" s="313"/>
      <c r="G1540" s="313"/>
      <c r="H1540" s="314"/>
      <c r="I1540" s="313"/>
      <c r="J1540" s="315" t="s">
        <v>465</v>
      </c>
    </row>
    <row r="1541" spans="1:10" x14ac:dyDescent="0.25">
      <c r="A1541" s="303"/>
      <c r="B1541" s="316">
        <v>3713823</v>
      </c>
      <c r="C1541" s="317" t="s">
        <v>390</v>
      </c>
      <c r="D1541" s="318"/>
      <c r="E1541" s="319"/>
      <c r="F1541" s="319"/>
      <c r="G1541" s="319"/>
      <c r="H1541" s="320"/>
      <c r="I1541" s="319"/>
      <c r="J1541" s="321" t="s">
        <v>372</v>
      </c>
    </row>
    <row r="1542" spans="1:10" x14ac:dyDescent="0.25">
      <c r="A1542" s="303"/>
      <c r="B1542" s="310"/>
      <c r="C1542" s="311"/>
      <c r="D1542" s="312"/>
      <c r="E1542" s="314"/>
      <c r="F1542" s="314" t="s">
        <v>466</v>
      </c>
      <c r="G1542" s="314"/>
      <c r="H1542" s="314" t="s">
        <v>467</v>
      </c>
      <c r="I1542" s="314"/>
      <c r="J1542" s="322" t="s">
        <v>468</v>
      </c>
    </row>
    <row r="1543" spans="1:10" x14ac:dyDescent="0.25">
      <c r="A1543" s="303"/>
      <c r="B1543" s="316" t="s">
        <v>464</v>
      </c>
      <c r="C1543" s="317" t="s">
        <v>469</v>
      </c>
      <c r="D1543" s="318"/>
      <c r="E1543" s="323" t="s">
        <v>355</v>
      </c>
      <c r="F1543" s="324" t="s">
        <v>470</v>
      </c>
      <c r="G1543" s="324" t="s">
        <v>471</v>
      </c>
      <c r="H1543" s="324" t="s">
        <v>472</v>
      </c>
      <c r="I1543" s="325" t="s">
        <v>473</v>
      </c>
      <c r="J1543" s="326" t="s">
        <v>474</v>
      </c>
    </row>
    <row r="1544" spans="1:10" x14ac:dyDescent="0.25">
      <c r="A1544" s="303"/>
      <c r="B1544" s="327" t="s">
        <v>718</v>
      </c>
      <c r="C1544" s="311" t="s">
        <v>948</v>
      </c>
      <c r="D1544" s="312"/>
      <c r="E1544" s="328">
        <v>1</v>
      </c>
      <c r="F1544" s="328">
        <v>0.47</v>
      </c>
      <c r="G1544" s="328">
        <v>0.53</v>
      </c>
      <c r="H1544" s="329">
        <v>179.512</v>
      </c>
      <c r="I1544" s="329">
        <v>83.111699999999999</v>
      </c>
      <c r="J1544" s="315">
        <v>128.41980000000001</v>
      </c>
    </row>
    <row r="1545" spans="1:10" x14ac:dyDescent="0.25">
      <c r="A1545" s="303"/>
      <c r="B1545" s="330" t="s">
        <v>673</v>
      </c>
      <c r="C1545" s="317" t="s">
        <v>674</v>
      </c>
      <c r="D1545" s="318"/>
      <c r="E1545" s="331">
        <v>1</v>
      </c>
      <c r="F1545" s="331">
        <v>1</v>
      </c>
      <c r="G1545" s="331">
        <v>0</v>
      </c>
      <c r="H1545" s="332">
        <v>13.1327</v>
      </c>
      <c r="I1545" s="332">
        <v>2.9087000000000001</v>
      </c>
      <c r="J1545" s="321">
        <v>13.1327</v>
      </c>
    </row>
    <row r="1546" spans="1:10" x14ac:dyDescent="0.25">
      <c r="A1546" s="303"/>
      <c r="B1546" s="330" t="s">
        <v>719</v>
      </c>
      <c r="C1546" s="317" t="s">
        <v>720</v>
      </c>
      <c r="D1546" s="318"/>
      <c r="E1546" s="331">
        <v>1</v>
      </c>
      <c r="F1546" s="331">
        <v>1</v>
      </c>
      <c r="G1546" s="331">
        <v>0</v>
      </c>
      <c r="H1546" s="332">
        <v>38.948500000000003</v>
      </c>
      <c r="I1546" s="332">
        <v>33.1601</v>
      </c>
      <c r="J1546" s="321">
        <v>38.948500000000003</v>
      </c>
    </row>
    <row r="1547" spans="1:10" x14ac:dyDescent="0.25">
      <c r="A1547" s="303"/>
      <c r="B1547" s="333" t="s">
        <v>346</v>
      </c>
      <c r="C1547" s="317"/>
      <c r="D1547" s="318"/>
      <c r="E1547" s="331"/>
      <c r="F1547" s="331"/>
      <c r="G1547" s="331"/>
      <c r="H1547" s="332"/>
      <c r="I1547" s="332"/>
      <c r="J1547" s="321"/>
    </row>
    <row r="1548" spans="1:10" x14ac:dyDescent="0.25">
      <c r="A1548" s="303"/>
      <c r="B1548" s="333" t="s">
        <v>346</v>
      </c>
      <c r="C1548" s="317"/>
      <c r="D1548" s="318"/>
      <c r="E1548" s="331"/>
      <c r="F1548" s="331"/>
      <c r="G1548" s="331"/>
      <c r="H1548" s="332"/>
      <c r="I1548" s="332"/>
      <c r="J1548" s="321"/>
    </row>
    <row r="1549" spans="1:10" x14ac:dyDescent="0.25">
      <c r="A1549" s="303"/>
      <c r="B1549" s="333" t="s">
        <v>346</v>
      </c>
      <c r="C1549" s="317"/>
      <c r="D1549" s="318"/>
      <c r="E1549" s="331"/>
      <c r="F1549" s="331"/>
      <c r="G1549" s="331"/>
      <c r="H1549" s="332"/>
      <c r="I1549" s="332"/>
      <c r="J1549" s="321"/>
    </row>
    <row r="1550" spans="1:10" x14ac:dyDescent="0.25">
      <c r="A1550" s="303"/>
      <c r="B1550" s="333" t="s">
        <v>346</v>
      </c>
      <c r="C1550" s="317"/>
      <c r="D1550" s="318"/>
      <c r="E1550" s="331"/>
      <c r="F1550" s="331"/>
      <c r="G1550" s="331"/>
      <c r="H1550" s="332"/>
      <c r="I1550" s="332"/>
      <c r="J1550" s="321"/>
    </row>
    <row r="1551" spans="1:10" x14ac:dyDescent="0.25">
      <c r="A1551" s="303"/>
      <c r="B1551" s="310"/>
      <c r="C1551" s="334"/>
      <c r="D1551" s="312"/>
      <c r="E1551" s="313"/>
      <c r="F1551" s="313"/>
      <c r="G1551" s="313"/>
      <c r="H1551" s="313"/>
      <c r="I1551" s="335" t="s">
        <v>479</v>
      </c>
      <c r="J1551" s="315">
        <v>180.501</v>
      </c>
    </row>
    <row r="1552" spans="1:10" x14ac:dyDescent="0.25">
      <c r="A1552" s="303"/>
      <c r="B1552" s="310" t="s">
        <v>464</v>
      </c>
      <c r="C1552" s="311" t="s">
        <v>480</v>
      </c>
      <c r="D1552" s="312"/>
      <c r="E1552" s="313"/>
      <c r="F1552" s="313"/>
      <c r="G1552" s="313"/>
      <c r="H1552" s="324" t="s">
        <v>355</v>
      </c>
      <c r="I1552" s="336" t="s">
        <v>481</v>
      </c>
      <c r="J1552" s="322" t="s">
        <v>331</v>
      </c>
    </row>
    <row r="1553" spans="1:10" x14ac:dyDescent="0.25">
      <c r="A1553" s="303"/>
      <c r="B1553" s="337" t="s">
        <v>482</v>
      </c>
      <c r="C1553" s="311" t="s">
        <v>483</v>
      </c>
      <c r="D1553" s="312"/>
      <c r="E1553" s="313"/>
      <c r="F1553" s="313"/>
      <c r="G1553" s="313"/>
      <c r="H1553" s="314">
        <v>2</v>
      </c>
      <c r="I1553" s="329">
        <v>17.768000000000001</v>
      </c>
      <c r="J1553" s="315">
        <v>35.536000000000001</v>
      </c>
    </row>
    <row r="1554" spans="1:10" x14ac:dyDescent="0.25">
      <c r="A1554" s="303"/>
      <c r="B1554" s="333" t="s">
        <v>346</v>
      </c>
      <c r="C1554" s="317"/>
      <c r="D1554" s="318"/>
      <c r="E1554" s="319"/>
      <c r="F1554" s="319"/>
      <c r="G1554" s="319"/>
      <c r="H1554" s="320"/>
      <c r="I1554" s="332"/>
      <c r="J1554" s="321"/>
    </row>
    <row r="1555" spans="1:10" x14ac:dyDescent="0.25">
      <c r="A1555" s="303"/>
      <c r="B1555" s="333" t="s">
        <v>346</v>
      </c>
      <c r="C1555" s="317"/>
      <c r="D1555" s="318"/>
      <c r="E1555" s="319"/>
      <c r="F1555" s="319"/>
      <c r="G1555" s="319"/>
      <c r="H1555" s="320"/>
      <c r="I1555" s="332"/>
      <c r="J1555" s="321"/>
    </row>
    <row r="1556" spans="1:10" x14ac:dyDescent="0.25">
      <c r="A1556" s="303"/>
      <c r="B1556" s="333" t="s">
        <v>346</v>
      </c>
      <c r="C1556" s="317"/>
      <c r="D1556" s="318"/>
      <c r="E1556" s="319"/>
      <c r="F1556" s="319"/>
      <c r="G1556" s="319"/>
      <c r="H1556" s="320"/>
      <c r="I1556" s="332"/>
      <c r="J1556" s="321"/>
    </row>
    <row r="1557" spans="1:10" x14ac:dyDescent="0.25">
      <c r="A1557" s="303"/>
      <c r="B1557" s="333" t="s">
        <v>346</v>
      </c>
      <c r="C1557" s="317"/>
      <c r="D1557" s="318"/>
      <c r="E1557" s="319"/>
      <c r="F1557" s="319"/>
      <c r="G1557" s="319"/>
      <c r="H1557" s="320"/>
      <c r="I1557" s="332"/>
      <c r="J1557" s="321"/>
    </row>
    <row r="1558" spans="1:10" x14ac:dyDescent="0.25">
      <c r="A1558" s="303"/>
      <c r="B1558" s="333" t="s">
        <v>346</v>
      </c>
      <c r="C1558" s="317"/>
      <c r="D1558" s="318"/>
      <c r="E1558" s="319"/>
      <c r="F1558" s="319"/>
      <c r="G1558" s="319"/>
      <c r="H1558" s="320"/>
      <c r="I1558" s="332"/>
      <c r="J1558" s="321"/>
    </row>
    <row r="1559" spans="1:10" x14ac:dyDescent="0.25">
      <c r="A1559" s="303"/>
      <c r="B1559" s="333" t="s">
        <v>346</v>
      </c>
      <c r="C1559" s="317"/>
      <c r="D1559" s="318"/>
      <c r="E1559" s="319"/>
      <c r="F1559" s="319"/>
      <c r="G1559" s="319"/>
      <c r="H1559" s="320"/>
      <c r="I1559" s="332"/>
      <c r="J1559" s="321"/>
    </row>
    <row r="1560" spans="1:10" x14ac:dyDescent="0.25">
      <c r="A1560" s="303"/>
      <c r="B1560" s="310"/>
      <c r="C1560" s="334"/>
      <c r="D1560" s="312"/>
      <c r="E1560" s="313"/>
      <c r="F1560" s="313"/>
      <c r="G1560" s="313"/>
      <c r="H1560" s="313"/>
      <c r="I1560" s="338" t="s">
        <v>484</v>
      </c>
      <c r="J1560" s="315">
        <v>35.536000000000001</v>
      </c>
    </row>
    <row r="1561" spans="1:10" x14ac:dyDescent="0.25">
      <c r="A1561" s="303"/>
      <c r="B1561" s="339"/>
      <c r="C1561" s="334"/>
      <c r="D1561" s="312"/>
      <c r="E1561" s="313"/>
      <c r="F1561" s="313"/>
      <c r="G1561" s="313"/>
      <c r="H1561" s="313"/>
      <c r="I1561" s="338" t="s">
        <v>485</v>
      </c>
      <c r="J1561" s="340">
        <v>216.03700000000001</v>
      </c>
    </row>
    <row r="1562" spans="1:10" x14ac:dyDescent="0.25">
      <c r="A1562" s="303"/>
      <c r="B1562" s="339"/>
      <c r="C1562" s="341" t="s">
        <v>486</v>
      </c>
      <c r="D1562" s="312">
        <v>32.51</v>
      </c>
      <c r="E1562" s="313"/>
      <c r="F1562" s="313"/>
      <c r="G1562" s="313"/>
      <c r="H1562" s="313"/>
      <c r="I1562" s="338" t="s">
        <v>487</v>
      </c>
      <c r="J1562" s="340">
        <v>6.6452</v>
      </c>
    </row>
    <row r="1563" spans="1:10" x14ac:dyDescent="0.25">
      <c r="A1563" s="303"/>
      <c r="B1563" s="310"/>
      <c r="C1563" s="334"/>
      <c r="D1563" s="312"/>
      <c r="E1563" s="313"/>
      <c r="F1563" s="313"/>
      <c r="G1563" s="313"/>
      <c r="H1563" s="338" t="s">
        <v>488</v>
      </c>
      <c r="I1563" s="342">
        <v>0</v>
      </c>
      <c r="J1563" s="315">
        <v>0</v>
      </c>
    </row>
    <row r="1564" spans="1:10" x14ac:dyDescent="0.25">
      <c r="A1564" s="303"/>
      <c r="B1564" s="310"/>
      <c r="C1564" s="334"/>
      <c r="D1564" s="312"/>
      <c r="E1564" s="313"/>
      <c r="F1564" s="313"/>
      <c r="G1564" s="313"/>
      <c r="H1564" s="335" t="s">
        <v>489</v>
      </c>
      <c r="I1564" s="343">
        <v>0</v>
      </c>
      <c r="J1564" s="315">
        <v>0</v>
      </c>
    </row>
    <row r="1565" spans="1:10" x14ac:dyDescent="0.25">
      <c r="A1565" s="303"/>
      <c r="B1565" s="310" t="s">
        <v>464</v>
      </c>
      <c r="C1565" s="311" t="s">
        <v>490</v>
      </c>
      <c r="D1565" s="312"/>
      <c r="E1565" s="313"/>
      <c r="F1565" s="313"/>
      <c r="G1565" s="314" t="s">
        <v>465</v>
      </c>
      <c r="H1565" s="336" t="s">
        <v>468</v>
      </c>
      <c r="I1565" s="336" t="s">
        <v>491</v>
      </c>
      <c r="J1565" s="322" t="s">
        <v>492</v>
      </c>
    </row>
    <row r="1566" spans="1:10" x14ac:dyDescent="0.25">
      <c r="A1566" s="303"/>
      <c r="B1566" s="337" t="s">
        <v>346</v>
      </c>
      <c r="C1566" s="311"/>
      <c r="D1566" s="312"/>
      <c r="E1566" s="313"/>
      <c r="F1566" s="313"/>
      <c r="G1566" s="314"/>
      <c r="H1566" s="329"/>
      <c r="I1566" s="329"/>
      <c r="J1566" s="315"/>
    </row>
    <row r="1567" spans="1:10" x14ac:dyDescent="0.25">
      <c r="A1567" s="303"/>
      <c r="B1567" s="333" t="s">
        <v>346</v>
      </c>
      <c r="C1567" s="317"/>
      <c r="D1567" s="318"/>
      <c r="E1567" s="319"/>
      <c r="F1567" s="319"/>
      <c r="G1567" s="320"/>
      <c r="H1567" s="332"/>
      <c r="I1567" s="332"/>
      <c r="J1567" s="321"/>
    </row>
    <row r="1568" spans="1:10" x14ac:dyDescent="0.25">
      <c r="A1568" s="303"/>
      <c r="B1568" s="333" t="s">
        <v>346</v>
      </c>
      <c r="C1568" s="317"/>
      <c r="D1568" s="318"/>
      <c r="E1568" s="319"/>
      <c r="F1568" s="319"/>
      <c r="G1568" s="320"/>
      <c r="H1568" s="332"/>
      <c r="I1568" s="332"/>
      <c r="J1568" s="321"/>
    </row>
    <row r="1569" spans="1:10" x14ac:dyDescent="0.25">
      <c r="A1569" s="303"/>
      <c r="B1569" s="333" t="s">
        <v>346</v>
      </c>
      <c r="C1569" s="317"/>
      <c r="D1569" s="318"/>
      <c r="E1569" s="319"/>
      <c r="F1569" s="319"/>
      <c r="G1569" s="320"/>
      <c r="H1569" s="332"/>
      <c r="I1569" s="332"/>
      <c r="J1569" s="321"/>
    </row>
    <row r="1570" spans="1:10" x14ac:dyDescent="0.25">
      <c r="A1570" s="303"/>
      <c r="B1570" s="333" t="s">
        <v>346</v>
      </c>
      <c r="C1570" s="317"/>
      <c r="D1570" s="318"/>
      <c r="E1570" s="319"/>
      <c r="F1570" s="319"/>
      <c r="G1570" s="320"/>
      <c r="H1570" s="332"/>
      <c r="I1570" s="332"/>
      <c r="J1570" s="321"/>
    </row>
    <row r="1571" spans="1:10" x14ac:dyDescent="0.25">
      <c r="A1571" s="303"/>
      <c r="B1571" s="333" t="s">
        <v>346</v>
      </c>
      <c r="C1571" s="317"/>
      <c r="D1571" s="318"/>
      <c r="E1571" s="319"/>
      <c r="F1571" s="319"/>
      <c r="G1571" s="320"/>
      <c r="H1571" s="332"/>
      <c r="I1571" s="332"/>
      <c r="J1571" s="321"/>
    </row>
    <row r="1572" spans="1:10" x14ac:dyDescent="0.25">
      <c r="A1572" s="303"/>
      <c r="B1572" s="333" t="s">
        <v>346</v>
      </c>
      <c r="C1572" s="317"/>
      <c r="D1572" s="318"/>
      <c r="E1572" s="319"/>
      <c r="F1572" s="319"/>
      <c r="G1572" s="320"/>
      <c r="H1572" s="332"/>
      <c r="I1572" s="332"/>
      <c r="J1572" s="321"/>
    </row>
    <row r="1573" spans="1:10" x14ac:dyDescent="0.25">
      <c r="A1573" s="303"/>
      <c r="B1573" s="310"/>
      <c r="C1573" s="334"/>
      <c r="D1573" s="312"/>
      <c r="E1573" s="313"/>
      <c r="F1573" s="313"/>
      <c r="G1573" s="313"/>
      <c r="H1573" s="343"/>
      <c r="I1573" s="335" t="s">
        <v>498</v>
      </c>
      <c r="J1573" s="315">
        <v>0</v>
      </c>
    </row>
    <row r="1574" spans="1:10" x14ac:dyDescent="0.25">
      <c r="A1574" s="303"/>
      <c r="B1574" s="310" t="s">
        <v>464</v>
      </c>
      <c r="C1574" s="311" t="s">
        <v>499</v>
      </c>
      <c r="D1574" s="312"/>
      <c r="E1574" s="313"/>
      <c r="F1574" s="313"/>
      <c r="G1574" s="314" t="s">
        <v>465</v>
      </c>
      <c r="H1574" s="336" t="s">
        <v>468</v>
      </c>
      <c r="I1574" s="336" t="s">
        <v>491</v>
      </c>
      <c r="J1574" s="322" t="s">
        <v>492</v>
      </c>
    </row>
    <row r="1575" spans="1:10" x14ac:dyDescent="0.25">
      <c r="A1575" s="303"/>
      <c r="B1575" s="337">
        <v>407819</v>
      </c>
      <c r="C1575" s="311" t="s">
        <v>721</v>
      </c>
      <c r="D1575" s="312"/>
      <c r="E1575" s="313"/>
      <c r="F1575" s="313"/>
      <c r="G1575" s="314" t="s">
        <v>560</v>
      </c>
      <c r="H1575" s="329">
        <v>12.02</v>
      </c>
      <c r="I1575" s="329">
        <v>13.26793</v>
      </c>
      <c r="J1575" s="315">
        <v>159.48050000000001</v>
      </c>
    </row>
    <row r="1576" spans="1:10" x14ac:dyDescent="0.25">
      <c r="A1576" s="303"/>
      <c r="B1576" s="333">
        <v>1116127</v>
      </c>
      <c r="C1576" s="317" t="s">
        <v>722</v>
      </c>
      <c r="D1576" s="318"/>
      <c r="E1576" s="319"/>
      <c r="F1576" s="319"/>
      <c r="G1576" s="320" t="s">
        <v>365</v>
      </c>
      <c r="H1576" s="332">
        <v>485.12</v>
      </c>
      <c r="I1576" s="332">
        <v>0.18645</v>
      </c>
      <c r="J1576" s="321">
        <v>90.450599999999994</v>
      </c>
    </row>
    <row r="1577" spans="1:10" x14ac:dyDescent="0.25">
      <c r="A1577" s="303"/>
      <c r="B1577" s="333">
        <v>3107967</v>
      </c>
      <c r="C1577" s="317" t="s">
        <v>723</v>
      </c>
      <c r="D1577" s="318"/>
      <c r="E1577" s="319"/>
      <c r="F1577" s="319"/>
      <c r="G1577" s="320" t="s">
        <v>368</v>
      </c>
      <c r="H1577" s="332">
        <v>9.06</v>
      </c>
      <c r="I1577" s="332">
        <v>1.679</v>
      </c>
      <c r="J1577" s="321">
        <v>15.2117</v>
      </c>
    </row>
    <row r="1578" spans="1:10" x14ac:dyDescent="0.25">
      <c r="A1578" s="303"/>
      <c r="B1578" s="333"/>
      <c r="C1578" s="317"/>
      <c r="D1578" s="318"/>
      <c r="E1578" s="319"/>
      <c r="F1578" s="319"/>
      <c r="G1578" s="320"/>
      <c r="H1578" s="332"/>
      <c r="I1578" s="332"/>
      <c r="J1578" s="321"/>
    </row>
    <row r="1579" spans="1:10" x14ac:dyDescent="0.25">
      <c r="A1579" s="303"/>
      <c r="B1579" s="333"/>
      <c r="C1579" s="317"/>
      <c r="D1579" s="318"/>
      <c r="E1579" s="319"/>
      <c r="F1579" s="319"/>
      <c r="G1579" s="320"/>
      <c r="H1579" s="332"/>
      <c r="I1579" s="332"/>
      <c r="J1579" s="321"/>
    </row>
    <row r="1580" spans="1:10" x14ac:dyDescent="0.25">
      <c r="A1580" s="303"/>
      <c r="B1580" s="310"/>
      <c r="C1580" s="334"/>
      <c r="D1580" s="312"/>
      <c r="E1580" s="313"/>
      <c r="F1580" s="313"/>
      <c r="G1580" s="313"/>
      <c r="H1580" s="343"/>
      <c r="I1580" s="335" t="s">
        <v>501</v>
      </c>
      <c r="J1580" s="315">
        <v>265.14280000000002</v>
      </c>
    </row>
    <row r="1581" spans="1:10" x14ac:dyDescent="0.25">
      <c r="A1581" s="303"/>
      <c r="B1581" s="310" t="s">
        <v>464</v>
      </c>
      <c r="C1581" s="311" t="s">
        <v>502</v>
      </c>
      <c r="D1581" s="312"/>
      <c r="E1581" s="313"/>
      <c r="F1581" s="314" t="s">
        <v>464</v>
      </c>
      <c r="G1581" s="324" t="s">
        <v>503</v>
      </c>
      <c r="H1581" s="329" t="s">
        <v>465</v>
      </c>
      <c r="I1581" s="336" t="s">
        <v>468</v>
      </c>
      <c r="J1581" s="322" t="s">
        <v>492</v>
      </c>
    </row>
    <row r="1582" spans="1:10" x14ac:dyDescent="0.25">
      <c r="A1582" s="303"/>
      <c r="B1582" s="337" t="s">
        <v>346</v>
      </c>
      <c r="C1582" s="311"/>
      <c r="D1582" s="312"/>
      <c r="E1582" s="313"/>
      <c r="F1582" s="314"/>
      <c r="G1582" s="314"/>
      <c r="H1582" s="329"/>
      <c r="I1582" s="329"/>
      <c r="J1582" s="315"/>
    </row>
    <row r="1583" spans="1:10" x14ac:dyDescent="0.25">
      <c r="A1583" s="303"/>
      <c r="B1583" s="333" t="s">
        <v>346</v>
      </c>
      <c r="C1583" s="317"/>
      <c r="D1583" s="318"/>
      <c r="E1583" s="319"/>
      <c r="F1583" s="320"/>
      <c r="G1583" s="320"/>
      <c r="H1583" s="332"/>
      <c r="I1583" s="332"/>
      <c r="J1583" s="321"/>
    </row>
    <row r="1584" spans="1:10" x14ac:dyDescent="0.25">
      <c r="A1584" s="303"/>
      <c r="B1584" s="333" t="s">
        <v>346</v>
      </c>
      <c r="C1584" s="317"/>
      <c r="D1584" s="318"/>
      <c r="E1584" s="319"/>
      <c r="F1584" s="320"/>
      <c r="G1584" s="320"/>
      <c r="H1584" s="332"/>
      <c r="I1584" s="332"/>
      <c r="J1584" s="321"/>
    </row>
    <row r="1585" spans="1:10" x14ac:dyDescent="0.25">
      <c r="A1585" s="303"/>
      <c r="B1585" s="333" t="s">
        <v>346</v>
      </c>
      <c r="C1585" s="317"/>
      <c r="D1585" s="318"/>
      <c r="E1585" s="319"/>
      <c r="F1585" s="320"/>
      <c r="G1585" s="320"/>
      <c r="H1585" s="332"/>
      <c r="I1585" s="332"/>
      <c r="J1585" s="321"/>
    </row>
    <row r="1586" spans="1:10" x14ac:dyDescent="0.25">
      <c r="A1586" s="303"/>
      <c r="B1586" s="333" t="s">
        <v>346</v>
      </c>
      <c r="C1586" s="317"/>
      <c r="D1586" s="318"/>
      <c r="E1586" s="319"/>
      <c r="F1586" s="320"/>
      <c r="G1586" s="320"/>
      <c r="H1586" s="332"/>
      <c r="I1586" s="332"/>
      <c r="J1586" s="321"/>
    </row>
    <row r="1587" spans="1:10" x14ac:dyDescent="0.25">
      <c r="A1587" s="303"/>
      <c r="B1587" s="310"/>
      <c r="C1587" s="334"/>
      <c r="D1587" s="312"/>
      <c r="E1587" s="313"/>
      <c r="F1587" s="313"/>
      <c r="G1587" s="313"/>
      <c r="H1587" s="343"/>
      <c r="I1587" s="338" t="s">
        <v>507</v>
      </c>
      <c r="J1587" s="315">
        <v>0</v>
      </c>
    </row>
    <row r="1588" spans="1:10" x14ac:dyDescent="0.25">
      <c r="A1588" s="303"/>
      <c r="B1588" s="310" t="s">
        <v>464</v>
      </c>
      <c r="C1588" s="311" t="s">
        <v>508</v>
      </c>
      <c r="D1588" s="345" t="s">
        <v>509</v>
      </c>
      <c r="E1588" s="324" t="s">
        <v>873</v>
      </c>
      <c r="F1588" s="324" t="s">
        <v>874</v>
      </c>
      <c r="G1588" s="324" t="s">
        <v>875</v>
      </c>
      <c r="H1588" s="336" t="s">
        <v>468</v>
      </c>
      <c r="I1588" s="324" t="s">
        <v>491</v>
      </c>
      <c r="J1588" s="322" t="s">
        <v>492</v>
      </c>
    </row>
    <row r="1589" spans="1:10" x14ac:dyDescent="0.25">
      <c r="A1589" s="303"/>
      <c r="B1589" s="337" t="s">
        <v>346</v>
      </c>
      <c r="C1589" s="311"/>
      <c r="D1589" s="345"/>
      <c r="E1589" s="314"/>
      <c r="F1589" s="314"/>
      <c r="G1589" s="314"/>
      <c r="H1589" s="329"/>
      <c r="I1589" s="314"/>
      <c r="J1589" s="315"/>
    </row>
    <row r="1590" spans="1:10" x14ac:dyDescent="0.25">
      <c r="A1590" s="303"/>
      <c r="B1590" s="333" t="s">
        <v>346</v>
      </c>
      <c r="C1590" s="317"/>
      <c r="D1590" s="346"/>
      <c r="E1590" s="320"/>
      <c r="F1590" s="320"/>
      <c r="G1590" s="320"/>
      <c r="H1590" s="332"/>
      <c r="I1590" s="320"/>
      <c r="J1590" s="321"/>
    </row>
    <row r="1591" spans="1:10" x14ac:dyDescent="0.25">
      <c r="A1591" s="303"/>
      <c r="B1591" s="333" t="s">
        <v>346</v>
      </c>
      <c r="C1591" s="317"/>
      <c r="D1591" s="346"/>
      <c r="E1591" s="320"/>
      <c r="F1591" s="320"/>
      <c r="G1591" s="320"/>
      <c r="H1591" s="332"/>
      <c r="I1591" s="320"/>
      <c r="J1591" s="321"/>
    </row>
    <row r="1592" spans="1:10" x14ac:dyDescent="0.25">
      <c r="A1592" s="303"/>
      <c r="B1592" s="333" t="s">
        <v>346</v>
      </c>
      <c r="C1592" s="317"/>
      <c r="D1592" s="346"/>
      <c r="E1592" s="320"/>
      <c r="F1592" s="320"/>
      <c r="G1592" s="320"/>
      <c r="H1592" s="332"/>
      <c r="I1592" s="320"/>
      <c r="J1592" s="321"/>
    </row>
    <row r="1593" spans="1:10" x14ac:dyDescent="0.25">
      <c r="A1593" s="303"/>
      <c r="B1593" s="333" t="s">
        <v>346</v>
      </c>
      <c r="C1593" s="317"/>
      <c r="D1593" s="346"/>
      <c r="E1593" s="320"/>
      <c r="F1593" s="320"/>
      <c r="G1593" s="320"/>
      <c r="H1593" s="332"/>
      <c r="I1593" s="320"/>
      <c r="J1593" s="321"/>
    </row>
    <row r="1594" spans="1:10" x14ac:dyDescent="0.25">
      <c r="A1594" s="303"/>
      <c r="B1594" s="333" t="s">
        <v>346</v>
      </c>
      <c r="C1594" s="317"/>
      <c r="D1594" s="346"/>
      <c r="E1594" s="320"/>
      <c r="F1594" s="320"/>
      <c r="G1594" s="320"/>
      <c r="H1594" s="332"/>
      <c r="I1594" s="320"/>
      <c r="J1594" s="321"/>
    </row>
    <row r="1595" spans="1:10" x14ac:dyDescent="0.25">
      <c r="A1595" s="303"/>
      <c r="B1595" s="333" t="s">
        <v>346</v>
      </c>
      <c r="C1595" s="317"/>
      <c r="D1595" s="346"/>
      <c r="E1595" s="320"/>
      <c r="F1595" s="320"/>
      <c r="G1595" s="320"/>
      <c r="H1595" s="332"/>
      <c r="I1595" s="320"/>
      <c r="J1595" s="321"/>
    </row>
    <row r="1596" spans="1:10" x14ac:dyDescent="0.25">
      <c r="A1596" s="303"/>
      <c r="B1596" s="310"/>
      <c r="C1596" s="334"/>
      <c r="D1596" s="312"/>
      <c r="E1596" s="313"/>
      <c r="F1596" s="313"/>
      <c r="G1596" s="313"/>
      <c r="H1596" s="313"/>
      <c r="I1596" s="338" t="s">
        <v>513</v>
      </c>
      <c r="J1596" s="315">
        <v>0</v>
      </c>
    </row>
    <row r="1597" spans="1:10" x14ac:dyDescent="0.25">
      <c r="A1597" s="303"/>
      <c r="B1597" s="310" t="s">
        <v>514</v>
      </c>
      <c r="C1597" s="334"/>
      <c r="D1597" s="312"/>
      <c r="E1597" s="313"/>
      <c r="F1597" s="313"/>
      <c r="G1597" s="313"/>
      <c r="H1597" s="313"/>
      <c r="I1597" s="313"/>
      <c r="J1597" s="315">
        <v>271.78800000000001</v>
      </c>
    </row>
    <row r="1598" spans="1:10" x14ac:dyDescent="0.25">
      <c r="A1598" s="303"/>
      <c r="B1598" s="310" t="s">
        <v>515</v>
      </c>
      <c r="C1598" s="334"/>
      <c r="D1598" s="312">
        <v>0</v>
      </c>
      <c r="E1598" s="313"/>
      <c r="F1598" s="313"/>
      <c r="G1598" s="313"/>
      <c r="H1598" s="313"/>
      <c r="I1598" s="313"/>
      <c r="J1598" s="315">
        <v>0</v>
      </c>
    </row>
    <row r="1599" spans="1:10" ht="14.4" thickBot="1" x14ac:dyDescent="0.3">
      <c r="A1599" s="303"/>
      <c r="B1599" s="310" t="s">
        <v>516</v>
      </c>
      <c r="C1599" s="334"/>
      <c r="D1599" s="312"/>
      <c r="E1599" s="313"/>
      <c r="F1599" s="313"/>
      <c r="G1599" s="313"/>
      <c r="H1599" s="313"/>
      <c r="I1599" s="313"/>
      <c r="J1599" s="347">
        <v>271.79000000000002</v>
      </c>
    </row>
    <row r="1600" spans="1:10" x14ac:dyDescent="0.25">
      <c r="A1600" s="303"/>
      <c r="B1600" s="304"/>
      <c r="C1600" s="305"/>
      <c r="D1600" s="348"/>
      <c r="E1600" s="308"/>
      <c r="F1600" s="308"/>
      <c r="G1600" s="308"/>
      <c r="H1600" s="308"/>
      <c r="I1600" s="308"/>
      <c r="J1600" s="309"/>
    </row>
    <row r="1601" spans="1:10" x14ac:dyDescent="0.25">
      <c r="A1601" s="303"/>
      <c r="B1601" s="316"/>
      <c r="C1601" s="303"/>
      <c r="D1601" s="318"/>
      <c r="E1601" s="319"/>
      <c r="F1601" s="319"/>
      <c r="G1601" s="319"/>
      <c r="H1601" s="319"/>
      <c r="I1601" s="319"/>
      <c r="J1601" s="349"/>
    </row>
    <row r="1602" spans="1:10" x14ac:dyDescent="0.25">
      <c r="A1602" s="303"/>
      <c r="B1602" s="316"/>
      <c r="C1602" s="303"/>
      <c r="D1602" s="318"/>
      <c r="E1602" s="319"/>
      <c r="F1602" s="319"/>
      <c r="G1602" s="319"/>
      <c r="H1602" s="319"/>
      <c r="I1602" s="319"/>
      <c r="J1602" s="349"/>
    </row>
    <row r="1603" spans="1:10" ht="14.4" thickBot="1" x14ac:dyDescent="0.3">
      <c r="A1603" s="303"/>
      <c r="B1603" s="350"/>
      <c r="C1603" s="303"/>
      <c r="D1603" s="318"/>
      <c r="E1603" s="319"/>
      <c r="F1603" s="319"/>
      <c r="G1603" s="319"/>
      <c r="H1603" s="319"/>
      <c r="I1603" s="319"/>
      <c r="J1603" s="351"/>
    </row>
    <row r="1604" spans="1:10" x14ac:dyDescent="0.25">
      <c r="A1604" s="303"/>
      <c r="B1604" s="305"/>
      <c r="C1604" s="305"/>
      <c r="D1604" s="348"/>
      <c r="E1604" s="308"/>
      <c r="F1604" s="308"/>
      <c r="G1604" s="308"/>
      <c r="H1604" s="308"/>
      <c r="I1604" s="308"/>
      <c r="J1604" s="352"/>
    </row>
    <row r="1605" spans="1:10" ht="14.4" thickBot="1" x14ac:dyDescent="0.3">
      <c r="A1605" s="303"/>
      <c r="B1605" s="303"/>
      <c r="C1605" s="303"/>
      <c r="D1605" s="318"/>
      <c r="E1605" s="319"/>
      <c r="F1605" s="319"/>
      <c r="G1605" s="319"/>
      <c r="H1605" s="319"/>
      <c r="I1605" s="319"/>
      <c r="J1605" s="353"/>
    </row>
    <row r="1606" spans="1:10" x14ac:dyDescent="0.25">
      <c r="A1606" s="303"/>
      <c r="B1606" s="304"/>
      <c r="C1606" s="305"/>
      <c r="D1606" s="306" t="s">
        <v>463</v>
      </c>
      <c r="E1606" s="307"/>
      <c r="F1606" s="307"/>
      <c r="G1606" s="308"/>
      <c r="H1606" s="308"/>
      <c r="I1606" s="308"/>
      <c r="J1606" s="309"/>
    </row>
    <row r="1607" spans="1:10" x14ac:dyDescent="0.25">
      <c r="A1607" s="303"/>
      <c r="B1607" s="310" t="s">
        <v>464</v>
      </c>
      <c r="C1607" s="311" t="s">
        <v>134</v>
      </c>
      <c r="D1607" s="312"/>
      <c r="E1607" s="313"/>
      <c r="F1607" s="313"/>
      <c r="G1607" s="313"/>
      <c r="H1607" s="314"/>
      <c r="I1607" s="313"/>
      <c r="J1607" s="315" t="s">
        <v>465</v>
      </c>
    </row>
    <row r="1608" spans="1:10" x14ac:dyDescent="0.25">
      <c r="A1608" s="303"/>
      <c r="B1608" s="316">
        <v>407819</v>
      </c>
      <c r="C1608" s="317" t="s">
        <v>724</v>
      </c>
      <c r="D1608" s="318"/>
      <c r="E1608" s="319"/>
      <c r="F1608" s="319"/>
      <c r="G1608" s="319"/>
      <c r="H1608" s="320"/>
      <c r="I1608" s="319"/>
      <c r="J1608" s="321" t="s">
        <v>560</v>
      </c>
    </row>
    <row r="1609" spans="1:10" x14ac:dyDescent="0.25">
      <c r="A1609" s="303"/>
      <c r="B1609" s="310"/>
      <c r="C1609" s="311"/>
      <c r="D1609" s="312"/>
      <c r="E1609" s="314"/>
      <c r="F1609" s="314" t="s">
        <v>466</v>
      </c>
      <c r="G1609" s="314"/>
      <c r="H1609" s="314" t="s">
        <v>467</v>
      </c>
      <c r="I1609" s="314"/>
      <c r="J1609" s="322" t="s">
        <v>468</v>
      </c>
    </row>
    <row r="1610" spans="1:10" x14ac:dyDescent="0.25">
      <c r="A1610" s="303"/>
      <c r="B1610" s="316" t="s">
        <v>464</v>
      </c>
      <c r="C1610" s="317" t="s">
        <v>469</v>
      </c>
      <c r="D1610" s="318"/>
      <c r="E1610" s="323" t="s">
        <v>355</v>
      </c>
      <c r="F1610" s="324" t="s">
        <v>470</v>
      </c>
      <c r="G1610" s="324" t="s">
        <v>471</v>
      </c>
      <c r="H1610" s="324" t="s">
        <v>472</v>
      </c>
      <c r="I1610" s="325" t="s">
        <v>473</v>
      </c>
      <c r="J1610" s="326" t="s">
        <v>474</v>
      </c>
    </row>
    <row r="1611" spans="1:10" x14ac:dyDescent="0.25">
      <c r="A1611" s="303"/>
      <c r="B1611" s="337" t="s">
        <v>346</v>
      </c>
      <c r="C1611" s="311"/>
      <c r="D1611" s="312"/>
      <c r="E1611" s="328"/>
      <c r="F1611" s="328"/>
      <c r="G1611" s="328"/>
      <c r="H1611" s="329"/>
      <c r="I1611" s="329"/>
      <c r="J1611" s="315"/>
    </row>
    <row r="1612" spans="1:10" x14ac:dyDescent="0.25">
      <c r="A1612" s="303"/>
      <c r="B1612" s="333" t="s">
        <v>346</v>
      </c>
      <c r="C1612" s="317"/>
      <c r="D1612" s="318"/>
      <c r="E1612" s="331"/>
      <c r="F1612" s="331"/>
      <c r="G1612" s="331"/>
      <c r="H1612" s="332"/>
      <c r="I1612" s="332"/>
      <c r="J1612" s="321"/>
    </row>
    <row r="1613" spans="1:10" x14ac:dyDescent="0.25">
      <c r="A1613" s="303"/>
      <c r="B1613" s="333" t="s">
        <v>346</v>
      </c>
      <c r="C1613" s="317"/>
      <c r="D1613" s="318"/>
      <c r="E1613" s="331"/>
      <c r="F1613" s="331"/>
      <c r="G1613" s="331"/>
      <c r="H1613" s="332"/>
      <c r="I1613" s="332"/>
      <c r="J1613" s="321"/>
    </row>
    <row r="1614" spans="1:10" x14ac:dyDescent="0.25">
      <c r="A1614" s="303"/>
      <c r="B1614" s="333" t="s">
        <v>346</v>
      </c>
      <c r="C1614" s="317"/>
      <c r="D1614" s="318"/>
      <c r="E1614" s="331"/>
      <c r="F1614" s="331"/>
      <c r="G1614" s="331"/>
      <c r="H1614" s="332"/>
      <c r="I1614" s="332"/>
      <c r="J1614" s="321"/>
    </row>
    <row r="1615" spans="1:10" x14ac:dyDescent="0.25">
      <c r="A1615" s="303"/>
      <c r="B1615" s="333" t="s">
        <v>346</v>
      </c>
      <c r="C1615" s="317"/>
      <c r="D1615" s="318"/>
      <c r="E1615" s="331"/>
      <c r="F1615" s="331"/>
      <c r="G1615" s="331"/>
      <c r="H1615" s="332"/>
      <c r="I1615" s="332"/>
      <c r="J1615" s="321"/>
    </row>
    <row r="1616" spans="1:10" x14ac:dyDescent="0.25">
      <c r="A1616" s="303"/>
      <c r="B1616" s="333" t="s">
        <v>346</v>
      </c>
      <c r="C1616" s="317"/>
      <c r="D1616" s="318"/>
      <c r="E1616" s="331"/>
      <c r="F1616" s="331"/>
      <c r="G1616" s="331"/>
      <c r="H1616" s="332"/>
      <c r="I1616" s="332"/>
      <c r="J1616" s="321"/>
    </row>
    <row r="1617" spans="1:10" x14ac:dyDescent="0.25">
      <c r="A1617" s="303"/>
      <c r="B1617" s="333" t="s">
        <v>346</v>
      </c>
      <c r="C1617" s="317"/>
      <c r="D1617" s="318"/>
      <c r="E1617" s="331"/>
      <c r="F1617" s="331"/>
      <c r="G1617" s="331"/>
      <c r="H1617" s="332"/>
      <c r="I1617" s="332"/>
      <c r="J1617" s="321"/>
    </row>
    <row r="1618" spans="1:10" x14ac:dyDescent="0.25">
      <c r="A1618" s="303"/>
      <c r="B1618" s="310"/>
      <c r="C1618" s="334"/>
      <c r="D1618" s="312"/>
      <c r="E1618" s="313"/>
      <c r="F1618" s="313"/>
      <c r="G1618" s="313"/>
      <c r="H1618" s="313"/>
      <c r="I1618" s="335" t="s">
        <v>479</v>
      </c>
      <c r="J1618" s="315">
        <v>0</v>
      </c>
    </row>
    <row r="1619" spans="1:10" x14ac:dyDescent="0.25">
      <c r="A1619" s="303"/>
      <c r="B1619" s="310" t="s">
        <v>464</v>
      </c>
      <c r="C1619" s="311" t="s">
        <v>480</v>
      </c>
      <c r="D1619" s="312"/>
      <c r="E1619" s="313"/>
      <c r="F1619" s="313"/>
      <c r="G1619" s="313"/>
      <c r="H1619" s="324" t="s">
        <v>355</v>
      </c>
      <c r="I1619" s="336" t="s">
        <v>481</v>
      </c>
      <c r="J1619" s="322" t="s">
        <v>331</v>
      </c>
    </row>
    <row r="1620" spans="1:10" x14ac:dyDescent="0.25">
      <c r="A1620" s="303"/>
      <c r="B1620" s="337" t="s">
        <v>679</v>
      </c>
      <c r="C1620" s="311" t="s">
        <v>680</v>
      </c>
      <c r="D1620" s="312"/>
      <c r="E1620" s="313"/>
      <c r="F1620" s="313"/>
      <c r="G1620" s="313"/>
      <c r="H1620" s="314">
        <v>0.09</v>
      </c>
      <c r="I1620" s="329">
        <v>18.301200000000001</v>
      </c>
      <c r="J1620" s="315">
        <v>1.6471</v>
      </c>
    </row>
    <row r="1621" spans="1:10" x14ac:dyDescent="0.25">
      <c r="A1621" s="303"/>
      <c r="B1621" s="333" t="s">
        <v>725</v>
      </c>
      <c r="C1621" s="317" t="s">
        <v>726</v>
      </c>
      <c r="D1621" s="318"/>
      <c r="E1621" s="319"/>
      <c r="F1621" s="319"/>
      <c r="G1621" s="319"/>
      <c r="H1621" s="320">
        <v>0.09</v>
      </c>
      <c r="I1621" s="332">
        <v>24.009799999999998</v>
      </c>
      <c r="J1621" s="321">
        <v>2.1608999999999998</v>
      </c>
    </row>
    <row r="1622" spans="1:10" x14ac:dyDescent="0.25">
      <c r="A1622" s="303"/>
      <c r="B1622" s="333" t="s">
        <v>346</v>
      </c>
      <c r="C1622" s="317"/>
      <c r="D1622" s="318"/>
      <c r="E1622" s="319"/>
      <c r="F1622" s="319"/>
      <c r="G1622" s="319"/>
      <c r="H1622" s="320"/>
      <c r="I1622" s="332"/>
      <c r="J1622" s="321"/>
    </row>
    <row r="1623" spans="1:10" x14ac:dyDescent="0.25">
      <c r="A1623" s="303"/>
      <c r="B1623" s="333" t="s">
        <v>346</v>
      </c>
      <c r="C1623" s="317"/>
      <c r="D1623" s="318"/>
      <c r="E1623" s="319"/>
      <c r="F1623" s="319"/>
      <c r="G1623" s="319"/>
      <c r="H1623" s="320"/>
      <c r="I1623" s="332"/>
      <c r="J1623" s="321"/>
    </row>
    <row r="1624" spans="1:10" x14ac:dyDescent="0.25">
      <c r="A1624" s="303"/>
      <c r="B1624" s="333" t="s">
        <v>346</v>
      </c>
      <c r="C1624" s="317"/>
      <c r="D1624" s="318"/>
      <c r="E1624" s="319"/>
      <c r="F1624" s="319"/>
      <c r="G1624" s="319"/>
      <c r="H1624" s="320"/>
      <c r="I1624" s="332"/>
      <c r="J1624" s="321"/>
    </row>
    <row r="1625" spans="1:10" x14ac:dyDescent="0.25">
      <c r="A1625" s="303"/>
      <c r="B1625" s="333" t="s">
        <v>346</v>
      </c>
      <c r="C1625" s="317"/>
      <c r="D1625" s="318"/>
      <c r="E1625" s="319"/>
      <c r="F1625" s="319"/>
      <c r="G1625" s="319"/>
      <c r="H1625" s="320"/>
      <c r="I1625" s="332"/>
      <c r="J1625" s="321"/>
    </row>
    <row r="1626" spans="1:10" x14ac:dyDescent="0.25">
      <c r="A1626" s="303"/>
      <c r="B1626" s="333" t="s">
        <v>346</v>
      </c>
      <c r="C1626" s="317"/>
      <c r="D1626" s="318"/>
      <c r="E1626" s="319"/>
      <c r="F1626" s="319"/>
      <c r="G1626" s="319"/>
      <c r="H1626" s="320"/>
      <c r="I1626" s="332"/>
      <c r="J1626" s="321"/>
    </row>
    <row r="1627" spans="1:10" x14ac:dyDescent="0.25">
      <c r="A1627" s="303"/>
      <c r="B1627" s="310"/>
      <c r="C1627" s="334"/>
      <c r="D1627" s="312"/>
      <c r="E1627" s="313"/>
      <c r="F1627" s="313"/>
      <c r="G1627" s="313"/>
      <c r="H1627" s="313"/>
      <c r="I1627" s="338" t="s">
        <v>484</v>
      </c>
      <c r="J1627" s="315">
        <v>3.8079999999999998</v>
      </c>
    </row>
    <row r="1628" spans="1:10" x14ac:dyDescent="0.25">
      <c r="A1628" s="303"/>
      <c r="B1628" s="339"/>
      <c r="C1628" s="334"/>
      <c r="D1628" s="312"/>
      <c r="E1628" s="313"/>
      <c r="F1628" s="313"/>
      <c r="G1628" s="313"/>
      <c r="H1628" s="313"/>
      <c r="I1628" s="338" t="s">
        <v>485</v>
      </c>
      <c r="J1628" s="340">
        <v>3.8079999999999998</v>
      </c>
    </row>
    <row r="1629" spans="1:10" x14ac:dyDescent="0.25">
      <c r="A1629" s="303"/>
      <c r="B1629" s="339"/>
      <c r="C1629" s="341" t="s">
        <v>486</v>
      </c>
      <c r="D1629" s="312">
        <v>1</v>
      </c>
      <c r="E1629" s="313"/>
      <c r="F1629" s="313"/>
      <c r="G1629" s="313"/>
      <c r="H1629" s="313"/>
      <c r="I1629" s="338" t="s">
        <v>487</v>
      </c>
      <c r="J1629" s="340">
        <v>3.8079999999999998</v>
      </c>
    </row>
    <row r="1630" spans="1:10" x14ac:dyDescent="0.25">
      <c r="A1630" s="303"/>
      <c r="B1630" s="310"/>
      <c r="C1630" s="334"/>
      <c r="D1630" s="312"/>
      <c r="E1630" s="313"/>
      <c r="F1630" s="313"/>
      <c r="G1630" s="313"/>
      <c r="H1630" s="338" t="s">
        <v>488</v>
      </c>
      <c r="I1630" s="342">
        <v>0</v>
      </c>
      <c r="J1630" s="315">
        <v>0</v>
      </c>
    </row>
    <row r="1631" spans="1:10" x14ac:dyDescent="0.25">
      <c r="A1631" s="303"/>
      <c r="B1631" s="310"/>
      <c r="C1631" s="334"/>
      <c r="D1631" s="312"/>
      <c r="E1631" s="313"/>
      <c r="F1631" s="313"/>
      <c r="G1631" s="313"/>
      <c r="H1631" s="335" t="s">
        <v>489</v>
      </c>
      <c r="I1631" s="343">
        <v>0</v>
      </c>
      <c r="J1631" s="315">
        <v>0</v>
      </c>
    </row>
    <row r="1632" spans="1:10" x14ac:dyDescent="0.25">
      <c r="A1632" s="303"/>
      <c r="B1632" s="310" t="s">
        <v>464</v>
      </c>
      <c r="C1632" s="311" t="s">
        <v>490</v>
      </c>
      <c r="D1632" s="312"/>
      <c r="E1632" s="313"/>
      <c r="F1632" s="313"/>
      <c r="G1632" s="314" t="s">
        <v>465</v>
      </c>
      <c r="H1632" s="336" t="s">
        <v>468</v>
      </c>
      <c r="I1632" s="336" t="s">
        <v>491</v>
      </c>
      <c r="J1632" s="322" t="s">
        <v>492</v>
      </c>
    </row>
    <row r="1633" spans="1:10" x14ac:dyDescent="0.25">
      <c r="A1633" s="303"/>
      <c r="B1633" s="337" t="s">
        <v>727</v>
      </c>
      <c r="C1633" s="311" t="s">
        <v>728</v>
      </c>
      <c r="D1633" s="312"/>
      <c r="E1633" s="313"/>
      <c r="F1633" s="313"/>
      <c r="G1633" s="314" t="s">
        <v>560</v>
      </c>
      <c r="H1633" s="329">
        <v>7.2268999999999997</v>
      </c>
      <c r="I1633" s="329">
        <v>1.1000000000000001</v>
      </c>
      <c r="J1633" s="315">
        <v>7.9496000000000002</v>
      </c>
    </row>
    <row r="1634" spans="1:10" x14ac:dyDescent="0.25">
      <c r="A1634" s="303"/>
      <c r="B1634" s="333" t="s">
        <v>729</v>
      </c>
      <c r="C1634" s="317" t="s">
        <v>730</v>
      </c>
      <c r="D1634" s="318"/>
      <c r="E1634" s="319"/>
      <c r="F1634" s="319"/>
      <c r="G1634" s="320" t="s">
        <v>560</v>
      </c>
      <c r="H1634" s="332">
        <v>11.297499999999999</v>
      </c>
      <c r="I1634" s="332">
        <v>1.4999999999999999E-2</v>
      </c>
      <c r="J1634" s="321">
        <v>0.16950000000000001</v>
      </c>
    </row>
    <row r="1635" spans="1:10" x14ac:dyDescent="0.25">
      <c r="A1635" s="303"/>
      <c r="B1635" s="333" t="s">
        <v>346</v>
      </c>
      <c r="C1635" s="317"/>
      <c r="D1635" s="318"/>
      <c r="E1635" s="319"/>
      <c r="F1635" s="319"/>
      <c r="G1635" s="320"/>
      <c r="H1635" s="332"/>
      <c r="I1635" s="332"/>
      <c r="J1635" s="321"/>
    </row>
    <row r="1636" spans="1:10" x14ac:dyDescent="0.25">
      <c r="A1636" s="303"/>
      <c r="B1636" s="333" t="s">
        <v>346</v>
      </c>
      <c r="C1636" s="317"/>
      <c r="D1636" s="318"/>
      <c r="E1636" s="319"/>
      <c r="F1636" s="319"/>
      <c r="G1636" s="320"/>
      <c r="H1636" s="332"/>
      <c r="I1636" s="332"/>
      <c r="J1636" s="321"/>
    </row>
    <row r="1637" spans="1:10" x14ac:dyDescent="0.25">
      <c r="A1637" s="303"/>
      <c r="B1637" s="333" t="s">
        <v>346</v>
      </c>
      <c r="C1637" s="317"/>
      <c r="D1637" s="318"/>
      <c r="E1637" s="319"/>
      <c r="F1637" s="319"/>
      <c r="G1637" s="320"/>
      <c r="H1637" s="332"/>
      <c r="I1637" s="332"/>
      <c r="J1637" s="321"/>
    </row>
    <row r="1638" spans="1:10" x14ac:dyDescent="0.25">
      <c r="A1638" s="303"/>
      <c r="B1638" s="333" t="s">
        <v>346</v>
      </c>
      <c r="C1638" s="317"/>
      <c r="D1638" s="318"/>
      <c r="E1638" s="319"/>
      <c r="F1638" s="319"/>
      <c r="G1638" s="320"/>
      <c r="H1638" s="332"/>
      <c r="I1638" s="332"/>
      <c r="J1638" s="321"/>
    </row>
    <row r="1639" spans="1:10" x14ac:dyDescent="0.25">
      <c r="A1639" s="303"/>
      <c r="B1639" s="333" t="s">
        <v>346</v>
      </c>
      <c r="C1639" s="317"/>
      <c r="D1639" s="318"/>
      <c r="E1639" s="319"/>
      <c r="F1639" s="319"/>
      <c r="G1639" s="320"/>
      <c r="H1639" s="332"/>
      <c r="I1639" s="332"/>
      <c r="J1639" s="321"/>
    </row>
    <row r="1640" spans="1:10" x14ac:dyDescent="0.25">
      <c r="A1640" s="303"/>
      <c r="B1640" s="310"/>
      <c r="C1640" s="334"/>
      <c r="D1640" s="312"/>
      <c r="E1640" s="313"/>
      <c r="F1640" s="313"/>
      <c r="G1640" s="313"/>
      <c r="H1640" s="343"/>
      <c r="I1640" s="335" t="s">
        <v>498</v>
      </c>
      <c r="J1640" s="315">
        <v>8.1190999999999995</v>
      </c>
    </row>
    <row r="1641" spans="1:10" x14ac:dyDescent="0.25">
      <c r="A1641" s="303"/>
      <c r="B1641" s="310" t="s">
        <v>464</v>
      </c>
      <c r="C1641" s="311" t="s">
        <v>499</v>
      </c>
      <c r="D1641" s="312"/>
      <c r="E1641" s="313"/>
      <c r="F1641" s="313"/>
      <c r="G1641" s="314" t="s">
        <v>465</v>
      </c>
      <c r="H1641" s="336" t="s">
        <v>468</v>
      </c>
      <c r="I1641" s="336" t="s">
        <v>491</v>
      </c>
      <c r="J1641" s="322" t="s">
        <v>492</v>
      </c>
    </row>
    <row r="1642" spans="1:10" x14ac:dyDescent="0.25">
      <c r="A1642" s="303"/>
      <c r="B1642" s="337"/>
      <c r="C1642" s="311"/>
      <c r="D1642" s="312"/>
      <c r="E1642" s="313"/>
      <c r="F1642" s="313"/>
      <c r="G1642" s="314"/>
      <c r="H1642" s="329"/>
      <c r="I1642" s="329"/>
      <c r="J1642" s="315"/>
    </row>
    <row r="1643" spans="1:10" x14ac:dyDescent="0.25">
      <c r="A1643" s="303"/>
      <c r="B1643" s="333"/>
      <c r="C1643" s="317"/>
      <c r="D1643" s="318"/>
      <c r="E1643" s="319"/>
      <c r="F1643" s="319"/>
      <c r="G1643" s="320"/>
      <c r="H1643" s="332"/>
      <c r="I1643" s="332"/>
      <c r="J1643" s="321"/>
    </row>
    <row r="1644" spans="1:10" x14ac:dyDescent="0.25">
      <c r="A1644" s="303"/>
      <c r="B1644" s="333"/>
      <c r="C1644" s="317"/>
      <c r="D1644" s="318"/>
      <c r="E1644" s="319"/>
      <c r="F1644" s="319"/>
      <c r="G1644" s="320"/>
      <c r="H1644" s="332"/>
      <c r="I1644" s="332"/>
      <c r="J1644" s="321"/>
    </row>
    <row r="1645" spans="1:10" x14ac:dyDescent="0.25">
      <c r="A1645" s="303"/>
      <c r="B1645" s="333"/>
      <c r="C1645" s="317"/>
      <c r="D1645" s="318"/>
      <c r="E1645" s="319"/>
      <c r="F1645" s="319"/>
      <c r="G1645" s="320"/>
      <c r="H1645" s="332"/>
      <c r="I1645" s="332"/>
      <c r="J1645" s="321"/>
    </row>
    <row r="1646" spans="1:10" x14ac:dyDescent="0.25">
      <c r="A1646" s="303"/>
      <c r="B1646" s="333"/>
      <c r="C1646" s="317"/>
      <c r="D1646" s="318"/>
      <c r="E1646" s="319"/>
      <c r="F1646" s="319"/>
      <c r="G1646" s="320"/>
      <c r="H1646" s="332"/>
      <c r="I1646" s="332"/>
      <c r="J1646" s="321"/>
    </row>
    <row r="1647" spans="1:10" x14ac:dyDescent="0.25">
      <c r="A1647" s="303"/>
      <c r="B1647" s="310"/>
      <c r="C1647" s="334"/>
      <c r="D1647" s="312"/>
      <c r="E1647" s="313"/>
      <c r="F1647" s="313"/>
      <c r="G1647" s="313"/>
      <c r="H1647" s="343"/>
      <c r="I1647" s="335" t="s">
        <v>501</v>
      </c>
      <c r="J1647" s="315">
        <v>0</v>
      </c>
    </row>
    <row r="1648" spans="1:10" x14ac:dyDescent="0.25">
      <c r="A1648" s="303"/>
      <c r="B1648" s="310" t="s">
        <v>464</v>
      </c>
      <c r="C1648" s="311" t="s">
        <v>502</v>
      </c>
      <c r="D1648" s="312"/>
      <c r="E1648" s="313"/>
      <c r="F1648" s="314" t="s">
        <v>464</v>
      </c>
      <c r="G1648" s="324" t="s">
        <v>503</v>
      </c>
      <c r="H1648" s="329" t="s">
        <v>465</v>
      </c>
      <c r="I1648" s="336" t="s">
        <v>468</v>
      </c>
      <c r="J1648" s="322" t="s">
        <v>492</v>
      </c>
    </row>
    <row r="1649" spans="1:10" x14ac:dyDescent="0.25">
      <c r="A1649" s="303"/>
      <c r="B1649" s="337" t="s">
        <v>731</v>
      </c>
      <c r="C1649" s="311" t="s">
        <v>732</v>
      </c>
      <c r="D1649" s="312"/>
      <c r="E1649" s="313"/>
      <c r="F1649" s="344" t="s">
        <v>632</v>
      </c>
      <c r="G1649" s="314">
        <v>1.1000000000000001E-3</v>
      </c>
      <c r="H1649" s="329" t="s">
        <v>370</v>
      </c>
      <c r="I1649" s="329">
        <v>26.18</v>
      </c>
      <c r="J1649" s="315">
        <v>2.8799999999999999E-2</v>
      </c>
    </row>
    <row r="1650" spans="1:10" x14ac:dyDescent="0.25">
      <c r="A1650" s="303"/>
      <c r="B1650" s="333" t="s">
        <v>733</v>
      </c>
      <c r="C1650" s="317" t="s">
        <v>734</v>
      </c>
      <c r="D1650" s="318"/>
      <c r="E1650" s="319"/>
      <c r="F1650" s="354" t="s">
        <v>632</v>
      </c>
      <c r="G1650" s="320">
        <v>2.0000000000000002E-5</v>
      </c>
      <c r="H1650" s="332" t="s">
        <v>370</v>
      </c>
      <c r="I1650" s="332">
        <v>26.18</v>
      </c>
      <c r="J1650" s="321">
        <v>5.0000000000000001E-4</v>
      </c>
    </row>
    <row r="1651" spans="1:10" x14ac:dyDescent="0.25">
      <c r="A1651" s="303"/>
      <c r="B1651" s="333" t="s">
        <v>346</v>
      </c>
      <c r="C1651" s="317"/>
      <c r="D1651" s="318"/>
      <c r="E1651" s="319"/>
      <c r="F1651" s="320"/>
      <c r="G1651" s="320"/>
      <c r="H1651" s="332"/>
      <c r="I1651" s="332"/>
      <c r="J1651" s="321"/>
    </row>
    <row r="1652" spans="1:10" x14ac:dyDescent="0.25">
      <c r="A1652" s="303"/>
      <c r="B1652" s="333" t="s">
        <v>346</v>
      </c>
      <c r="C1652" s="317"/>
      <c r="D1652" s="318"/>
      <c r="E1652" s="319"/>
      <c r="F1652" s="320"/>
      <c r="G1652" s="320"/>
      <c r="H1652" s="332"/>
      <c r="I1652" s="332"/>
      <c r="J1652" s="321"/>
    </row>
    <row r="1653" spans="1:10" x14ac:dyDescent="0.25">
      <c r="A1653" s="303"/>
      <c r="B1653" s="333" t="s">
        <v>346</v>
      </c>
      <c r="C1653" s="317"/>
      <c r="D1653" s="318"/>
      <c r="E1653" s="319"/>
      <c r="F1653" s="320"/>
      <c r="G1653" s="320"/>
      <c r="H1653" s="332"/>
      <c r="I1653" s="332"/>
      <c r="J1653" s="321"/>
    </row>
    <row r="1654" spans="1:10" x14ac:dyDescent="0.25">
      <c r="A1654" s="303"/>
      <c r="B1654" s="310"/>
      <c r="C1654" s="334"/>
      <c r="D1654" s="312"/>
      <c r="E1654" s="313"/>
      <c r="F1654" s="313"/>
      <c r="G1654" s="313"/>
      <c r="H1654" s="343"/>
      <c r="I1654" s="338" t="s">
        <v>507</v>
      </c>
      <c r="J1654" s="315">
        <v>2.93E-2</v>
      </c>
    </row>
    <row r="1655" spans="1:10" x14ac:dyDescent="0.25">
      <c r="A1655" s="303"/>
      <c r="B1655" s="310" t="s">
        <v>464</v>
      </c>
      <c r="C1655" s="311" t="s">
        <v>508</v>
      </c>
      <c r="D1655" s="345" t="s">
        <v>509</v>
      </c>
      <c r="E1655" s="324" t="s">
        <v>873</v>
      </c>
      <c r="F1655" s="324" t="s">
        <v>874</v>
      </c>
      <c r="G1655" s="324" t="s">
        <v>875</v>
      </c>
      <c r="H1655" s="336" t="s">
        <v>468</v>
      </c>
      <c r="I1655" s="324" t="s">
        <v>491</v>
      </c>
      <c r="J1655" s="322" t="s">
        <v>492</v>
      </c>
    </row>
    <row r="1656" spans="1:10" x14ac:dyDescent="0.25">
      <c r="A1656" s="303"/>
      <c r="B1656" s="337" t="s">
        <v>735</v>
      </c>
      <c r="C1656" s="311" t="s">
        <v>736</v>
      </c>
      <c r="D1656" s="345" t="s">
        <v>510</v>
      </c>
      <c r="E1656" s="314">
        <v>0</v>
      </c>
      <c r="F1656" s="314">
        <v>0</v>
      </c>
      <c r="G1656" s="314">
        <v>100.45</v>
      </c>
      <c r="H1656" s="329">
        <v>0.55000000000000004</v>
      </c>
      <c r="I1656" s="314">
        <v>1.1000000000000001E-3</v>
      </c>
      <c r="J1656" s="315">
        <v>6.08E-2</v>
      </c>
    </row>
    <row r="1657" spans="1:10" x14ac:dyDescent="0.25">
      <c r="A1657" s="303"/>
      <c r="B1657" s="333" t="s">
        <v>737</v>
      </c>
      <c r="C1657" s="317" t="s">
        <v>738</v>
      </c>
      <c r="D1657" s="346" t="s">
        <v>510</v>
      </c>
      <c r="E1657" s="320">
        <v>0</v>
      </c>
      <c r="F1657" s="320">
        <v>0</v>
      </c>
      <c r="G1657" s="320">
        <v>100.45</v>
      </c>
      <c r="H1657" s="332">
        <v>0.55000000000000004</v>
      </c>
      <c r="I1657" s="320">
        <v>2.0000000000000002E-5</v>
      </c>
      <c r="J1657" s="321">
        <v>1.1000000000000001E-3</v>
      </c>
    </row>
    <row r="1658" spans="1:10" x14ac:dyDescent="0.25">
      <c r="A1658" s="303"/>
      <c r="B1658" s="333" t="s">
        <v>346</v>
      </c>
      <c r="C1658" s="317"/>
      <c r="D1658" s="346"/>
      <c r="E1658" s="320"/>
      <c r="F1658" s="320"/>
      <c r="G1658" s="320"/>
      <c r="H1658" s="332"/>
      <c r="I1658" s="320"/>
      <c r="J1658" s="321"/>
    </row>
    <row r="1659" spans="1:10" x14ac:dyDescent="0.25">
      <c r="A1659" s="303"/>
      <c r="B1659" s="333" t="s">
        <v>346</v>
      </c>
      <c r="C1659" s="317"/>
      <c r="D1659" s="346"/>
      <c r="E1659" s="320"/>
      <c r="F1659" s="320"/>
      <c r="G1659" s="320"/>
      <c r="H1659" s="332"/>
      <c r="I1659" s="320"/>
      <c r="J1659" s="321"/>
    </row>
    <row r="1660" spans="1:10" x14ac:dyDescent="0.25">
      <c r="A1660" s="303"/>
      <c r="B1660" s="333" t="s">
        <v>346</v>
      </c>
      <c r="C1660" s="317"/>
      <c r="D1660" s="346"/>
      <c r="E1660" s="320"/>
      <c r="F1660" s="320"/>
      <c r="G1660" s="320"/>
      <c r="H1660" s="332"/>
      <c r="I1660" s="320"/>
      <c r="J1660" s="321"/>
    </row>
    <row r="1661" spans="1:10" x14ac:dyDescent="0.25">
      <c r="A1661" s="303"/>
      <c r="B1661" s="333" t="s">
        <v>346</v>
      </c>
      <c r="C1661" s="317"/>
      <c r="D1661" s="346"/>
      <c r="E1661" s="320"/>
      <c r="F1661" s="320"/>
      <c r="G1661" s="320"/>
      <c r="H1661" s="332"/>
      <c r="I1661" s="320"/>
      <c r="J1661" s="321"/>
    </row>
    <row r="1662" spans="1:10" x14ac:dyDescent="0.25">
      <c r="A1662" s="303"/>
      <c r="B1662" s="333" t="s">
        <v>346</v>
      </c>
      <c r="C1662" s="317"/>
      <c r="D1662" s="346"/>
      <c r="E1662" s="320"/>
      <c r="F1662" s="320"/>
      <c r="G1662" s="320"/>
      <c r="H1662" s="332"/>
      <c r="I1662" s="320"/>
      <c r="J1662" s="321"/>
    </row>
    <row r="1663" spans="1:10" x14ac:dyDescent="0.25">
      <c r="A1663" s="303"/>
      <c r="B1663" s="310"/>
      <c r="C1663" s="334"/>
      <c r="D1663" s="312"/>
      <c r="E1663" s="313"/>
      <c r="F1663" s="313"/>
      <c r="G1663" s="313"/>
      <c r="H1663" s="313"/>
      <c r="I1663" s="338" t="s">
        <v>513</v>
      </c>
      <c r="J1663" s="315">
        <v>6.1899999999999997E-2</v>
      </c>
    </row>
    <row r="1664" spans="1:10" x14ac:dyDescent="0.25">
      <c r="A1664" s="303"/>
      <c r="B1664" s="310" t="s">
        <v>514</v>
      </c>
      <c r="C1664" s="334"/>
      <c r="D1664" s="312"/>
      <c r="E1664" s="313"/>
      <c r="F1664" s="313"/>
      <c r="G1664" s="313"/>
      <c r="H1664" s="313"/>
      <c r="I1664" s="313"/>
      <c r="J1664" s="315">
        <v>12.0183</v>
      </c>
    </row>
    <row r="1665" spans="1:10" x14ac:dyDescent="0.25">
      <c r="A1665" s="303"/>
      <c r="B1665" s="310" t="s">
        <v>515</v>
      </c>
      <c r="C1665" s="334"/>
      <c r="D1665" s="312">
        <v>0</v>
      </c>
      <c r="E1665" s="313"/>
      <c r="F1665" s="313"/>
      <c r="G1665" s="313"/>
      <c r="H1665" s="313"/>
      <c r="I1665" s="313"/>
      <c r="J1665" s="315">
        <v>0</v>
      </c>
    </row>
    <row r="1666" spans="1:10" ht="14.4" thickBot="1" x14ac:dyDescent="0.3">
      <c r="A1666" s="303"/>
      <c r="B1666" s="310" t="s">
        <v>516</v>
      </c>
      <c r="C1666" s="334"/>
      <c r="D1666" s="312"/>
      <c r="E1666" s="313"/>
      <c r="F1666" s="313"/>
      <c r="G1666" s="313"/>
      <c r="H1666" s="313"/>
      <c r="I1666" s="313"/>
      <c r="J1666" s="347">
        <v>12.02</v>
      </c>
    </row>
    <row r="1667" spans="1:10" x14ac:dyDescent="0.25">
      <c r="A1667" s="303"/>
      <c r="B1667" s="304"/>
      <c r="C1667" s="305"/>
      <c r="D1667" s="348"/>
      <c r="E1667" s="308"/>
      <c r="F1667" s="308"/>
      <c r="G1667" s="308"/>
      <c r="H1667" s="308"/>
      <c r="I1667" s="308"/>
      <c r="J1667" s="309"/>
    </row>
    <row r="1668" spans="1:10" x14ac:dyDescent="0.25">
      <c r="A1668" s="303"/>
      <c r="B1668" s="316"/>
      <c r="C1668" s="303"/>
      <c r="D1668" s="318"/>
      <c r="E1668" s="319"/>
      <c r="F1668" s="319"/>
      <c r="G1668" s="319"/>
      <c r="H1668" s="319"/>
      <c r="I1668" s="319"/>
      <c r="J1668" s="349"/>
    </row>
    <row r="1669" spans="1:10" x14ac:dyDescent="0.25">
      <c r="A1669" s="303"/>
      <c r="B1669" s="316"/>
      <c r="C1669" s="303"/>
      <c r="D1669" s="318"/>
      <c r="E1669" s="319"/>
      <c r="F1669" s="319"/>
      <c r="G1669" s="319"/>
      <c r="H1669" s="319"/>
      <c r="I1669" s="319"/>
      <c r="J1669" s="349"/>
    </row>
    <row r="1670" spans="1:10" ht="14.4" thickBot="1" x14ac:dyDescent="0.3">
      <c r="A1670" s="303"/>
      <c r="B1670" s="350"/>
      <c r="C1670" s="303"/>
      <c r="D1670" s="318"/>
      <c r="E1670" s="319"/>
      <c r="F1670" s="319"/>
      <c r="G1670" s="319"/>
      <c r="H1670" s="319"/>
      <c r="I1670" s="319"/>
      <c r="J1670" s="351"/>
    </row>
    <row r="1671" spans="1:10" x14ac:dyDescent="0.25">
      <c r="A1671" s="303"/>
      <c r="B1671" s="305"/>
      <c r="C1671" s="305"/>
      <c r="D1671" s="348"/>
      <c r="E1671" s="308"/>
      <c r="F1671" s="308"/>
      <c r="G1671" s="308"/>
      <c r="H1671" s="308"/>
      <c r="I1671" s="308"/>
      <c r="J1671" s="352"/>
    </row>
    <row r="1672" spans="1:10" ht="14.4" thickBot="1" x14ac:dyDescent="0.3">
      <c r="A1672" s="303"/>
      <c r="B1672" s="303"/>
      <c r="C1672" s="303"/>
      <c r="D1672" s="318"/>
      <c r="E1672" s="319"/>
      <c r="F1672" s="319"/>
      <c r="G1672" s="319"/>
      <c r="H1672" s="319"/>
      <c r="I1672" s="319"/>
      <c r="J1672" s="353"/>
    </row>
    <row r="1673" spans="1:10" x14ac:dyDescent="0.25">
      <c r="A1673" s="303"/>
      <c r="B1673" s="304"/>
      <c r="C1673" s="305"/>
      <c r="D1673" s="306" t="s">
        <v>463</v>
      </c>
      <c r="E1673" s="307"/>
      <c r="F1673" s="307"/>
      <c r="G1673" s="308"/>
      <c r="H1673" s="308"/>
      <c r="I1673" s="308"/>
      <c r="J1673" s="309"/>
    </row>
    <row r="1674" spans="1:10" x14ac:dyDescent="0.25">
      <c r="A1674" s="303"/>
      <c r="B1674" s="310" t="s">
        <v>464</v>
      </c>
      <c r="C1674" s="311" t="s">
        <v>134</v>
      </c>
      <c r="D1674" s="312"/>
      <c r="E1674" s="313"/>
      <c r="F1674" s="313"/>
      <c r="G1674" s="313"/>
      <c r="H1674" s="314"/>
      <c r="I1674" s="313"/>
      <c r="J1674" s="315" t="s">
        <v>465</v>
      </c>
    </row>
    <row r="1675" spans="1:10" x14ac:dyDescent="0.25">
      <c r="A1675" s="303"/>
      <c r="B1675" s="316">
        <v>1116127</v>
      </c>
      <c r="C1675" s="317" t="s">
        <v>434</v>
      </c>
      <c r="D1675" s="318"/>
      <c r="E1675" s="319"/>
      <c r="F1675" s="319"/>
      <c r="G1675" s="319"/>
      <c r="H1675" s="320"/>
      <c r="I1675" s="319"/>
      <c r="J1675" s="321" t="s">
        <v>365</v>
      </c>
    </row>
    <row r="1676" spans="1:10" x14ac:dyDescent="0.25">
      <c r="A1676" s="303"/>
      <c r="B1676" s="310"/>
      <c r="C1676" s="311"/>
      <c r="D1676" s="312"/>
      <c r="E1676" s="314"/>
      <c r="F1676" s="314" t="s">
        <v>466</v>
      </c>
      <c r="G1676" s="314"/>
      <c r="H1676" s="314" t="s">
        <v>467</v>
      </c>
      <c r="I1676" s="314"/>
      <c r="J1676" s="322" t="s">
        <v>468</v>
      </c>
    </row>
    <row r="1677" spans="1:10" x14ac:dyDescent="0.25">
      <c r="A1677" s="303"/>
      <c r="B1677" s="316" t="s">
        <v>464</v>
      </c>
      <c r="C1677" s="317" t="s">
        <v>469</v>
      </c>
      <c r="D1677" s="318"/>
      <c r="E1677" s="323" t="s">
        <v>355</v>
      </c>
      <c r="F1677" s="324" t="s">
        <v>470</v>
      </c>
      <c r="G1677" s="324" t="s">
        <v>471</v>
      </c>
      <c r="H1677" s="324" t="s">
        <v>472</v>
      </c>
      <c r="I1677" s="325" t="s">
        <v>473</v>
      </c>
      <c r="J1677" s="326" t="s">
        <v>474</v>
      </c>
    </row>
    <row r="1678" spans="1:10" x14ac:dyDescent="0.25">
      <c r="A1678" s="303"/>
      <c r="B1678" s="327" t="s">
        <v>612</v>
      </c>
      <c r="C1678" s="311" t="s">
        <v>613</v>
      </c>
      <c r="D1678" s="312"/>
      <c r="E1678" s="328">
        <v>1</v>
      </c>
      <c r="F1678" s="328">
        <v>1</v>
      </c>
      <c r="G1678" s="328">
        <v>0</v>
      </c>
      <c r="H1678" s="329">
        <v>1.3712</v>
      </c>
      <c r="I1678" s="329">
        <v>0.91669999999999996</v>
      </c>
      <c r="J1678" s="315">
        <v>1.3712</v>
      </c>
    </row>
    <row r="1679" spans="1:10" x14ac:dyDescent="0.25">
      <c r="A1679" s="303"/>
      <c r="B1679" s="330" t="s">
        <v>614</v>
      </c>
      <c r="C1679" s="317" t="s">
        <v>615</v>
      </c>
      <c r="D1679" s="318"/>
      <c r="E1679" s="331">
        <v>3</v>
      </c>
      <c r="F1679" s="331">
        <v>0.4</v>
      </c>
      <c r="G1679" s="331">
        <v>0.6</v>
      </c>
      <c r="H1679" s="332">
        <v>1.0651999999999999</v>
      </c>
      <c r="I1679" s="332">
        <v>0.72250000000000003</v>
      </c>
      <c r="J1679" s="321">
        <v>2.5787</v>
      </c>
    </row>
    <row r="1680" spans="1:10" x14ac:dyDescent="0.25">
      <c r="A1680" s="303"/>
      <c r="B1680" s="330" t="s">
        <v>595</v>
      </c>
      <c r="C1680" s="317" t="s">
        <v>596</v>
      </c>
      <c r="D1680" s="318"/>
      <c r="E1680" s="331">
        <v>4</v>
      </c>
      <c r="F1680" s="331">
        <v>0.82</v>
      </c>
      <c r="G1680" s="331">
        <v>0.18</v>
      </c>
      <c r="H1680" s="332">
        <v>0.44979999999999998</v>
      </c>
      <c r="I1680" s="332">
        <v>0.30509999999999998</v>
      </c>
      <c r="J1680" s="321">
        <v>1.6950000000000001</v>
      </c>
    </row>
    <row r="1681" spans="1:10" x14ac:dyDescent="0.25">
      <c r="A1681" s="303"/>
      <c r="B1681" s="330" t="s">
        <v>616</v>
      </c>
      <c r="C1681" s="317" t="s">
        <v>617</v>
      </c>
      <c r="D1681" s="318"/>
      <c r="E1681" s="331">
        <v>1</v>
      </c>
      <c r="F1681" s="331">
        <v>1</v>
      </c>
      <c r="G1681" s="331">
        <v>0</v>
      </c>
      <c r="H1681" s="332">
        <v>44.021000000000001</v>
      </c>
      <c r="I1681" s="332">
        <v>23.415199999999999</v>
      </c>
      <c r="J1681" s="321">
        <v>44.021000000000001</v>
      </c>
    </row>
    <row r="1682" spans="1:10" x14ac:dyDescent="0.25">
      <c r="A1682" s="303"/>
      <c r="B1682" s="330" t="s">
        <v>618</v>
      </c>
      <c r="C1682" s="317" t="s">
        <v>619</v>
      </c>
      <c r="D1682" s="318"/>
      <c r="E1682" s="331">
        <v>1</v>
      </c>
      <c r="F1682" s="331">
        <v>1</v>
      </c>
      <c r="G1682" s="331">
        <v>0</v>
      </c>
      <c r="H1682" s="332">
        <v>3.6429</v>
      </c>
      <c r="I1682" s="332">
        <v>0.19370000000000001</v>
      </c>
      <c r="J1682" s="321">
        <v>3.6429</v>
      </c>
    </row>
    <row r="1683" spans="1:10" x14ac:dyDescent="0.25">
      <c r="A1683" s="303"/>
      <c r="B1683" s="333" t="s">
        <v>346</v>
      </c>
      <c r="C1683" s="317"/>
      <c r="D1683" s="318"/>
      <c r="E1683" s="331"/>
      <c r="F1683" s="331"/>
      <c r="G1683" s="331"/>
      <c r="H1683" s="332"/>
      <c r="I1683" s="332"/>
      <c r="J1683" s="321"/>
    </row>
    <row r="1684" spans="1:10" x14ac:dyDescent="0.25">
      <c r="A1684" s="303"/>
      <c r="B1684" s="333" t="s">
        <v>346</v>
      </c>
      <c r="C1684" s="317"/>
      <c r="D1684" s="318"/>
      <c r="E1684" s="331"/>
      <c r="F1684" s="331"/>
      <c r="G1684" s="331"/>
      <c r="H1684" s="332"/>
      <c r="I1684" s="332"/>
      <c r="J1684" s="321"/>
    </row>
    <row r="1685" spans="1:10" x14ac:dyDescent="0.25">
      <c r="A1685" s="303"/>
      <c r="B1685" s="310"/>
      <c r="C1685" s="334"/>
      <c r="D1685" s="312"/>
      <c r="E1685" s="313"/>
      <c r="F1685" s="313"/>
      <c r="G1685" s="313"/>
      <c r="H1685" s="313"/>
      <c r="I1685" s="335" t="s">
        <v>479</v>
      </c>
      <c r="J1685" s="315">
        <v>53.308799999999998</v>
      </c>
    </row>
    <row r="1686" spans="1:10" x14ac:dyDescent="0.25">
      <c r="A1686" s="303"/>
      <c r="B1686" s="310" t="s">
        <v>464</v>
      </c>
      <c r="C1686" s="311" t="s">
        <v>480</v>
      </c>
      <c r="D1686" s="312"/>
      <c r="E1686" s="313"/>
      <c r="F1686" s="313"/>
      <c r="G1686" s="313"/>
      <c r="H1686" s="324" t="s">
        <v>355</v>
      </c>
      <c r="I1686" s="336" t="s">
        <v>481</v>
      </c>
      <c r="J1686" s="322" t="s">
        <v>331</v>
      </c>
    </row>
    <row r="1687" spans="1:10" x14ac:dyDescent="0.25">
      <c r="A1687" s="303"/>
      <c r="B1687" s="337" t="s">
        <v>620</v>
      </c>
      <c r="C1687" s="311" t="s">
        <v>621</v>
      </c>
      <c r="D1687" s="312"/>
      <c r="E1687" s="313"/>
      <c r="F1687" s="313"/>
      <c r="G1687" s="313"/>
      <c r="H1687" s="314">
        <v>1</v>
      </c>
      <c r="I1687" s="329">
        <v>21.433599999999998</v>
      </c>
      <c r="J1687" s="315">
        <v>21.433599999999998</v>
      </c>
    </row>
    <row r="1688" spans="1:10" x14ac:dyDescent="0.25">
      <c r="A1688" s="303"/>
      <c r="B1688" s="333" t="s">
        <v>482</v>
      </c>
      <c r="C1688" s="317" t="s">
        <v>483</v>
      </c>
      <c r="D1688" s="318"/>
      <c r="E1688" s="319"/>
      <c r="F1688" s="319"/>
      <c r="G1688" s="319"/>
      <c r="H1688" s="320">
        <v>9</v>
      </c>
      <c r="I1688" s="332">
        <v>17.768000000000001</v>
      </c>
      <c r="J1688" s="321">
        <v>159.91200000000001</v>
      </c>
    </row>
    <row r="1689" spans="1:10" x14ac:dyDescent="0.25">
      <c r="A1689" s="303"/>
      <c r="B1689" s="333" t="s">
        <v>346</v>
      </c>
      <c r="C1689" s="317"/>
      <c r="D1689" s="318"/>
      <c r="E1689" s="319"/>
      <c r="F1689" s="319"/>
      <c r="G1689" s="319"/>
      <c r="H1689" s="320"/>
      <c r="I1689" s="332"/>
      <c r="J1689" s="321"/>
    </row>
    <row r="1690" spans="1:10" x14ac:dyDescent="0.25">
      <c r="A1690" s="303"/>
      <c r="B1690" s="333" t="s">
        <v>346</v>
      </c>
      <c r="C1690" s="317"/>
      <c r="D1690" s="318"/>
      <c r="E1690" s="319"/>
      <c r="F1690" s="319"/>
      <c r="G1690" s="319"/>
      <c r="H1690" s="320"/>
      <c r="I1690" s="332"/>
      <c r="J1690" s="321"/>
    </row>
    <row r="1691" spans="1:10" x14ac:dyDescent="0.25">
      <c r="A1691" s="303"/>
      <c r="B1691" s="333" t="s">
        <v>346</v>
      </c>
      <c r="C1691" s="317"/>
      <c r="D1691" s="318"/>
      <c r="E1691" s="319"/>
      <c r="F1691" s="319"/>
      <c r="G1691" s="319"/>
      <c r="H1691" s="320"/>
      <c r="I1691" s="332"/>
      <c r="J1691" s="321"/>
    </row>
    <row r="1692" spans="1:10" x14ac:dyDescent="0.25">
      <c r="A1692" s="303"/>
      <c r="B1692" s="333" t="s">
        <v>346</v>
      </c>
      <c r="C1692" s="317"/>
      <c r="D1692" s="318"/>
      <c r="E1692" s="319"/>
      <c r="F1692" s="319"/>
      <c r="G1692" s="319"/>
      <c r="H1692" s="320"/>
      <c r="I1692" s="332"/>
      <c r="J1692" s="321"/>
    </row>
    <row r="1693" spans="1:10" x14ac:dyDescent="0.25">
      <c r="A1693" s="303"/>
      <c r="B1693" s="333" t="s">
        <v>346</v>
      </c>
      <c r="C1693" s="317"/>
      <c r="D1693" s="318"/>
      <c r="E1693" s="319"/>
      <c r="F1693" s="319"/>
      <c r="G1693" s="319"/>
      <c r="H1693" s="320"/>
      <c r="I1693" s="332"/>
      <c r="J1693" s="321"/>
    </row>
    <row r="1694" spans="1:10" x14ac:dyDescent="0.25">
      <c r="A1694" s="303"/>
      <c r="B1694" s="310"/>
      <c r="C1694" s="334"/>
      <c r="D1694" s="312"/>
      <c r="E1694" s="313"/>
      <c r="F1694" s="313"/>
      <c r="G1694" s="313"/>
      <c r="H1694" s="313"/>
      <c r="I1694" s="338" t="s">
        <v>484</v>
      </c>
      <c r="J1694" s="315">
        <v>181.34559999999999</v>
      </c>
    </row>
    <row r="1695" spans="1:10" x14ac:dyDescent="0.25">
      <c r="A1695" s="303"/>
      <c r="B1695" s="339"/>
      <c r="C1695" s="334"/>
      <c r="D1695" s="312"/>
      <c r="E1695" s="313"/>
      <c r="F1695" s="313"/>
      <c r="G1695" s="313"/>
      <c r="H1695" s="313"/>
      <c r="I1695" s="338" t="s">
        <v>485</v>
      </c>
      <c r="J1695" s="340">
        <v>234.65440000000001</v>
      </c>
    </row>
    <row r="1696" spans="1:10" x14ac:dyDescent="0.25">
      <c r="A1696" s="303"/>
      <c r="B1696" s="339"/>
      <c r="C1696" s="341" t="s">
        <v>486</v>
      </c>
      <c r="D1696" s="312">
        <v>3.8381500000000002</v>
      </c>
      <c r="E1696" s="313"/>
      <c r="F1696" s="313"/>
      <c r="G1696" s="313"/>
      <c r="H1696" s="313"/>
      <c r="I1696" s="338" t="s">
        <v>487</v>
      </c>
      <c r="J1696" s="340">
        <v>61.1374</v>
      </c>
    </row>
    <row r="1697" spans="1:10" x14ac:dyDescent="0.25">
      <c r="A1697" s="303"/>
      <c r="B1697" s="310"/>
      <c r="C1697" s="334"/>
      <c r="D1697" s="312"/>
      <c r="E1697" s="313"/>
      <c r="F1697" s="313"/>
      <c r="G1697" s="313"/>
      <c r="H1697" s="338" t="s">
        <v>488</v>
      </c>
      <c r="I1697" s="342">
        <v>0</v>
      </c>
      <c r="J1697" s="315">
        <v>0</v>
      </c>
    </row>
    <row r="1698" spans="1:10" x14ac:dyDescent="0.25">
      <c r="A1698" s="303"/>
      <c r="B1698" s="310"/>
      <c r="C1698" s="334"/>
      <c r="D1698" s="312"/>
      <c r="E1698" s="313"/>
      <c r="F1698" s="313"/>
      <c r="G1698" s="313"/>
      <c r="H1698" s="335" t="s">
        <v>489</v>
      </c>
      <c r="I1698" s="343">
        <v>0</v>
      </c>
      <c r="J1698" s="315">
        <v>0</v>
      </c>
    </row>
    <row r="1699" spans="1:10" x14ac:dyDescent="0.25">
      <c r="A1699" s="303"/>
      <c r="B1699" s="310" t="s">
        <v>464</v>
      </c>
      <c r="C1699" s="311" t="s">
        <v>490</v>
      </c>
      <c r="D1699" s="312"/>
      <c r="E1699" s="313"/>
      <c r="F1699" s="313"/>
      <c r="G1699" s="314" t="s">
        <v>465</v>
      </c>
      <c r="H1699" s="336" t="s">
        <v>468</v>
      </c>
      <c r="I1699" s="336" t="s">
        <v>491</v>
      </c>
      <c r="J1699" s="322" t="s">
        <v>492</v>
      </c>
    </row>
    <row r="1700" spans="1:10" x14ac:dyDescent="0.25">
      <c r="A1700" s="303"/>
      <c r="B1700" s="337" t="s">
        <v>624</v>
      </c>
      <c r="C1700" s="311" t="s">
        <v>625</v>
      </c>
      <c r="D1700" s="312"/>
      <c r="E1700" s="313"/>
      <c r="F1700" s="313"/>
      <c r="G1700" s="314" t="s">
        <v>365</v>
      </c>
      <c r="H1700" s="329">
        <v>32.81</v>
      </c>
      <c r="I1700" s="329">
        <v>0.58109999999999995</v>
      </c>
      <c r="J1700" s="315">
        <v>19.065899999999999</v>
      </c>
    </row>
    <row r="1701" spans="1:10" x14ac:dyDescent="0.25">
      <c r="A1701" s="303"/>
      <c r="B1701" s="333" t="s">
        <v>556</v>
      </c>
      <c r="C1701" s="317" t="s">
        <v>557</v>
      </c>
      <c r="D1701" s="318"/>
      <c r="E1701" s="319"/>
      <c r="F1701" s="319"/>
      <c r="G1701" s="320" t="s">
        <v>365</v>
      </c>
      <c r="H1701" s="332">
        <v>68.72</v>
      </c>
      <c r="I1701" s="332">
        <v>0.68813000000000002</v>
      </c>
      <c r="J1701" s="321">
        <v>47.2883</v>
      </c>
    </row>
    <row r="1702" spans="1:10" x14ac:dyDescent="0.25">
      <c r="A1702" s="303"/>
      <c r="B1702" s="333" t="s">
        <v>628</v>
      </c>
      <c r="C1702" s="317" t="s">
        <v>629</v>
      </c>
      <c r="D1702" s="318"/>
      <c r="E1702" s="319"/>
      <c r="F1702" s="319"/>
      <c r="G1702" s="320" t="s">
        <v>560</v>
      </c>
      <c r="H1702" s="332">
        <v>0.51600000000000001</v>
      </c>
      <c r="I1702" s="332">
        <v>366.92977000000002</v>
      </c>
      <c r="J1702" s="321">
        <v>189.33580000000001</v>
      </c>
    </row>
    <row r="1703" spans="1:10" x14ac:dyDescent="0.25">
      <c r="A1703" s="303"/>
      <c r="B1703" s="333" t="s">
        <v>346</v>
      </c>
      <c r="C1703" s="317"/>
      <c r="D1703" s="318"/>
      <c r="E1703" s="319"/>
      <c r="F1703" s="319"/>
      <c r="G1703" s="320"/>
      <c r="H1703" s="332"/>
      <c r="I1703" s="332"/>
      <c r="J1703" s="321"/>
    </row>
    <row r="1704" spans="1:10" x14ac:dyDescent="0.25">
      <c r="A1704" s="303"/>
      <c r="B1704" s="333" t="s">
        <v>346</v>
      </c>
      <c r="C1704" s="317"/>
      <c r="D1704" s="318"/>
      <c r="E1704" s="319"/>
      <c r="F1704" s="319"/>
      <c r="G1704" s="320"/>
      <c r="H1704" s="332"/>
      <c r="I1704" s="332"/>
      <c r="J1704" s="321"/>
    </row>
    <row r="1705" spans="1:10" x14ac:dyDescent="0.25">
      <c r="A1705" s="303"/>
      <c r="B1705" s="333" t="s">
        <v>346</v>
      </c>
      <c r="C1705" s="317"/>
      <c r="D1705" s="318"/>
      <c r="E1705" s="319"/>
      <c r="F1705" s="319"/>
      <c r="G1705" s="320"/>
      <c r="H1705" s="332"/>
      <c r="I1705" s="332"/>
      <c r="J1705" s="321"/>
    </row>
    <row r="1706" spans="1:10" x14ac:dyDescent="0.25">
      <c r="A1706" s="303"/>
      <c r="B1706" s="333" t="s">
        <v>346</v>
      </c>
      <c r="C1706" s="317"/>
      <c r="D1706" s="318"/>
      <c r="E1706" s="319"/>
      <c r="F1706" s="319"/>
      <c r="G1706" s="320"/>
      <c r="H1706" s="332"/>
      <c r="I1706" s="332"/>
      <c r="J1706" s="321"/>
    </row>
    <row r="1707" spans="1:10" x14ac:dyDescent="0.25">
      <c r="A1707" s="303"/>
      <c r="B1707" s="310"/>
      <c r="C1707" s="334"/>
      <c r="D1707" s="312"/>
      <c r="E1707" s="313"/>
      <c r="F1707" s="313"/>
      <c r="G1707" s="313"/>
      <c r="H1707" s="343"/>
      <c r="I1707" s="335" t="s">
        <v>498</v>
      </c>
      <c r="J1707" s="315">
        <v>255.69</v>
      </c>
    </row>
    <row r="1708" spans="1:10" x14ac:dyDescent="0.25">
      <c r="A1708" s="303"/>
      <c r="B1708" s="310" t="s">
        <v>464</v>
      </c>
      <c r="C1708" s="311" t="s">
        <v>499</v>
      </c>
      <c r="D1708" s="312"/>
      <c r="E1708" s="313"/>
      <c r="F1708" s="313"/>
      <c r="G1708" s="314" t="s">
        <v>465</v>
      </c>
      <c r="H1708" s="336" t="s">
        <v>468</v>
      </c>
      <c r="I1708" s="336" t="s">
        <v>491</v>
      </c>
      <c r="J1708" s="322" t="s">
        <v>492</v>
      </c>
    </row>
    <row r="1709" spans="1:10" x14ac:dyDescent="0.25">
      <c r="A1709" s="303"/>
      <c r="B1709" s="337"/>
      <c r="C1709" s="311"/>
      <c r="D1709" s="312"/>
      <c r="E1709" s="313"/>
      <c r="F1709" s="313"/>
      <c r="G1709" s="314"/>
      <c r="H1709" s="329"/>
      <c r="I1709" s="329"/>
      <c r="J1709" s="315"/>
    </row>
    <row r="1710" spans="1:10" x14ac:dyDescent="0.25">
      <c r="A1710" s="303"/>
      <c r="B1710" s="333"/>
      <c r="C1710" s="317"/>
      <c r="D1710" s="318"/>
      <c r="E1710" s="319"/>
      <c r="F1710" s="319"/>
      <c r="G1710" s="320"/>
      <c r="H1710" s="332"/>
      <c r="I1710" s="332"/>
      <c r="J1710" s="321"/>
    </row>
    <row r="1711" spans="1:10" x14ac:dyDescent="0.25">
      <c r="A1711" s="303"/>
      <c r="B1711" s="333"/>
      <c r="C1711" s="317"/>
      <c r="D1711" s="318"/>
      <c r="E1711" s="319"/>
      <c r="F1711" s="319"/>
      <c r="G1711" s="320"/>
      <c r="H1711" s="332"/>
      <c r="I1711" s="332"/>
      <c r="J1711" s="321"/>
    </row>
    <row r="1712" spans="1:10" x14ac:dyDescent="0.25">
      <c r="A1712" s="303"/>
      <c r="B1712" s="333"/>
      <c r="C1712" s="317"/>
      <c r="D1712" s="318"/>
      <c r="E1712" s="319"/>
      <c r="F1712" s="319"/>
      <c r="G1712" s="320"/>
      <c r="H1712" s="332"/>
      <c r="I1712" s="332"/>
      <c r="J1712" s="321"/>
    </row>
    <row r="1713" spans="1:10" x14ac:dyDescent="0.25">
      <c r="A1713" s="303"/>
      <c r="B1713" s="333"/>
      <c r="C1713" s="317"/>
      <c r="D1713" s="318"/>
      <c r="E1713" s="319"/>
      <c r="F1713" s="319"/>
      <c r="G1713" s="320"/>
      <c r="H1713" s="332"/>
      <c r="I1713" s="332"/>
      <c r="J1713" s="321"/>
    </row>
    <row r="1714" spans="1:10" x14ac:dyDescent="0.25">
      <c r="A1714" s="303"/>
      <c r="B1714" s="310"/>
      <c r="C1714" s="334"/>
      <c r="D1714" s="312"/>
      <c r="E1714" s="313"/>
      <c r="F1714" s="313"/>
      <c r="G1714" s="313"/>
      <c r="H1714" s="343"/>
      <c r="I1714" s="335" t="s">
        <v>501</v>
      </c>
      <c r="J1714" s="315">
        <v>0</v>
      </c>
    </row>
    <row r="1715" spans="1:10" x14ac:dyDescent="0.25">
      <c r="A1715" s="303"/>
      <c r="B1715" s="310" t="s">
        <v>464</v>
      </c>
      <c r="C1715" s="311" t="s">
        <v>502</v>
      </c>
      <c r="D1715" s="312"/>
      <c r="E1715" s="313"/>
      <c r="F1715" s="314" t="s">
        <v>464</v>
      </c>
      <c r="G1715" s="324" t="s">
        <v>503</v>
      </c>
      <c r="H1715" s="329" t="s">
        <v>465</v>
      </c>
      <c r="I1715" s="336" t="s">
        <v>468</v>
      </c>
      <c r="J1715" s="322" t="s">
        <v>492</v>
      </c>
    </row>
    <row r="1716" spans="1:10" x14ac:dyDescent="0.25">
      <c r="A1716" s="303"/>
      <c r="B1716" s="337" t="s">
        <v>633</v>
      </c>
      <c r="C1716" s="311" t="s">
        <v>634</v>
      </c>
      <c r="D1716" s="312"/>
      <c r="E1716" s="313"/>
      <c r="F1716" s="344" t="s">
        <v>567</v>
      </c>
      <c r="G1716" s="314">
        <v>0.87165000000000004</v>
      </c>
      <c r="H1716" s="329" t="s">
        <v>370</v>
      </c>
      <c r="I1716" s="329">
        <v>1.23</v>
      </c>
      <c r="J1716" s="315">
        <v>1.0721000000000001</v>
      </c>
    </row>
    <row r="1717" spans="1:10" x14ac:dyDescent="0.25">
      <c r="A1717" s="303"/>
      <c r="B1717" s="333" t="s">
        <v>570</v>
      </c>
      <c r="C1717" s="317" t="s">
        <v>571</v>
      </c>
      <c r="D1717" s="318"/>
      <c r="E1717" s="319"/>
      <c r="F1717" s="354" t="s">
        <v>567</v>
      </c>
      <c r="G1717" s="320">
        <v>1.0322</v>
      </c>
      <c r="H1717" s="332" t="s">
        <v>370</v>
      </c>
      <c r="I1717" s="332">
        <v>1.23</v>
      </c>
      <c r="J1717" s="321">
        <v>1.2696000000000001</v>
      </c>
    </row>
    <row r="1718" spans="1:10" x14ac:dyDescent="0.25">
      <c r="A1718" s="303"/>
      <c r="B1718" s="333" t="s">
        <v>637</v>
      </c>
      <c r="C1718" s="317" t="s">
        <v>638</v>
      </c>
      <c r="D1718" s="318"/>
      <c r="E1718" s="319"/>
      <c r="F1718" s="354" t="s">
        <v>632</v>
      </c>
      <c r="G1718" s="320">
        <v>0.36692999999999998</v>
      </c>
      <c r="H1718" s="332" t="s">
        <v>370</v>
      </c>
      <c r="I1718" s="332">
        <v>26.18</v>
      </c>
      <c r="J1718" s="321">
        <v>9.6061999999999994</v>
      </c>
    </row>
    <row r="1719" spans="1:10" x14ac:dyDescent="0.25">
      <c r="A1719" s="303"/>
      <c r="B1719" s="333" t="s">
        <v>346</v>
      </c>
      <c r="C1719" s="317"/>
      <c r="D1719" s="318"/>
      <c r="E1719" s="319"/>
      <c r="F1719" s="320"/>
      <c r="G1719" s="320"/>
      <c r="H1719" s="332"/>
      <c r="I1719" s="332"/>
      <c r="J1719" s="321"/>
    </row>
    <row r="1720" spans="1:10" x14ac:dyDescent="0.25">
      <c r="A1720" s="303"/>
      <c r="B1720" s="333" t="s">
        <v>346</v>
      </c>
      <c r="C1720" s="317"/>
      <c r="D1720" s="318"/>
      <c r="E1720" s="319"/>
      <c r="F1720" s="320"/>
      <c r="G1720" s="320"/>
      <c r="H1720" s="332"/>
      <c r="I1720" s="332"/>
      <c r="J1720" s="321"/>
    </row>
    <row r="1721" spans="1:10" x14ac:dyDescent="0.25">
      <c r="A1721" s="303"/>
      <c r="B1721" s="310"/>
      <c r="C1721" s="334"/>
      <c r="D1721" s="312"/>
      <c r="E1721" s="313"/>
      <c r="F1721" s="313"/>
      <c r="G1721" s="313"/>
      <c r="H1721" s="343"/>
      <c r="I1721" s="338" t="s">
        <v>507</v>
      </c>
      <c r="J1721" s="315">
        <v>11.947900000000001</v>
      </c>
    </row>
    <row r="1722" spans="1:10" x14ac:dyDescent="0.25">
      <c r="A1722" s="303"/>
      <c r="B1722" s="310" t="s">
        <v>464</v>
      </c>
      <c r="C1722" s="311" t="s">
        <v>508</v>
      </c>
      <c r="D1722" s="345" t="s">
        <v>509</v>
      </c>
      <c r="E1722" s="324" t="s">
        <v>873</v>
      </c>
      <c r="F1722" s="324" t="s">
        <v>874</v>
      </c>
      <c r="G1722" s="324" t="s">
        <v>875</v>
      </c>
      <c r="H1722" s="336" t="s">
        <v>468</v>
      </c>
      <c r="I1722" s="324" t="s">
        <v>491</v>
      </c>
      <c r="J1722" s="322" t="s">
        <v>492</v>
      </c>
    </row>
    <row r="1723" spans="1:10" x14ac:dyDescent="0.25">
      <c r="A1723" s="303"/>
      <c r="B1723" s="337" t="s">
        <v>641</v>
      </c>
      <c r="C1723" s="311" t="s">
        <v>642</v>
      </c>
      <c r="D1723" s="345" t="s">
        <v>510</v>
      </c>
      <c r="E1723" s="314">
        <v>0</v>
      </c>
      <c r="F1723" s="314">
        <v>0</v>
      </c>
      <c r="G1723" s="314">
        <v>121</v>
      </c>
      <c r="H1723" s="329">
        <v>0.55000000000000004</v>
      </c>
      <c r="I1723" s="314">
        <v>0.87165000000000004</v>
      </c>
      <c r="J1723" s="315">
        <v>58.008299999999998</v>
      </c>
    </row>
    <row r="1724" spans="1:10" x14ac:dyDescent="0.25">
      <c r="A1724" s="303"/>
      <c r="B1724" s="333" t="s">
        <v>581</v>
      </c>
      <c r="C1724" s="317" t="s">
        <v>582</v>
      </c>
      <c r="D1724" s="346" t="s">
        <v>510</v>
      </c>
      <c r="E1724" s="320">
        <v>0</v>
      </c>
      <c r="F1724" s="320">
        <v>0</v>
      </c>
      <c r="G1724" s="320">
        <v>137.5</v>
      </c>
      <c r="H1724" s="332">
        <v>0.55000000000000004</v>
      </c>
      <c r="I1724" s="320">
        <v>1.0322</v>
      </c>
      <c r="J1724" s="321">
        <v>78.060100000000006</v>
      </c>
    </row>
    <row r="1725" spans="1:10" x14ac:dyDescent="0.25">
      <c r="A1725" s="303"/>
      <c r="B1725" s="333" t="s">
        <v>645</v>
      </c>
      <c r="C1725" s="317" t="s">
        <v>646</v>
      </c>
      <c r="D1725" s="346" t="s">
        <v>510</v>
      </c>
      <c r="E1725" s="320">
        <v>0</v>
      </c>
      <c r="F1725" s="320">
        <v>0</v>
      </c>
      <c r="G1725" s="320">
        <v>100.45</v>
      </c>
      <c r="H1725" s="332">
        <v>0.55000000000000004</v>
      </c>
      <c r="I1725" s="320">
        <v>0.36692999999999998</v>
      </c>
      <c r="J1725" s="321">
        <v>20.271999999999998</v>
      </c>
    </row>
    <row r="1726" spans="1:10" x14ac:dyDescent="0.25">
      <c r="A1726" s="303"/>
      <c r="B1726" s="333" t="s">
        <v>346</v>
      </c>
      <c r="C1726" s="317"/>
      <c r="D1726" s="346"/>
      <c r="E1726" s="320"/>
      <c r="F1726" s="320"/>
      <c r="G1726" s="320"/>
      <c r="H1726" s="332"/>
      <c r="I1726" s="320"/>
      <c r="J1726" s="321"/>
    </row>
    <row r="1727" spans="1:10" x14ac:dyDescent="0.25">
      <c r="A1727" s="303"/>
      <c r="B1727" s="333" t="s">
        <v>346</v>
      </c>
      <c r="C1727" s="317"/>
      <c r="D1727" s="346"/>
      <c r="E1727" s="320"/>
      <c r="F1727" s="320"/>
      <c r="G1727" s="320"/>
      <c r="H1727" s="332"/>
      <c r="I1727" s="320"/>
      <c r="J1727" s="321"/>
    </row>
    <row r="1728" spans="1:10" x14ac:dyDescent="0.25">
      <c r="A1728" s="303"/>
      <c r="B1728" s="333" t="s">
        <v>346</v>
      </c>
      <c r="C1728" s="317"/>
      <c r="D1728" s="346"/>
      <c r="E1728" s="320"/>
      <c r="F1728" s="320"/>
      <c r="G1728" s="320"/>
      <c r="H1728" s="332"/>
      <c r="I1728" s="320"/>
      <c r="J1728" s="321"/>
    </row>
    <row r="1729" spans="1:10" x14ac:dyDescent="0.25">
      <c r="A1729" s="303"/>
      <c r="B1729" s="333" t="s">
        <v>346</v>
      </c>
      <c r="C1729" s="317"/>
      <c r="D1729" s="346"/>
      <c r="E1729" s="320"/>
      <c r="F1729" s="320"/>
      <c r="G1729" s="320"/>
      <c r="H1729" s="332"/>
      <c r="I1729" s="320"/>
      <c r="J1729" s="321"/>
    </row>
    <row r="1730" spans="1:10" x14ac:dyDescent="0.25">
      <c r="A1730" s="303"/>
      <c r="B1730" s="310"/>
      <c r="C1730" s="334"/>
      <c r="D1730" s="312"/>
      <c r="E1730" s="313"/>
      <c r="F1730" s="313"/>
      <c r="G1730" s="313"/>
      <c r="H1730" s="313"/>
      <c r="I1730" s="338" t="s">
        <v>513</v>
      </c>
      <c r="J1730" s="315">
        <v>156.34039999999999</v>
      </c>
    </row>
    <row r="1731" spans="1:10" x14ac:dyDescent="0.25">
      <c r="A1731" s="303"/>
      <c r="B1731" s="310" t="s">
        <v>514</v>
      </c>
      <c r="C1731" s="334"/>
      <c r="D1731" s="312"/>
      <c r="E1731" s="313"/>
      <c r="F1731" s="313"/>
      <c r="G1731" s="313"/>
      <c r="H1731" s="313"/>
      <c r="I1731" s="313"/>
      <c r="J1731" s="315">
        <v>485.1157</v>
      </c>
    </row>
    <row r="1732" spans="1:10" x14ac:dyDescent="0.25">
      <c r="A1732" s="303"/>
      <c r="B1732" s="310" t="s">
        <v>515</v>
      </c>
      <c r="C1732" s="334"/>
      <c r="D1732" s="312">
        <v>0</v>
      </c>
      <c r="E1732" s="313"/>
      <c r="F1732" s="313"/>
      <c r="G1732" s="313"/>
      <c r="H1732" s="313"/>
      <c r="I1732" s="313"/>
      <c r="J1732" s="315">
        <v>0</v>
      </c>
    </row>
    <row r="1733" spans="1:10" ht="14.4" thickBot="1" x14ac:dyDescent="0.3">
      <c r="A1733" s="303"/>
      <c r="B1733" s="310" t="s">
        <v>516</v>
      </c>
      <c r="C1733" s="334"/>
      <c r="D1733" s="312"/>
      <c r="E1733" s="313"/>
      <c r="F1733" s="313"/>
      <c r="G1733" s="313"/>
      <c r="H1733" s="313"/>
      <c r="I1733" s="313"/>
      <c r="J1733" s="347">
        <v>485.12</v>
      </c>
    </row>
    <row r="1734" spans="1:10" x14ac:dyDescent="0.25">
      <c r="A1734" s="303"/>
      <c r="B1734" s="304"/>
      <c r="C1734" s="305"/>
      <c r="D1734" s="348"/>
      <c r="E1734" s="308"/>
      <c r="F1734" s="308"/>
      <c r="G1734" s="308"/>
      <c r="H1734" s="308"/>
      <c r="I1734" s="308"/>
      <c r="J1734" s="309"/>
    </row>
    <row r="1735" spans="1:10" x14ac:dyDescent="0.25">
      <c r="A1735" s="303"/>
      <c r="B1735" s="316"/>
      <c r="C1735" s="303"/>
      <c r="D1735" s="318"/>
      <c r="E1735" s="319"/>
      <c r="F1735" s="319"/>
      <c r="G1735" s="319"/>
      <c r="H1735" s="319"/>
      <c r="I1735" s="319"/>
      <c r="J1735" s="349"/>
    </row>
    <row r="1736" spans="1:10" x14ac:dyDescent="0.25">
      <c r="A1736" s="303"/>
      <c r="B1736" s="316"/>
      <c r="C1736" s="303"/>
      <c r="D1736" s="318"/>
      <c r="E1736" s="319"/>
      <c r="F1736" s="319"/>
      <c r="G1736" s="319"/>
      <c r="H1736" s="319"/>
      <c r="I1736" s="319"/>
      <c r="J1736" s="349"/>
    </row>
    <row r="1737" spans="1:10" ht="14.4" thickBot="1" x14ac:dyDescent="0.3">
      <c r="A1737" s="303"/>
      <c r="B1737" s="350"/>
      <c r="C1737" s="303"/>
      <c r="D1737" s="318"/>
      <c r="E1737" s="319"/>
      <c r="F1737" s="319"/>
      <c r="G1737" s="319"/>
      <c r="H1737" s="319"/>
      <c r="I1737" s="319"/>
      <c r="J1737" s="351"/>
    </row>
    <row r="1738" spans="1:10" x14ac:dyDescent="0.25">
      <c r="A1738" s="303"/>
      <c r="B1738" s="305"/>
      <c r="C1738" s="305"/>
      <c r="D1738" s="348"/>
      <c r="E1738" s="308"/>
      <c r="F1738" s="308"/>
      <c r="G1738" s="308"/>
      <c r="H1738" s="308"/>
      <c r="I1738" s="308"/>
      <c r="J1738" s="352"/>
    </row>
    <row r="1739" spans="1:10" ht="14.4" thickBot="1" x14ac:dyDescent="0.3">
      <c r="A1739" s="303"/>
      <c r="B1739" s="303"/>
      <c r="C1739" s="303"/>
      <c r="D1739" s="318"/>
      <c r="E1739" s="319"/>
      <c r="F1739" s="319"/>
      <c r="G1739" s="319"/>
      <c r="H1739" s="319"/>
      <c r="I1739" s="319"/>
      <c r="J1739" s="353"/>
    </row>
    <row r="1740" spans="1:10" x14ac:dyDescent="0.25">
      <c r="A1740" s="303"/>
      <c r="B1740" s="304"/>
      <c r="C1740" s="305"/>
      <c r="D1740" s="306" t="s">
        <v>463</v>
      </c>
      <c r="E1740" s="307"/>
      <c r="F1740" s="307"/>
      <c r="G1740" s="308"/>
      <c r="H1740" s="308"/>
      <c r="I1740" s="308"/>
      <c r="J1740" s="309"/>
    </row>
    <row r="1741" spans="1:10" x14ac:dyDescent="0.25">
      <c r="A1741" s="303"/>
      <c r="B1741" s="310" t="s">
        <v>464</v>
      </c>
      <c r="C1741" s="311" t="s">
        <v>134</v>
      </c>
      <c r="D1741" s="312"/>
      <c r="E1741" s="313"/>
      <c r="F1741" s="313"/>
      <c r="G1741" s="313"/>
      <c r="H1741" s="314"/>
      <c r="I1741" s="313"/>
      <c r="J1741" s="315" t="s">
        <v>465</v>
      </c>
    </row>
    <row r="1742" spans="1:10" x14ac:dyDescent="0.25">
      <c r="A1742" s="303"/>
      <c r="B1742" s="316">
        <v>3107967</v>
      </c>
      <c r="C1742" s="317" t="s">
        <v>429</v>
      </c>
      <c r="D1742" s="318"/>
      <c r="E1742" s="319"/>
      <c r="F1742" s="319"/>
      <c r="G1742" s="319"/>
      <c r="H1742" s="320"/>
      <c r="I1742" s="319"/>
      <c r="J1742" s="321" t="s">
        <v>368</v>
      </c>
    </row>
    <row r="1743" spans="1:10" x14ac:dyDescent="0.25">
      <c r="A1743" s="303"/>
      <c r="B1743" s="310"/>
      <c r="C1743" s="311"/>
      <c r="D1743" s="312"/>
      <c r="E1743" s="314"/>
      <c r="F1743" s="314" t="s">
        <v>466</v>
      </c>
      <c r="G1743" s="314"/>
      <c r="H1743" s="314" t="s">
        <v>467</v>
      </c>
      <c r="I1743" s="314"/>
      <c r="J1743" s="322" t="s">
        <v>468</v>
      </c>
    </row>
    <row r="1744" spans="1:10" x14ac:dyDescent="0.25">
      <c r="A1744" s="303"/>
      <c r="B1744" s="316" t="s">
        <v>464</v>
      </c>
      <c r="C1744" s="317" t="s">
        <v>469</v>
      </c>
      <c r="D1744" s="318"/>
      <c r="E1744" s="323" t="s">
        <v>355</v>
      </c>
      <c r="F1744" s="324" t="s">
        <v>470</v>
      </c>
      <c r="G1744" s="324" t="s">
        <v>471</v>
      </c>
      <c r="H1744" s="324" t="s">
        <v>472</v>
      </c>
      <c r="I1744" s="325" t="s">
        <v>473</v>
      </c>
      <c r="J1744" s="326" t="s">
        <v>474</v>
      </c>
    </row>
    <row r="1745" spans="1:10" x14ac:dyDescent="0.25">
      <c r="A1745" s="303"/>
      <c r="B1745" s="337" t="s">
        <v>346</v>
      </c>
      <c r="C1745" s="311"/>
      <c r="D1745" s="312"/>
      <c r="E1745" s="328"/>
      <c r="F1745" s="328"/>
      <c r="G1745" s="328"/>
      <c r="H1745" s="329"/>
      <c r="I1745" s="329"/>
      <c r="J1745" s="315"/>
    </row>
    <row r="1746" spans="1:10" x14ac:dyDescent="0.25">
      <c r="A1746" s="303"/>
      <c r="B1746" s="333" t="s">
        <v>346</v>
      </c>
      <c r="C1746" s="317"/>
      <c r="D1746" s="318"/>
      <c r="E1746" s="331"/>
      <c r="F1746" s="331"/>
      <c r="G1746" s="331"/>
      <c r="H1746" s="332"/>
      <c r="I1746" s="332"/>
      <c r="J1746" s="321"/>
    </row>
    <row r="1747" spans="1:10" x14ac:dyDescent="0.25">
      <c r="A1747" s="303"/>
      <c r="B1747" s="333" t="s">
        <v>346</v>
      </c>
      <c r="C1747" s="317"/>
      <c r="D1747" s="318"/>
      <c r="E1747" s="331"/>
      <c r="F1747" s="331"/>
      <c r="G1747" s="331"/>
      <c r="H1747" s="332"/>
      <c r="I1747" s="332"/>
      <c r="J1747" s="321"/>
    </row>
    <row r="1748" spans="1:10" x14ac:dyDescent="0.25">
      <c r="A1748" s="303"/>
      <c r="B1748" s="333" t="s">
        <v>346</v>
      </c>
      <c r="C1748" s="317"/>
      <c r="D1748" s="318"/>
      <c r="E1748" s="331"/>
      <c r="F1748" s="331"/>
      <c r="G1748" s="331"/>
      <c r="H1748" s="332"/>
      <c r="I1748" s="332"/>
      <c r="J1748" s="321"/>
    </row>
    <row r="1749" spans="1:10" x14ac:dyDescent="0.25">
      <c r="A1749" s="303"/>
      <c r="B1749" s="333" t="s">
        <v>346</v>
      </c>
      <c r="C1749" s="317"/>
      <c r="D1749" s="318"/>
      <c r="E1749" s="331"/>
      <c r="F1749" s="331"/>
      <c r="G1749" s="331"/>
      <c r="H1749" s="332"/>
      <c r="I1749" s="332"/>
      <c r="J1749" s="321"/>
    </row>
    <row r="1750" spans="1:10" x14ac:dyDescent="0.25">
      <c r="A1750" s="303"/>
      <c r="B1750" s="333" t="s">
        <v>346</v>
      </c>
      <c r="C1750" s="317"/>
      <c r="D1750" s="318"/>
      <c r="E1750" s="331"/>
      <c r="F1750" s="331"/>
      <c r="G1750" s="331"/>
      <c r="H1750" s="332"/>
      <c r="I1750" s="332"/>
      <c r="J1750" s="321"/>
    </row>
    <row r="1751" spans="1:10" x14ac:dyDescent="0.25">
      <c r="A1751" s="303"/>
      <c r="B1751" s="333" t="s">
        <v>346</v>
      </c>
      <c r="C1751" s="317"/>
      <c r="D1751" s="318"/>
      <c r="E1751" s="331"/>
      <c r="F1751" s="331"/>
      <c r="G1751" s="331"/>
      <c r="H1751" s="332"/>
      <c r="I1751" s="332"/>
      <c r="J1751" s="321"/>
    </row>
    <row r="1752" spans="1:10" x14ac:dyDescent="0.25">
      <c r="A1752" s="303"/>
      <c r="B1752" s="310"/>
      <c r="C1752" s="334"/>
      <c r="D1752" s="312"/>
      <c r="E1752" s="313"/>
      <c r="F1752" s="313"/>
      <c r="G1752" s="313"/>
      <c r="H1752" s="313"/>
      <c r="I1752" s="335" t="s">
        <v>479</v>
      </c>
      <c r="J1752" s="315">
        <v>0</v>
      </c>
    </row>
    <row r="1753" spans="1:10" x14ac:dyDescent="0.25">
      <c r="A1753" s="303"/>
      <c r="B1753" s="310" t="s">
        <v>464</v>
      </c>
      <c r="C1753" s="311" t="s">
        <v>480</v>
      </c>
      <c r="D1753" s="312"/>
      <c r="E1753" s="313"/>
      <c r="F1753" s="313"/>
      <c r="G1753" s="313"/>
      <c r="H1753" s="324" t="s">
        <v>355</v>
      </c>
      <c r="I1753" s="336" t="s">
        <v>481</v>
      </c>
      <c r="J1753" s="322" t="s">
        <v>331</v>
      </c>
    </row>
    <row r="1754" spans="1:10" x14ac:dyDescent="0.25">
      <c r="A1754" s="303"/>
      <c r="B1754" s="337" t="s">
        <v>661</v>
      </c>
      <c r="C1754" s="311" t="s">
        <v>662</v>
      </c>
      <c r="D1754" s="312"/>
      <c r="E1754" s="313"/>
      <c r="F1754" s="313"/>
      <c r="G1754" s="313"/>
      <c r="H1754" s="314">
        <v>0.2</v>
      </c>
      <c r="I1754" s="329">
        <v>24.440999999999999</v>
      </c>
      <c r="J1754" s="315">
        <v>4.8882000000000003</v>
      </c>
    </row>
    <row r="1755" spans="1:10" x14ac:dyDescent="0.25">
      <c r="A1755" s="303"/>
      <c r="B1755" s="333" t="s">
        <v>346</v>
      </c>
      <c r="C1755" s="317"/>
      <c r="D1755" s="318"/>
      <c r="E1755" s="319"/>
      <c r="F1755" s="319"/>
      <c r="G1755" s="319"/>
      <c r="H1755" s="320"/>
      <c r="I1755" s="332"/>
      <c r="J1755" s="321"/>
    </row>
    <row r="1756" spans="1:10" x14ac:dyDescent="0.25">
      <c r="A1756" s="303"/>
      <c r="B1756" s="333" t="s">
        <v>346</v>
      </c>
      <c r="C1756" s="317"/>
      <c r="D1756" s="318"/>
      <c r="E1756" s="319"/>
      <c r="F1756" s="319"/>
      <c r="G1756" s="319"/>
      <c r="H1756" s="320"/>
      <c r="I1756" s="332"/>
      <c r="J1756" s="321"/>
    </row>
    <row r="1757" spans="1:10" x14ac:dyDescent="0.25">
      <c r="A1757" s="303"/>
      <c r="B1757" s="333" t="s">
        <v>346</v>
      </c>
      <c r="C1757" s="317"/>
      <c r="D1757" s="318"/>
      <c r="E1757" s="319"/>
      <c r="F1757" s="319"/>
      <c r="G1757" s="319"/>
      <c r="H1757" s="320"/>
      <c r="I1757" s="332"/>
      <c r="J1757" s="321"/>
    </row>
    <row r="1758" spans="1:10" x14ac:dyDescent="0.25">
      <c r="A1758" s="303"/>
      <c r="B1758" s="333" t="s">
        <v>346</v>
      </c>
      <c r="C1758" s="317"/>
      <c r="D1758" s="318"/>
      <c r="E1758" s="319"/>
      <c r="F1758" s="319"/>
      <c r="G1758" s="319"/>
      <c r="H1758" s="320"/>
      <c r="I1758" s="332"/>
      <c r="J1758" s="321"/>
    </row>
    <row r="1759" spans="1:10" x14ac:dyDescent="0.25">
      <c r="A1759" s="303"/>
      <c r="B1759" s="333" t="s">
        <v>346</v>
      </c>
      <c r="C1759" s="317"/>
      <c r="D1759" s="318"/>
      <c r="E1759" s="319"/>
      <c r="F1759" s="319"/>
      <c r="G1759" s="319"/>
      <c r="H1759" s="320"/>
      <c r="I1759" s="332"/>
      <c r="J1759" s="321"/>
    </row>
    <row r="1760" spans="1:10" x14ac:dyDescent="0.25">
      <c r="A1760" s="303"/>
      <c r="B1760" s="333" t="s">
        <v>346</v>
      </c>
      <c r="C1760" s="317"/>
      <c r="D1760" s="318"/>
      <c r="E1760" s="319"/>
      <c r="F1760" s="319"/>
      <c r="G1760" s="319"/>
      <c r="H1760" s="320"/>
      <c r="I1760" s="332"/>
      <c r="J1760" s="321"/>
    </row>
    <row r="1761" spans="1:10" x14ac:dyDescent="0.25">
      <c r="A1761" s="303"/>
      <c r="B1761" s="310"/>
      <c r="C1761" s="334"/>
      <c r="D1761" s="312"/>
      <c r="E1761" s="313"/>
      <c r="F1761" s="313"/>
      <c r="G1761" s="313"/>
      <c r="H1761" s="313"/>
      <c r="I1761" s="338" t="s">
        <v>484</v>
      </c>
      <c r="J1761" s="315">
        <v>4.8882000000000003</v>
      </c>
    </row>
    <row r="1762" spans="1:10" x14ac:dyDescent="0.25">
      <c r="A1762" s="303"/>
      <c r="B1762" s="339"/>
      <c r="C1762" s="334"/>
      <c r="D1762" s="312"/>
      <c r="E1762" s="313"/>
      <c r="F1762" s="313"/>
      <c r="G1762" s="313"/>
      <c r="H1762" s="313"/>
      <c r="I1762" s="338" t="s">
        <v>485</v>
      </c>
      <c r="J1762" s="340">
        <v>4.8882000000000003</v>
      </c>
    </row>
    <row r="1763" spans="1:10" x14ac:dyDescent="0.25">
      <c r="A1763" s="303"/>
      <c r="B1763" s="339"/>
      <c r="C1763" s="341" t="s">
        <v>486</v>
      </c>
      <c r="D1763" s="312">
        <v>1</v>
      </c>
      <c r="E1763" s="313"/>
      <c r="F1763" s="313"/>
      <c r="G1763" s="313"/>
      <c r="H1763" s="313"/>
      <c r="I1763" s="338" t="s">
        <v>487</v>
      </c>
      <c r="J1763" s="340">
        <v>4.8882000000000003</v>
      </c>
    </row>
    <row r="1764" spans="1:10" x14ac:dyDescent="0.25">
      <c r="A1764" s="303"/>
      <c r="B1764" s="310"/>
      <c r="C1764" s="334"/>
      <c r="D1764" s="312"/>
      <c r="E1764" s="313"/>
      <c r="F1764" s="313"/>
      <c r="G1764" s="313"/>
      <c r="H1764" s="338" t="s">
        <v>488</v>
      </c>
      <c r="I1764" s="342">
        <v>0</v>
      </c>
      <c r="J1764" s="315">
        <v>0</v>
      </c>
    </row>
    <row r="1765" spans="1:10" x14ac:dyDescent="0.25">
      <c r="A1765" s="303"/>
      <c r="B1765" s="310"/>
      <c r="C1765" s="334"/>
      <c r="D1765" s="312"/>
      <c r="E1765" s="313"/>
      <c r="F1765" s="313"/>
      <c r="G1765" s="313"/>
      <c r="H1765" s="335" t="s">
        <v>489</v>
      </c>
      <c r="I1765" s="343">
        <v>0</v>
      </c>
      <c r="J1765" s="315">
        <v>0</v>
      </c>
    </row>
    <row r="1766" spans="1:10" x14ac:dyDescent="0.25">
      <c r="A1766" s="303"/>
      <c r="B1766" s="310" t="s">
        <v>464</v>
      </c>
      <c r="C1766" s="311" t="s">
        <v>490</v>
      </c>
      <c r="D1766" s="312"/>
      <c r="E1766" s="313"/>
      <c r="F1766" s="313"/>
      <c r="G1766" s="314" t="s">
        <v>465</v>
      </c>
      <c r="H1766" s="336" t="s">
        <v>468</v>
      </c>
      <c r="I1766" s="336" t="s">
        <v>491</v>
      </c>
      <c r="J1766" s="322" t="s">
        <v>492</v>
      </c>
    </row>
    <row r="1767" spans="1:10" x14ac:dyDescent="0.25">
      <c r="A1767" s="303"/>
      <c r="B1767" s="337" t="s">
        <v>949</v>
      </c>
      <c r="C1767" s="311" t="s">
        <v>950</v>
      </c>
      <c r="D1767" s="312"/>
      <c r="E1767" s="313"/>
      <c r="F1767" s="313"/>
      <c r="G1767" s="314" t="s">
        <v>560</v>
      </c>
      <c r="H1767" s="329">
        <v>13.2242</v>
      </c>
      <c r="I1767" s="329">
        <v>0.27345999999999998</v>
      </c>
      <c r="J1767" s="315">
        <v>3.6162999999999998</v>
      </c>
    </row>
    <row r="1768" spans="1:10" x14ac:dyDescent="0.25">
      <c r="A1768" s="303"/>
      <c r="B1768" s="333" t="s">
        <v>951</v>
      </c>
      <c r="C1768" s="317" t="s">
        <v>952</v>
      </c>
      <c r="D1768" s="318"/>
      <c r="E1768" s="319"/>
      <c r="F1768" s="319"/>
      <c r="G1768" s="320" t="s">
        <v>372</v>
      </c>
      <c r="H1768" s="332">
        <v>15.4063</v>
      </c>
      <c r="I1768" s="332">
        <v>1.8749999999999999E-2</v>
      </c>
      <c r="J1768" s="321">
        <v>0.28889999999999999</v>
      </c>
    </row>
    <row r="1769" spans="1:10" x14ac:dyDescent="0.25">
      <c r="A1769" s="303"/>
      <c r="B1769" s="333" t="s">
        <v>953</v>
      </c>
      <c r="C1769" s="317" t="s">
        <v>954</v>
      </c>
      <c r="D1769" s="318"/>
      <c r="E1769" s="319"/>
      <c r="F1769" s="319"/>
      <c r="G1769" s="320" t="s">
        <v>376</v>
      </c>
      <c r="H1769" s="332">
        <v>11.327299999999999</v>
      </c>
      <c r="I1769" s="332">
        <v>1.333E-2</v>
      </c>
      <c r="J1769" s="321">
        <v>0.151</v>
      </c>
    </row>
    <row r="1770" spans="1:10" x14ac:dyDescent="0.25">
      <c r="A1770" s="303"/>
      <c r="B1770" s="333" t="s">
        <v>346</v>
      </c>
      <c r="C1770" s="317"/>
      <c r="D1770" s="318"/>
      <c r="E1770" s="319"/>
      <c r="F1770" s="319"/>
      <c r="G1770" s="320"/>
      <c r="H1770" s="332"/>
      <c r="I1770" s="332"/>
      <c r="J1770" s="321"/>
    </row>
    <row r="1771" spans="1:10" x14ac:dyDescent="0.25">
      <c r="A1771" s="303"/>
      <c r="B1771" s="333" t="s">
        <v>346</v>
      </c>
      <c r="C1771" s="317"/>
      <c r="D1771" s="318"/>
      <c r="E1771" s="319"/>
      <c r="F1771" s="319"/>
      <c r="G1771" s="320"/>
      <c r="H1771" s="332"/>
      <c r="I1771" s="332"/>
      <c r="J1771" s="321"/>
    </row>
    <row r="1772" spans="1:10" x14ac:dyDescent="0.25">
      <c r="A1772" s="303"/>
      <c r="B1772" s="333" t="s">
        <v>346</v>
      </c>
      <c r="C1772" s="317"/>
      <c r="D1772" s="318"/>
      <c r="E1772" s="319"/>
      <c r="F1772" s="319"/>
      <c r="G1772" s="320"/>
      <c r="H1772" s="332"/>
      <c r="I1772" s="332"/>
      <c r="J1772" s="321"/>
    </row>
    <row r="1773" spans="1:10" x14ac:dyDescent="0.25">
      <c r="A1773" s="303"/>
      <c r="B1773" s="333" t="s">
        <v>346</v>
      </c>
      <c r="C1773" s="317"/>
      <c r="D1773" s="318"/>
      <c r="E1773" s="319"/>
      <c r="F1773" s="319"/>
      <c r="G1773" s="320"/>
      <c r="H1773" s="332"/>
      <c r="I1773" s="332"/>
      <c r="J1773" s="321"/>
    </row>
    <row r="1774" spans="1:10" x14ac:dyDescent="0.25">
      <c r="A1774" s="303"/>
      <c r="B1774" s="310"/>
      <c r="C1774" s="334"/>
      <c r="D1774" s="312"/>
      <c r="E1774" s="313"/>
      <c r="F1774" s="313"/>
      <c r="G1774" s="313"/>
      <c r="H1774" s="343"/>
      <c r="I1774" s="335" t="s">
        <v>498</v>
      </c>
      <c r="J1774" s="315">
        <v>4.0561999999999996</v>
      </c>
    </row>
    <row r="1775" spans="1:10" x14ac:dyDescent="0.25">
      <c r="A1775" s="303"/>
      <c r="B1775" s="310" t="s">
        <v>464</v>
      </c>
      <c r="C1775" s="311" t="s">
        <v>499</v>
      </c>
      <c r="D1775" s="312"/>
      <c r="E1775" s="313"/>
      <c r="F1775" s="313"/>
      <c r="G1775" s="314" t="s">
        <v>465</v>
      </c>
      <c r="H1775" s="336" t="s">
        <v>468</v>
      </c>
      <c r="I1775" s="336" t="s">
        <v>491</v>
      </c>
      <c r="J1775" s="322" t="s">
        <v>492</v>
      </c>
    </row>
    <row r="1776" spans="1:10" x14ac:dyDescent="0.25">
      <c r="A1776" s="303"/>
      <c r="B1776" s="337">
        <v>1400973</v>
      </c>
      <c r="C1776" s="311" t="s">
        <v>955</v>
      </c>
      <c r="D1776" s="312"/>
      <c r="E1776" s="313"/>
      <c r="F1776" s="313"/>
      <c r="G1776" s="314" t="s">
        <v>372</v>
      </c>
      <c r="H1776" s="329">
        <v>1.03</v>
      </c>
      <c r="I1776" s="329">
        <v>4.9169999999999998E-2</v>
      </c>
      <c r="J1776" s="315">
        <v>5.0599999999999999E-2</v>
      </c>
    </row>
    <row r="1777" spans="1:10" x14ac:dyDescent="0.25">
      <c r="A1777" s="303"/>
      <c r="B1777" s="333">
        <v>1419543</v>
      </c>
      <c r="C1777" s="317" t="s">
        <v>956</v>
      </c>
      <c r="D1777" s="318"/>
      <c r="E1777" s="319"/>
      <c r="F1777" s="319"/>
      <c r="G1777" s="320" t="s">
        <v>433</v>
      </c>
      <c r="H1777" s="332">
        <v>0.14000000000000001</v>
      </c>
      <c r="I1777" s="332">
        <v>1.2500000000000001E-2</v>
      </c>
      <c r="J1777" s="321">
        <v>1.8E-3</v>
      </c>
    </row>
    <row r="1778" spans="1:10" x14ac:dyDescent="0.25">
      <c r="A1778" s="303"/>
      <c r="B1778" s="333">
        <v>2408057</v>
      </c>
      <c r="C1778" s="317" t="s">
        <v>957</v>
      </c>
      <c r="D1778" s="318"/>
      <c r="E1778" s="319"/>
      <c r="F1778" s="319"/>
      <c r="G1778" s="320" t="s">
        <v>560</v>
      </c>
      <c r="H1778" s="332">
        <v>82.52</v>
      </c>
      <c r="I1778" s="332">
        <v>4.6999999999999999E-4</v>
      </c>
      <c r="J1778" s="321">
        <v>3.8800000000000001E-2</v>
      </c>
    </row>
    <row r="1779" spans="1:10" x14ac:dyDescent="0.25">
      <c r="A1779" s="303"/>
      <c r="B1779" s="333"/>
      <c r="C1779" s="317"/>
      <c r="D1779" s="318"/>
      <c r="E1779" s="319"/>
      <c r="F1779" s="319"/>
      <c r="G1779" s="320"/>
      <c r="H1779" s="332"/>
      <c r="I1779" s="332"/>
      <c r="J1779" s="321"/>
    </row>
    <row r="1780" spans="1:10" x14ac:dyDescent="0.25">
      <c r="A1780" s="303"/>
      <c r="B1780" s="333"/>
      <c r="C1780" s="317"/>
      <c r="D1780" s="318"/>
      <c r="E1780" s="319"/>
      <c r="F1780" s="319"/>
      <c r="G1780" s="320"/>
      <c r="H1780" s="332"/>
      <c r="I1780" s="332"/>
      <c r="J1780" s="321"/>
    </row>
    <row r="1781" spans="1:10" x14ac:dyDescent="0.25">
      <c r="A1781" s="303"/>
      <c r="B1781" s="310"/>
      <c r="C1781" s="334"/>
      <c r="D1781" s="312"/>
      <c r="E1781" s="313"/>
      <c r="F1781" s="313"/>
      <c r="G1781" s="313"/>
      <c r="H1781" s="343"/>
      <c r="I1781" s="335" t="s">
        <v>501</v>
      </c>
      <c r="J1781" s="315">
        <v>9.1200000000000003E-2</v>
      </c>
    </row>
    <row r="1782" spans="1:10" x14ac:dyDescent="0.25">
      <c r="A1782" s="303"/>
      <c r="B1782" s="310" t="s">
        <v>464</v>
      </c>
      <c r="C1782" s="311" t="s">
        <v>502</v>
      </c>
      <c r="D1782" s="312"/>
      <c r="E1782" s="313"/>
      <c r="F1782" s="314" t="s">
        <v>464</v>
      </c>
      <c r="G1782" s="324" t="s">
        <v>503</v>
      </c>
      <c r="H1782" s="329" t="s">
        <v>465</v>
      </c>
      <c r="I1782" s="336" t="s">
        <v>468</v>
      </c>
      <c r="J1782" s="322" t="s">
        <v>492</v>
      </c>
    </row>
    <row r="1783" spans="1:10" x14ac:dyDescent="0.25">
      <c r="A1783" s="303"/>
      <c r="B1783" s="337" t="s">
        <v>958</v>
      </c>
      <c r="C1783" s="311" t="s">
        <v>959</v>
      </c>
      <c r="D1783" s="312"/>
      <c r="E1783" s="313"/>
      <c r="F1783" s="344" t="s">
        <v>689</v>
      </c>
      <c r="G1783" s="314">
        <v>2.7E-4</v>
      </c>
      <c r="H1783" s="329" t="s">
        <v>370</v>
      </c>
      <c r="I1783" s="329">
        <v>25.38</v>
      </c>
      <c r="J1783" s="315">
        <v>6.8999999999999999E-3</v>
      </c>
    </row>
    <row r="1784" spans="1:10" x14ac:dyDescent="0.25">
      <c r="A1784" s="303"/>
      <c r="B1784" s="333" t="s">
        <v>960</v>
      </c>
      <c r="C1784" s="317" t="s">
        <v>961</v>
      </c>
      <c r="D1784" s="318"/>
      <c r="E1784" s="319"/>
      <c r="F1784" s="354" t="s">
        <v>689</v>
      </c>
      <c r="G1784" s="320">
        <v>6.9999999999999994E-5</v>
      </c>
      <c r="H1784" s="332" t="s">
        <v>370</v>
      </c>
      <c r="I1784" s="332">
        <v>25.38</v>
      </c>
      <c r="J1784" s="321">
        <v>1.8E-3</v>
      </c>
    </row>
    <row r="1785" spans="1:10" x14ac:dyDescent="0.25">
      <c r="A1785" s="303"/>
      <c r="B1785" s="333" t="s">
        <v>962</v>
      </c>
      <c r="C1785" s="317" t="s">
        <v>963</v>
      </c>
      <c r="D1785" s="318"/>
      <c r="E1785" s="319"/>
      <c r="F1785" s="354" t="s">
        <v>632</v>
      </c>
      <c r="G1785" s="320">
        <v>1.0000000000000001E-5</v>
      </c>
      <c r="H1785" s="332" t="s">
        <v>370</v>
      </c>
      <c r="I1785" s="332">
        <v>26.18</v>
      </c>
      <c r="J1785" s="321">
        <v>2.9999999999999997E-4</v>
      </c>
    </row>
    <row r="1786" spans="1:10" x14ac:dyDescent="0.25">
      <c r="A1786" s="303"/>
      <c r="B1786" s="333" t="s">
        <v>346</v>
      </c>
      <c r="C1786" s="317"/>
      <c r="D1786" s="318"/>
      <c r="E1786" s="319"/>
      <c r="F1786" s="320"/>
      <c r="G1786" s="320"/>
      <c r="H1786" s="332"/>
      <c r="I1786" s="332"/>
      <c r="J1786" s="321"/>
    </row>
    <row r="1787" spans="1:10" x14ac:dyDescent="0.25">
      <c r="A1787" s="303"/>
      <c r="B1787" s="333" t="s">
        <v>346</v>
      </c>
      <c r="C1787" s="317"/>
      <c r="D1787" s="318"/>
      <c r="E1787" s="319"/>
      <c r="F1787" s="320"/>
      <c r="G1787" s="320"/>
      <c r="H1787" s="332"/>
      <c r="I1787" s="332"/>
      <c r="J1787" s="321"/>
    </row>
    <row r="1788" spans="1:10" x14ac:dyDescent="0.25">
      <c r="A1788" s="303"/>
      <c r="B1788" s="310"/>
      <c r="C1788" s="334"/>
      <c r="D1788" s="312"/>
      <c r="E1788" s="313"/>
      <c r="F1788" s="313"/>
      <c r="G1788" s="313"/>
      <c r="H1788" s="343"/>
      <c r="I1788" s="338" t="s">
        <v>507</v>
      </c>
      <c r="J1788" s="315">
        <v>8.9999999999999993E-3</v>
      </c>
    </row>
    <row r="1789" spans="1:10" x14ac:dyDescent="0.25">
      <c r="A1789" s="303"/>
      <c r="B1789" s="310" t="s">
        <v>464</v>
      </c>
      <c r="C1789" s="311" t="s">
        <v>508</v>
      </c>
      <c r="D1789" s="345" t="s">
        <v>509</v>
      </c>
      <c r="E1789" s="324" t="s">
        <v>873</v>
      </c>
      <c r="F1789" s="324" t="s">
        <v>874</v>
      </c>
      <c r="G1789" s="324" t="s">
        <v>875</v>
      </c>
      <c r="H1789" s="336" t="s">
        <v>468</v>
      </c>
      <c r="I1789" s="324" t="s">
        <v>491</v>
      </c>
      <c r="J1789" s="322" t="s">
        <v>492</v>
      </c>
    </row>
    <row r="1790" spans="1:10" x14ac:dyDescent="0.25">
      <c r="A1790" s="303"/>
      <c r="B1790" s="337" t="s">
        <v>964</v>
      </c>
      <c r="C1790" s="311" t="s">
        <v>965</v>
      </c>
      <c r="D1790" s="345" t="s">
        <v>510</v>
      </c>
      <c r="E1790" s="314">
        <v>0</v>
      </c>
      <c r="F1790" s="314">
        <v>0</v>
      </c>
      <c r="G1790" s="314">
        <v>100.45</v>
      </c>
      <c r="H1790" s="329">
        <v>0.55000000000000004</v>
      </c>
      <c r="I1790" s="314">
        <v>2.7E-4</v>
      </c>
      <c r="J1790" s="315">
        <v>1.49E-2</v>
      </c>
    </row>
    <row r="1791" spans="1:10" x14ac:dyDescent="0.25">
      <c r="A1791" s="303"/>
      <c r="B1791" s="333" t="s">
        <v>966</v>
      </c>
      <c r="C1791" s="317" t="s">
        <v>967</v>
      </c>
      <c r="D1791" s="346" t="s">
        <v>510</v>
      </c>
      <c r="E1791" s="320">
        <v>0</v>
      </c>
      <c r="F1791" s="320">
        <v>0</v>
      </c>
      <c r="G1791" s="320">
        <v>100.45</v>
      </c>
      <c r="H1791" s="332">
        <v>0.55000000000000004</v>
      </c>
      <c r="I1791" s="320">
        <v>6.9999999999999994E-5</v>
      </c>
      <c r="J1791" s="321">
        <v>3.8999999999999998E-3</v>
      </c>
    </row>
    <row r="1792" spans="1:10" x14ac:dyDescent="0.25">
      <c r="A1792" s="303"/>
      <c r="B1792" s="333" t="s">
        <v>968</v>
      </c>
      <c r="C1792" s="317" t="s">
        <v>969</v>
      </c>
      <c r="D1792" s="346" t="s">
        <v>510</v>
      </c>
      <c r="E1792" s="320">
        <v>0</v>
      </c>
      <c r="F1792" s="320">
        <v>0</v>
      </c>
      <c r="G1792" s="320">
        <v>100.45</v>
      </c>
      <c r="H1792" s="332">
        <v>0.55000000000000004</v>
      </c>
      <c r="I1792" s="320">
        <v>1.0000000000000001E-5</v>
      </c>
      <c r="J1792" s="321">
        <v>5.9999999999999995E-4</v>
      </c>
    </row>
    <row r="1793" spans="1:10" x14ac:dyDescent="0.25">
      <c r="A1793" s="303"/>
      <c r="B1793" s="333" t="s">
        <v>346</v>
      </c>
      <c r="C1793" s="317"/>
      <c r="D1793" s="346"/>
      <c r="E1793" s="320"/>
      <c r="F1793" s="320"/>
      <c r="G1793" s="320"/>
      <c r="H1793" s="332"/>
      <c r="I1793" s="320"/>
      <c r="J1793" s="321"/>
    </row>
    <row r="1794" spans="1:10" x14ac:dyDescent="0.25">
      <c r="A1794" s="303"/>
      <c r="B1794" s="333" t="s">
        <v>346</v>
      </c>
      <c r="C1794" s="317"/>
      <c r="D1794" s="346"/>
      <c r="E1794" s="320"/>
      <c r="F1794" s="320"/>
      <c r="G1794" s="320"/>
      <c r="H1794" s="332"/>
      <c r="I1794" s="320"/>
      <c r="J1794" s="321"/>
    </row>
    <row r="1795" spans="1:10" x14ac:dyDescent="0.25">
      <c r="A1795" s="303"/>
      <c r="B1795" s="333" t="s">
        <v>346</v>
      </c>
      <c r="C1795" s="317"/>
      <c r="D1795" s="346"/>
      <c r="E1795" s="320"/>
      <c r="F1795" s="320"/>
      <c r="G1795" s="320"/>
      <c r="H1795" s="332"/>
      <c r="I1795" s="320"/>
      <c r="J1795" s="321"/>
    </row>
    <row r="1796" spans="1:10" x14ac:dyDescent="0.25">
      <c r="A1796" s="303"/>
      <c r="B1796" s="333" t="s">
        <v>346</v>
      </c>
      <c r="C1796" s="317"/>
      <c r="D1796" s="346"/>
      <c r="E1796" s="320"/>
      <c r="F1796" s="320"/>
      <c r="G1796" s="320"/>
      <c r="H1796" s="332"/>
      <c r="I1796" s="320"/>
      <c r="J1796" s="321"/>
    </row>
    <row r="1797" spans="1:10" x14ac:dyDescent="0.25">
      <c r="A1797" s="303"/>
      <c r="B1797" s="310"/>
      <c r="C1797" s="334"/>
      <c r="D1797" s="312"/>
      <c r="E1797" s="313"/>
      <c r="F1797" s="313"/>
      <c r="G1797" s="313"/>
      <c r="H1797" s="313"/>
      <c r="I1797" s="338" t="s">
        <v>513</v>
      </c>
      <c r="J1797" s="315">
        <v>1.9400000000000001E-2</v>
      </c>
    </row>
    <row r="1798" spans="1:10" x14ac:dyDescent="0.25">
      <c r="A1798" s="303"/>
      <c r="B1798" s="310" t="s">
        <v>514</v>
      </c>
      <c r="C1798" s="334"/>
      <c r="D1798" s="312"/>
      <c r="E1798" s="313"/>
      <c r="F1798" s="313"/>
      <c r="G1798" s="313"/>
      <c r="H1798" s="313"/>
      <c r="I1798" s="313"/>
      <c r="J1798" s="315">
        <v>9.0639999999999983</v>
      </c>
    </row>
    <row r="1799" spans="1:10" x14ac:dyDescent="0.25">
      <c r="A1799" s="303"/>
      <c r="B1799" s="310" t="s">
        <v>515</v>
      </c>
      <c r="C1799" s="334"/>
      <c r="D1799" s="312">
        <v>0</v>
      </c>
      <c r="E1799" s="313"/>
      <c r="F1799" s="313"/>
      <c r="G1799" s="313"/>
      <c r="H1799" s="313"/>
      <c r="I1799" s="313"/>
      <c r="J1799" s="315">
        <v>0</v>
      </c>
    </row>
    <row r="1800" spans="1:10" ht="14.4" thickBot="1" x14ac:dyDescent="0.3">
      <c r="A1800" s="303"/>
      <c r="B1800" s="310" t="s">
        <v>516</v>
      </c>
      <c r="C1800" s="334"/>
      <c r="D1800" s="312"/>
      <c r="E1800" s="313"/>
      <c r="F1800" s="313"/>
      <c r="G1800" s="313"/>
      <c r="H1800" s="313"/>
      <c r="I1800" s="313"/>
      <c r="J1800" s="347">
        <v>9.06</v>
      </c>
    </row>
    <row r="1801" spans="1:10" x14ac:dyDescent="0.25">
      <c r="A1801" s="303"/>
      <c r="B1801" s="304"/>
      <c r="C1801" s="305"/>
      <c r="D1801" s="348"/>
      <c r="E1801" s="308"/>
      <c r="F1801" s="308"/>
      <c r="G1801" s="308"/>
      <c r="H1801" s="308"/>
      <c r="I1801" s="308"/>
      <c r="J1801" s="309"/>
    </row>
    <row r="1802" spans="1:10" x14ac:dyDescent="0.25">
      <c r="A1802" s="303"/>
      <c r="B1802" s="316"/>
      <c r="C1802" s="303"/>
      <c r="D1802" s="318"/>
      <c r="E1802" s="319"/>
      <c r="F1802" s="319"/>
      <c r="G1802" s="319"/>
      <c r="H1802" s="319"/>
      <c r="I1802" s="319"/>
      <c r="J1802" s="349"/>
    </row>
    <row r="1803" spans="1:10" x14ac:dyDescent="0.25">
      <c r="A1803" s="303"/>
      <c r="B1803" s="316"/>
      <c r="C1803" s="303"/>
      <c r="D1803" s="318"/>
      <c r="E1803" s="319"/>
      <c r="F1803" s="319"/>
      <c r="G1803" s="319"/>
      <c r="H1803" s="319"/>
      <c r="I1803" s="319"/>
      <c r="J1803" s="349"/>
    </row>
    <row r="1804" spans="1:10" ht="14.4" thickBot="1" x14ac:dyDescent="0.3">
      <c r="A1804" s="303"/>
      <c r="B1804" s="350"/>
      <c r="C1804" s="303"/>
      <c r="D1804" s="318"/>
      <c r="E1804" s="319"/>
      <c r="F1804" s="319"/>
      <c r="G1804" s="319"/>
      <c r="H1804" s="319"/>
      <c r="I1804" s="319"/>
      <c r="J1804" s="351"/>
    </row>
    <row r="1805" spans="1:10" x14ac:dyDescent="0.25">
      <c r="A1805" s="303"/>
      <c r="B1805" s="305"/>
      <c r="C1805" s="305"/>
      <c r="D1805" s="348"/>
      <c r="E1805" s="308"/>
      <c r="F1805" s="308"/>
      <c r="G1805" s="308"/>
      <c r="H1805" s="308"/>
      <c r="I1805" s="308"/>
      <c r="J1805" s="352"/>
    </row>
    <row r="1806" spans="1:10" ht="14.4" thickBot="1" x14ac:dyDescent="0.3">
      <c r="A1806" s="303"/>
      <c r="B1806" s="303"/>
      <c r="C1806" s="303"/>
      <c r="D1806" s="318"/>
      <c r="E1806" s="319"/>
      <c r="F1806" s="319"/>
      <c r="G1806" s="319"/>
      <c r="H1806" s="319"/>
      <c r="I1806" s="319"/>
      <c r="J1806" s="353"/>
    </row>
    <row r="1807" spans="1:10" x14ac:dyDescent="0.25">
      <c r="A1807" s="303"/>
      <c r="B1807" s="304"/>
      <c r="C1807" s="305"/>
      <c r="D1807" s="306" t="s">
        <v>463</v>
      </c>
      <c r="E1807" s="307"/>
      <c r="F1807" s="307"/>
      <c r="G1807" s="308"/>
      <c r="H1807" s="308"/>
      <c r="I1807" s="308"/>
      <c r="J1807" s="309"/>
    </row>
    <row r="1808" spans="1:10" x14ac:dyDescent="0.25">
      <c r="A1808" s="303"/>
      <c r="B1808" s="310" t="s">
        <v>464</v>
      </c>
      <c r="C1808" s="311" t="s">
        <v>134</v>
      </c>
      <c r="D1808" s="312"/>
      <c r="E1808" s="313"/>
      <c r="F1808" s="313"/>
      <c r="G1808" s="313"/>
      <c r="H1808" s="314"/>
      <c r="I1808" s="313"/>
      <c r="J1808" s="315" t="s">
        <v>465</v>
      </c>
    </row>
    <row r="1809" spans="1:10" x14ac:dyDescent="0.25">
      <c r="A1809" s="303"/>
      <c r="B1809" s="316">
        <v>1400973</v>
      </c>
      <c r="C1809" s="317" t="s">
        <v>970</v>
      </c>
      <c r="D1809" s="318"/>
      <c r="E1809" s="319"/>
      <c r="F1809" s="319"/>
      <c r="G1809" s="319"/>
      <c r="H1809" s="320"/>
      <c r="I1809" s="319"/>
      <c r="J1809" s="321" t="s">
        <v>372</v>
      </c>
    </row>
    <row r="1810" spans="1:10" x14ac:dyDescent="0.25">
      <c r="A1810" s="303"/>
      <c r="B1810" s="310"/>
      <c r="C1810" s="311"/>
      <c r="D1810" s="312"/>
      <c r="E1810" s="314"/>
      <c r="F1810" s="314" t="s">
        <v>466</v>
      </c>
      <c r="G1810" s="314"/>
      <c r="H1810" s="314" t="s">
        <v>467</v>
      </c>
      <c r="I1810" s="314"/>
      <c r="J1810" s="322" t="s">
        <v>468</v>
      </c>
    </row>
    <row r="1811" spans="1:10" x14ac:dyDescent="0.25">
      <c r="A1811" s="303"/>
      <c r="B1811" s="316" t="s">
        <v>464</v>
      </c>
      <c r="C1811" s="317" t="s">
        <v>469</v>
      </c>
      <c r="D1811" s="318"/>
      <c r="E1811" s="323" t="s">
        <v>355</v>
      </c>
      <c r="F1811" s="324" t="s">
        <v>470</v>
      </c>
      <c r="G1811" s="324" t="s">
        <v>471</v>
      </c>
      <c r="H1811" s="324" t="s">
        <v>472</v>
      </c>
      <c r="I1811" s="325" t="s">
        <v>473</v>
      </c>
      <c r="J1811" s="326" t="s">
        <v>474</v>
      </c>
    </row>
    <row r="1812" spans="1:10" x14ac:dyDescent="0.25">
      <c r="A1812" s="303"/>
      <c r="B1812" s="327" t="s">
        <v>971</v>
      </c>
      <c r="C1812" s="311" t="s">
        <v>972</v>
      </c>
      <c r="D1812" s="312"/>
      <c r="E1812" s="328">
        <v>1</v>
      </c>
      <c r="F1812" s="328">
        <v>1</v>
      </c>
      <c r="G1812" s="328">
        <v>0</v>
      </c>
      <c r="H1812" s="329">
        <v>1.0368999999999999</v>
      </c>
      <c r="I1812" s="329">
        <v>0.56630000000000003</v>
      </c>
      <c r="J1812" s="315">
        <v>1.0368999999999999</v>
      </c>
    </row>
    <row r="1813" spans="1:10" x14ac:dyDescent="0.25">
      <c r="A1813" s="303"/>
      <c r="B1813" s="333" t="s">
        <v>346</v>
      </c>
      <c r="C1813" s="317"/>
      <c r="D1813" s="318"/>
      <c r="E1813" s="331"/>
      <c r="F1813" s="331"/>
      <c r="G1813" s="331"/>
      <c r="H1813" s="332"/>
      <c r="I1813" s="332"/>
      <c r="J1813" s="321"/>
    </row>
    <row r="1814" spans="1:10" x14ac:dyDescent="0.25">
      <c r="A1814" s="303"/>
      <c r="B1814" s="333" t="s">
        <v>346</v>
      </c>
      <c r="C1814" s="317"/>
      <c r="D1814" s="318"/>
      <c r="E1814" s="331"/>
      <c r="F1814" s="331"/>
      <c r="G1814" s="331"/>
      <c r="H1814" s="332"/>
      <c r="I1814" s="332"/>
      <c r="J1814" s="321"/>
    </row>
    <row r="1815" spans="1:10" x14ac:dyDescent="0.25">
      <c r="A1815" s="303"/>
      <c r="B1815" s="333" t="s">
        <v>346</v>
      </c>
      <c r="C1815" s="317"/>
      <c r="D1815" s="318"/>
      <c r="E1815" s="331"/>
      <c r="F1815" s="331"/>
      <c r="G1815" s="331"/>
      <c r="H1815" s="332"/>
      <c r="I1815" s="332"/>
      <c r="J1815" s="321"/>
    </row>
    <row r="1816" spans="1:10" x14ac:dyDescent="0.25">
      <c r="A1816" s="303"/>
      <c r="B1816" s="333" t="s">
        <v>346</v>
      </c>
      <c r="C1816" s="317"/>
      <c r="D1816" s="318"/>
      <c r="E1816" s="331"/>
      <c r="F1816" s="331"/>
      <c r="G1816" s="331"/>
      <c r="H1816" s="332"/>
      <c r="I1816" s="332"/>
      <c r="J1816" s="321"/>
    </row>
    <row r="1817" spans="1:10" x14ac:dyDescent="0.25">
      <c r="A1817" s="303"/>
      <c r="B1817" s="333" t="s">
        <v>346</v>
      </c>
      <c r="C1817" s="317"/>
      <c r="D1817" s="318"/>
      <c r="E1817" s="331"/>
      <c r="F1817" s="331"/>
      <c r="G1817" s="331"/>
      <c r="H1817" s="332"/>
      <c r="I1817" s="332"/>
      <c r="J1817" s="321"/>
    </row>
    <row r="1818" spans="1:10" x14ac:dyDescent="0.25">
      <c r="A1818" s="303"/>
      <c r="B1818" s="333" t="s">
        <v>346</v>
      </c>
      <c r="C1818" s="317"/>
      <c r="D1818" s="318"/>
      <c r="E1818" s="331"/>
      <c r="F1818" s="331"/>
      <c r="G1818" s="331"/>
      <c r="H1818" s="332"/>
      <c r="I1818" s="332"/>
      <c r="J1818" s="321"/>
    </row>
    <row r="1819" spans="1:10" x14ac:dyDescent="0.25">
      <c r="A1819" s="303"/>
      <c r="B1819" s="310"/>
      <c r="C1819" s="334"/>
      <c r="D1819" s="312"/>
      <c r="E1819" s="313"/>
      <c r="F1819" s="313"/>
      <c r="G1819" s="313"/>
      <c r="H1819" s="313"/>
      <c r="I1819" s="335" t="s">
        <v>479</v>
      </c>
      <c r="J1819" s="315">
        <v>1.0368999999999999</v>
      </c>
    </row>
    <row r="1820" spans="1:10" x14ac:dyDescent="0.25">
      <c r="A1820" s="303"/>
      <c r="B1820" s="310" t="s">
        <v>464</v>
      </c>
      <c r="C1820" s="311" t="s">
        <v>480</v>
      </c>
      <c r="D1820" s="312"/>
      <c r="E1820" s="313"/>
      <c r="F1820" s="313"/>
      <c r="G1820" s="313"/>
      <c r="H1820" s="324" t="s">
        <v>355</v>
      </c>
      <c r="I1820" s="336" t="s">
        <v>481</v>
      </c>
      <c r="J1820" s="322" t="s">
        <v>331</v>
      </c>
    </row>
    <row r="1821" spans="1:10" x14ac:dyDescent="0.25">
      <c r="A1821" s="303"/>
      <c r="B1821" s="337" t="s">
        <v>740</v>
      </c>
      <c r="C1821" s="311" t="s">
        <v>741</v>
      </c>
      <c r="D1821" s="312"/>
      <c r="E1821" s="313"/>
      <c r="F1821" s="313"/>
      <c r="G1821" s="313"/>
      <c r="H1821" s="314">
        <v>1</v>
      </c>
      <c r="I1821" s="329">
        <v>31.109100000000002</v>
      </c>
      <c r="J1821" s="315">
        <v>31.109100000000002</v>
      </c>
    </row>
    <row r="1822" spans="1:10" x14ac:dyDescent="0.25">
      <c r="A1822" s="303"/>
      <c r="B1822" s="333" t="s">
        <v>346</v>
      </c>
      <c r="C1822" s="317"/>
      <c r="D1822" s="318"/>
      <c r="E1822" s="319"/>
      <c r="F1822" s="319"/>
      <c r="G1822" s="319"/>
      <c r="H1822" s="320"/>
      <c r="I1822" s="332"/>
      <c r="J1822" s="321"/>
    </row>
    <row r="1823" spans="1:10" x14ac:dyDescent="0.25">
      <c r="A1823" s="303"/>
      <c r="B1823" s="333" t="s">
        <v>346</v>
      </c>
      <c r="C1823" s="317"/>
      <c r="D1823" s="318"/>
      <c r="E1823" s="319"/>
      <c r="F1823" s="319"/>
      <c r="G1823" s="319"/>
      <c r="H1823" s="320"/>
      <c r="I1823" s="332"/>
      <c r="J1823" s="321"/>
    </row>
    <row r="1824" spans="1:10" x14ac:dyDescent="0.25">
      <c r="A1824" s="303"/>
      <c r="B1824" s="333" t="s">
        <v>346</v>
      </c>
      <c r="C1824" s="317"/>
      <c r="D1824" s="318"/>
      <c r="E1824" s="319"/>
      <c r="F1824" s="319"/>
      <c r="G1824" s="319"/>
      <c r="H1824" s="320"/>
      <c r="I1824" s="332"/>
      <c r="J1824" s="321"/>
    </row>
    <row r="1825" spans="1:10" x14ac:dyDescent="0.25">
      <c r="A1825" s="303"/>
      <c r="B1825" s="333" t="s">
        <v>346</v>
      </c>
      <c r="C1825" s="317"/>
      <c r="D1825" s="318"/>
      <c r="E1825" s="319"/>
      <c r="F1825" s="319"/>
      <c r="G1825" s="319"/>
      <c r="H1825" s="320"/>
      <c r="I1825" s="332"/>
      <c r="J1825" s="321"/>
    </row>
    <row r="1826" spans="1:10" x14ac:dyDescent="0.25">
      <c r="A1826" s="303"/>
      <c r="B1826" s="333" t="s">
        <v>346</v>
      </c>
      <c r="C1826" s="317"/>
      <c r="D1826" s="318"/>
      <c r="E1826" s="319"/>
      <c r="F1826" s="319"/>
      <c r="G1826" s="319"/>
      <c r="H1826" s="320"/>
      <c r="I1826" s="332"/>
      <c r="J1826" s="321"/>
    </row>
    <row r="1827" spans="1:10" x14ac:dyDescent="0.25">
      <c r="A1827" s="303"/>
      <c r="B1827" s="333" t="s">
        <v>346</v>
      </c>
      <c r="C1827" s="317"/>
      <c r="D1827" s="318"/>
      <c r="E1827" s="319"/>
      <c r="F1827" s="319"/>
      <c r="G1827" s="319"/>
      <c r="H1827" s="320"/>
      <c r="I1827" s="332"/>
      <c r="J1827" s="321"/>
    </row>
    <row r="1828" spans="1:10" x14ac:dyDescent="0.25">
      <c r="A1828" s="303"/>
      <c r="B1828" s="310"/>
      <c r="C1828" s="334"/>
      <c r="D1828" s="312"/>
      <c r="E1828" s="313"/>
      <c r="F1828" s="313"/>
      <c r="G1828" s="313"/>
      <c r="H1828" s="313"/>
      <c r="I1828" s="338" t="s">
        <v>484</v>
      </c>
      <c r="J1828" s="315">
        <v>31.109100000000002</v>
      </c>
    </row>
    <row r="1829" spans="1:10" x14ac:dyDescent="0.25">
      <c r="A1829" s="303"/>
      <c r="B1829" s="339"/>
      <c r="C1829" s="334"/>
      <c r="D1829" s="312"/>
      <c r="E1829" s="313"/>
      <c r="F1829" s="313"/>
      <c r="G1829" s="313"/>
      <c r="H1829" s="313"/>
      <c r="I1829" s="338" t="s">
        <v>485</v>
      </c>
      <c r="J1829" s="340">
        <v>32.146000000000001</v>
      </c>
    </row>
    <row r="1830" spans="1:10" x14ac:dyDescent="0.25">
      <c r="A1830" s="303"/>
      <c r="B1830" s="339"/>
      <c r="C1830" s="341" t="s">
        <v>486</v>
      </c>
      <c r="D1830" s="312">
        <v>45.85</v>
      </c>
      <c r="E1830" s="313"/>
      <c r="F1830" s="313"/>
      <c r="G1830" s="313"/>
      <c r="H1830" s="313"/>
      <c r="I1830" s="338" t="s">
        <v>487</v>
      </c>
      <c r="J1830" s="340">
        <v>0.70109999999999995</v>
      </c>
    </row>
    <row r="1831" spans="1:10" x14ac:dyDescent="0.25">
      <c r="A1831" s="303"/>
      <c r="B1831" s="310"/>
      <c r="C1831" s="334"/>
      <c r="D1831" s="312"/>
      <c r="E1831" s="313"/>
      <c r="F1831" s="313"/>
      <c r="G1831" s="313"/>
      <c r="H1831" s="338" t="s">
        <v>488</v>
      </c>
      <c r="I1831" s="342">
        <v>0</v>
      </c>
      <c r="J1831" s="315">
        <v>0</v>
      </c>
    </row>
    <row r="1832" spans="1:10" x14ac:dyDescent="0.25">
      <c r="A1832" s="303"/>
      <c r="B1832" s="310"/>
      <c r="C1832" s="334"/>
      <c r="D1832" s="312"/>
      <c r="E1832" s="313"/>
      <c r="F1832" s="313"/>
      <c r="G1832" s="313"/>
      <c r="H1832" s="335" t="s">
        <v>489</v>
      </c>
      <c r="I1832" s="343">
        <v>0</v>
      </c>
      <c r="J1832" s="315">
        <v>0</v>
      </c>
    </row>
    <row r="1833" spans="1:10" x14ac:dyDescent="0.25">
      <c r="A1833" s="303"/>
      <c r="B1833" s="310" t="s">
        <v>464</v>
      </c>
      <c r="C1833" s="311" t="s">
        <v>490</v>
      </c>
      <c r="D1833" s="312"/>
      <c r="E1833" s="313"/>
      <c r="F1833" s="313"/>
      <c r="G1833" s="314" t="s">
        <v>465</v>
      </c>
      <c r="H1833" s="336" t="s">
        <v>468</v>
      </c>
      <c r="I1833" s="336" t="s">
        <v>491</v>
      </c>
      <c r="J1833" s="322" t="s">
        <v>492</v>
      </c>
    </row>
    <row r="1834" spans="1:10" x14ac:dyDescent="0.25">
      <c r="A1834" s="303"/>
      <c r="B1834" s="337" t="s">
        <v>973</v>
      </c>
      <c r="C1834" s="311" t="s">
        <v>974</v>
      </c>
      <c r="D1834" s="312"/>
      <c r="E1834" s="313"/>
      <c r="F1834" s="313"/>
      <c r="G1834" s="314" t="s">
        <v>365</v>
      </c>
      <c r="H1834" s="329">
        <v>9.3076000000000008</v>
      </c>
      <c r="I1834" s="329">
        <v>1.6729999999999998E-2</v>
      </c>
      <c r="J1834" s="315">
        <v>0.15570000000000001</v>
      </c>
    </row>
    <row r="1835" spans="1:10" x14ac:dyDescent="0.25">
      <c r="A1835" s="303"/>
      <c r="B1835" s="333" t="s">
        <v>975</v>
      </c>
      <c r="C1835" s="317" t="s">
        <v>976</v>
      </c>
      <c r="D1835" s="318"/>
      <c r="E1835" s="319"/>
      <c r="F1835" s="319"/>
      <c r="G1835" s="320" t="s">
        <v>560</v>
      </c>
      <c r="H1835" s="332">
        <v>35.178899999999999</v>
      </c>
      <c r="I1835" s="332">
        <v>4.9399999999999999E-3</v>
      </c>
      <c r="J1835" s="321">
        <v>0.17380000000000001</v>
      </c>
    </row>
    <row r="1836" spans="1:10" x14ac:dyDescent="0.25">
      <c r="A1836" s="303"/>
      <c r="B1836" s="333" t="s">
        <v>346</v>
      </c>
      <c r="C1836" s="317"/>
      <c r="D1836" s="318"/>
      <c r="E1836" s="319"/>
      <c r="F1836" s="319"/>
      <c r="G1836" s="320"/>
      <c r="H1836" s="332"/>
      <c r="I1836" s="332"/>
      <c r="J1836" s="321"/>
    </row>
    <row r="1837" spans="1:10" x14ac:dyDescent="0.25">
      <c r="A1837" s="303"/>
      <c r="B1837" s="333" t="s">
        <v>346</v>
      </c>
      <c r="C1837" s="317"/>
      <c r="D1837" s="318"/>
      <c r="E1837" s="319"/>
      <c r="F1837" s="319"/>
      <c r="G1837" s="320"/>
      <c r="H1837" s="332"/>
      <c r="I1837" s="332"/>
      <c r="J1837" s="321"/>
    </row>
    <row r="1838" spans="1:10" x14ac:dyDescent="0.25">
      <c r="A1838" s="303"/>
      <c r="B1838" s="333" t="s">
        <v>346</v>
      </c>
      <c r="C1838" s="317"/>
      <c r="D1838" s="318"/>
      <c r="E1838" s="319"/>
      <c r="F1838" s="319"/>
      <c r="G1838" s="320"/>
      <c r="H1838" s="332"/>
      <c r="I1838" s="332"/>
      <c r="J1838" s="321"/>
    </row>
    <row r="1839" spans="1:10" x14ac:dyDescent="0.25">
      <c r="A1839" s="303"/>
      <c r="B1839" s="333" t="s">
        <v>346</v>
      </c>
      <c r="C1839" s="317"/>
      <c r="D1839" s="318"/>
      <c r="E1839" s="319"/>
      <c r="F1839" s="319"/>
      <c r="G1839" s="320"/>
      <c r="H1839" s="332"/>
      <c r="I1839" s="332"/>
      <c r="J1839" s="321"/>
    </row>
    <row r="1840" spans="1:10" x14ac:dyDescent="0.25">
      <c r="A1840" s="303"/>
      <c r="B1840" s="333" t="s">
        <v>346</v>
      </c>
      <c r="C1840" s="317"/>
      <c r="D1840" s="318"/>
      <c r="E1840" s="319"/>
      <c r="F1840" s="319"/>
      <c r="G1840" s="320"/>
      <c r="H1840" s="332"/>
      <c r="I1840" s="332"/>
      <c r="J1840" s="321"/>
    </row>
    <row r="1841" spans="1:10" x14ac:dyDescent="0.25">
      <c r="A1841" s="303"/>
      <c r="B1841" s="310"/>
      <c r="C1841" s="334"/>
      <c r="D1841" s="312"/>
      <c r="E1841" s="313"/>
      <c r="F1841" s="313"/>
      <c r="G1841" s="313"/>
      <c r="H1841" s="343"/>
      <c r="I1841" s="335" t="s">
        <v>498</v>
      </c>
      <c r="J1841" s="315">
        <v>0.32950000000000002</v>
      </c>
    </row>
    <row r="1842" spans="1:10" x14ac:dyDescent="0.25">
      <c r="A1842" s="303"/>
      <c r="B1842" s="310" t="s">
        <v>464</v>
      </c>
      <c r="C1842" s="311" t="s">
        <v>499</v>
      </c>
      <c r="D1842" s="312"/>
      <c r="E1842" s="313"/>
      <c r="F1842" s="313"/>
      <c r="G1842" s="314" t="s">
        <v>465</v>
      </c>
      <c r="H1842" s="336" t="s">
        <v>468</v>
      </c>
      <c r="I1842" s="336" t="s">
        <v>491</v>
      </c>
      <c r="J1842" s="322" t="s">
        <v>492</v>
      </c>
    </row>
    <row r="1843" spans="1:10" x14ac:dyDescent="0.25">
      <c r="A1843" s="303"/>
      <c r="B1843" s="337"/>
      <c r="C1843" s="311"/>
      <c r="D1843" s="312"/>
      <c r="E1843" s="313"/>
      <c r="F1843" s="313"/>
      <c r="G1843" s="314"/>
      <c r="H1843" s="329"/>
      <c r="I1843" s="329"/>
      <c r="J1843" s="315"/>
    </row>
    <row r="1844" spans="1:10" x14ac:dyDescent="0.25">
      <c r="A1844" s="303"/>
      <c r="B1844" s="333"/>
      <c r="C1844" s="317"/>
      <c r="D1844" s="318"/>
      <c r="E1844" s="319"/>
      <c r="F1844" s="319"/>
      <c r="G1844" s="320"/>
      <c r="H1844" s="332"/>
      <c r="I1844" s="332"/>
      <c r="J1844" s="321"/>
    </row>
    <row r="1845" spans="1:10" x14ac:dyDescent="0.25">
      <c r="A1845" s="303"/>
      <c r="B1845" s="333"/>
      <c r="C1845" s="317"/>
      <c r="D1845" s="318"/>
      <c r="E1845" s="319"/>
      <c r="F1845" s="319"/>
      <c r="G1845" s="320"/>
      <c r="H1845" s="332"/>
      <c r="I1845" s="332"/>
      <c r="J1845" s="321"/>
    </row>
    <row r="1846" spans="1:10" x14ac:dyDescent="0.25">
      <c r="A1846" s="303"/>
      <c r="B1846" s="333"/>
      <c r="C1846" s="317"/>
      <c r="D1846" s="318"/>
      <c r="E1846" s="319"/>
      <c r="F1846" s="319"/>
      <c r="G1846" s="320"/>
      <c r="H1846" s="332"/>
      <c r="I1846" s="332"/>
      <c r="J1846" s="321"/>
    </row>
    <row r="1847" spans="1:10" x14ac:dyDescent="0.25">
      <c r="A1847" s="303"/>
      <c r="B1847" s="333"/>
      <c r="C1847" s="317"/>
      <c r="D1847" s="318"/>
      <c r="E1847" s="319"/>
      <c r="F1847" s="319"/>
      <c r="G1847" s="320"/>
      <c r="H1847" s="332"/>
      <c r="I1847" s="332"/>
      <c r="J1847" s="321"/>
    </row>
    <row r="1848" spans="1:10" x14ac:dyDescent="0.25">
      <c r="A1848" s="303"/>
      <c r="B1848" s="310"/>
      <c r="C1848" s="334"/>
      <c r="D1848" s="312"/>
      <c r="E1848" s="313"/>
      <c r="F1848" s="313"/>
      <c r="G1848" s="313"/>
      <c r="H1848" s="343"/>
      <c r="I1848" s="335" t="s">
        <v>501</v>
      </c>
      <c r="J1848" s="315">
        <v>0</v>
      </c>
    </row>
    <row r="1849" spans="1:10" x14ac:dyDescent="0.25">
      <c r="A1849" s="303"/>
      <c r="B1849" s="310" t="s">
        <v>464</v>
      </c>
      <c r="C1849" s="311" t="s">
        <v>502</v>
      </c>
      <c r="D1849" s="312"/>
      <c r="E1849" s="313"/>
      <c r="F1849" s="314" t="s">
        <v>464</v>
      </c>
      <c r="G1849" s="324" t="s">
        <v>503</v>
      </c>
      <c r="H1849" s="329" t="s">
        <v>465</v>
      </c>
      <c r="I1849" s="336" t="s">
        <v>468</v>
      </c>
      <c r="J1849" s="322" t="s">
        <v>492</v>
      </c>
    </row>
    <row r="1850" spans="1:10" x14ac:dyDescent="0.25">
      <c r="A1850" s="303"/>
      <c r="B1850" s="337" t="s">
        <v>346</v>
      </c>
      <c r="C1850" s="311"/>
      <c r="D1850" s="312"/>
      <c r="E1850" s="313"/>
      <c r="F1850" s="314"/>
      <c r="G1850" s="314"/>
      <c r="H1850" s="329"/>
      <c r="I1850" s="329"/>
      <c r="J1850" s="315"/>
    </row>
    <row r="1851" spans="1:10" x14ac:dyDescent="0.25">
      <c r="A1851" s="303"/>
      <c r="B1851" s="333" t="s">
        <v>346</v>
      </c>
      <c r="C1851" s="317"/>
      <c r="D1851" s="318"/>
      <c r="E1851" s="319"/>
      <c r="F1851" s="320"/>
      <c r="G1851" s="320"/>
      <c r="H1851" s="332"/>
      <c r="I1851" s="332"/>
      <c r="J1851" s="321"/>
    </row>
    <row r="1852" spans="1:10" x14ac:dyDescent="0.25">
      <c r="A1852" s="303"/>
      <c r="B1852" s="333" t="s">
        <v>346</v>
      </c>
      <c r="C1852" s="317"/>
      <c r="D1852" s="318"/>
      <c r="E1852" s="319"/>
      <c r="F1852" s="320"/>
      <c r="G1852" s="320"/>
      <c r="H1852" s="332"/>
      <c r="I1852" s="332"/>
      <c r="J1852" s="321"/>
    </row>
    <row r="1853" spans="1:10" x14ac:dyDescent="0.25">
      <c r="A1853" s="303"/>
      <c r="B1853" s="333" t="s">
        <v>346</v>
      </c>
      <c r="C1853" s="317"/>
      <c r="D1853" s="318"/>
      <c r="E1853" s="319"/>
      <c r="F1853" s="320"/>
      <c r="G1853" s="320"/>
      <c r="H1853" s="332"/>
      <c r="I1853" s="332"/>
      <c r="J1853" s="321"/>
    </row>
    <row r="1854" spans="1:10" x14ac:dyDescent="0.25">
      <c r="A1854" s="303"/>
      <c r="B1854" s="333" t="s">
        <v>346</v>
      </c>
      <c r="C1854" s="317"/>
      <c r="D1854" s="318"/>
      <c r="E1854" s="319"/>
      <c r="F1854" s="320"/>
      <c r="G1854" s="320"/>
      <c r="H1854" s="332"/>
      <c r="I1854" s="332"/>
      <c r="J1854" s="321"/>
    </row>
    <row r="1855" spans="1:10" x14ac:dyDescent="0.25">
      <c r="A1855" s="303"/>
      <c r="B1855" s="310"/>
      <c r="C1855" s="334"/>
      <c r="D1855" s="312"/>
      <c r="E1855" s="313"/>
      <c r="F1855" s="313"/>
      <c r="G1855" s="313"/>
      <c r="H1855" s="343"/>
      <c r="I1855" s="338" t="s">
        <v>507</v>
      </c>
      <c r="J1855" s="315">
        <v>0</v>
      </c>
    </row>
    <row r="1856" spans="1:10" x14ac:dyDescent="0.25">
      <c r="A1856" s="303"/>
      <c r="B1856" s="310" t="s">
        <v>464</v>
      </c>
      <c r="C1856" s="311" t="s">
        <v>508</v>
      </c>
      <c r="D1856" s="345" t="s">
        <v>509</v>
      </c>
      <c r="E1856" s="324" t="s">
        <v>873</v>
      </c>
      <c r="F1856" s="324" t="s">
        <v>874</v>
      </c>
      <c r="G1856" s="324" t="s">
        <v>875</v>
      </c>
      <c r="H1856" s="336" t="s">
        <v>468</v>
      </c>
      <c r="I1856" s="324" t="s">
        <v>491</v>
      </c>
      <c r="J1856" s="322" t="s">
        <v>492</v>
      </c>
    </row>
    <row r="1857" spans="1:10" x14ac:dyDescent="0.25">
      <c r="A1857" s="303"/>
      <c r="B1857" s="337" t="s">
        <v>346</v>
      </c>
      <c r="C1857" s="311"/>
      <c r="D1857" s="345"/>
      <c r="E1857" s="314"/>
      <c r="F1857" s="314"/>
      <c r="G1857" s="314"/>
      <c r="H1857" s="329"/>
      <c r="I1857" s="314"/>
      <c r="J1857" s="315"/>
    </row>
    <row r="1858" spans="1:10" x14ac:dyDescent="0.25">
      <c r="A1858" s="303"/>
      <c r="B1858" s="333" t="s">
        <v>346</v>
      </c>
      <c r="C1858" s="317"/>
      <c r="D1858" s="346"/>
      <c r="E1858" s="320"/>
      <c r="F1858" s="320"/>
      <c r="G1858" s="320"/>
      <c r="H1858" s="332"/>
      <c r="I1858" s="320"/>
      <c r="J1858" s="321"/>
    </row>
    <row r="1859" spans="1:10" x14ac:dyDescent="0.25">
      <c r="A1859" s="303"/>
      <c r="B1859" s="333" t="s">
        <v>346</v>
      </c>
      <c r="C1859" s="317"/>
      <c r="D1859" s="346"/>
      <c r="E1859" s="320"/>
      <c r="F1859" s="320"/>
      <c r="G1859" s="320"/>
      <c r="H1859" s="332"/>
      <c r="I1859" s="320"/>
      <c r="J1859" s="321"/>
    </row>
    <row r="1860" spans="1:10" x14ac:dyDescent="0.25">
      <c r="A1860" s="303"/>
      <c r="B1860" s="333" t="s">
        <v>346</v>
      </c>
      <c r="C1860" s="317"/>
      <c r="D1860" s="346"/>
      <c r="E1860" s="320"/>
      <c r="F1860" s="320"/>
      <c r="G1860" s="320"/>
      <c r="H1860" s="332"/>
      <c r="I1860" s="320"/>
      <c r="J1860" s="321"/>
    </row>
    <row r="1861" spans="1:10" x14ac:dyDescent="0.25">
      <c r="A1861" s="303"/>
      <c r="B1861" s="333" t="s">
        <v>346</v>
      </c>
      <c r="C1861" s="317"/>
      <c r="D1861" s="346"/>
      <c r="E1861" s="320"/>
      <c r="F1861" s="320"/>
      <c r="G1861" s="320"/>
      <c r="H1861" s="332"/>
      <c r="I1861" s="320"/>
      <c r="J1861" s="321"/>
    </row>
    <row r="1862" spans="1:10" x14ac:dyDescent="0.25">
      <c r="A1862" s="303"/>
      <c r="B1862" s="333" t="s">
        <v>346</v>
      </c>
      <c r="C1862" s="317"/>
      <c r="D1862" s="346"/>
      <c r="E1862" s="320"/>
      <c r="F1862" s="320"/>
      <c r="G1862" s="320"/>
      <c r="H1862" s="332"/>
      <c r="I1862" s="320"/>
      <c r="J1862" s="321"/>
    </row>
    <row r="1863" spans="1:10" x14ac:dyDescent="0.25">
      <c r="A1863" s="303"/>
      <c r="B1863" s="333" t="s">
        <v>346</v>
      </c>
      <c r="C1863" s="317"/>
      <c r="D1863" s="346"/>
      <c r="E1863" s="320"/>
      <c r="F1863" s="320"/>
      <c r="G1863" s="320"/>
      <c r="H1863" s="332"/>
      <c r="I1863" s="320"/>
      <c r="J1863" s="321"/>
    </row>
    <row r="1864" spans="1:10" x14ac:dyDescent="0.25">
      <c r="A1864" s="303"/>
      <c r="B1864" s="310"/>
      <c r="C1864" s="334"/>
      <c r="D1864" s="312"/>
      <c r="E1864" s="313"/>
      <c r="F1864" s="313"/>
      <c r="G1864" s="313"/>
      <c r="H1864" s="313"/>
      <c r="I1864" s="338" t="s">
        <v>513</v>
      </c>
      <c r="J1864" s="315">
        <v>0</v>
      </c>
    </row>
    <row r="1865" spans="1:10" x14ac:dyDescent="0.25">
      <c r="A1865" s="303"/>
      <c r="B1865" s="310" t="s">
        <v>514</v>
      </c>
      <c r="C1865" s="334"/>
      <c r="D1865" s="312"/>
      <c r="E1865" s="313"/>
      <c r="F1865" s="313"/>
      <c r="G1865" s="313"/>
      <c r="H1865" s="313"/>
      <c r="I1865" s="313"/>
      <c r="J1865" s="315">
        <v>1.0306</v>
      </c>
    </row>
    <row r="1866" spans="1:10" x14ac:dyDescent="0.25">
      <c r="A1866" s="303"/>
      <c r="B1866" s="310" t="s">
        <v>515</v>
      </c>
      <c r="C1866" s="334"/>
      <c r="D1866" s="312">
        <v>0</v>
      </c>
      <c r="E1866" s="313"/>
      <c r="F1866" s="313"/>
      <c r="G1866" s="313"/>
      <c r="H1866" s="313"/>
      <c r="I1866" s="313"/>
      <c r="J1866" s="315">
        <v>0</v>
      </c>
    </row>
    <row r="1867" spans="1:10" ht="14.4" thickBot="1" x14ac:dyDescent="0.3">
      <c r="A1867" s="303"/>
      <c r="B1867" s="310" t="s">
        <v>516</v>
      </c>
      <c r="C1867" s="334"/>
      <c r="D1867" s="312"/>
      <c r="E1867" s="313"/>
      <c r="F1867" s="313"/>
      <c r="G1867" s="313"/>
      <c r="H1867" s="313"/>
      <c r="I1867" s="313"/>
      <c r="J1867" s="347">
        <v>1.03</v>
      </c>
    </row>
    <row r="1868" spans="1:10" x14ac:dyDescent="0.25">
      <c r="A1868" s="303"/>
      <c r="B1868" s="304"/>
      <c r="C1868" s="305"/>
      <c r="D1868" s="348"/>
      <c r="E1868" s="308"/>
      <c r="F1868" s="308"/>
      <c r="G1868" s="308"/>
      <c r="H1868" s="308"/>
      <c r="I1868" s="308"/>
      <c r="J1868" s="309"/>
    </row>
    <row r="1869" spans="1:10" x14ac:dyDescent="0.25">
      <c r="A1869" s="303"/>
      <c r="B1869" s="316"/>
      <c r="C1869" s="303"/>
      <c r="D1869" s="318"/>
      <c r="E1869" s="319"/>
      <c r="F1869" s="319"/>
      <c r="G1869" s="319"/>
      <c r="H1869" s="319"/>
      <c r="I1869" s="319"/>
      <c r="J1869" s="349"/>
    </row>
    <row r="1870" spans="1:10" x14ac:dyDescent="0.25">
      <c r="A1870" s="303"/>
      <c r="B1870" s="316"/>
      <c r="C1870" s="303"/>
      <c r="D1870" s="318"/>
      <c r="E1870" s="319"/>
      <c r="F1870" s="319"/>
      <c r="G1870" s="319"/>
      <c r="H1870" s="319"/>
      <c r="I1870" s="319"/>
      <c r="J1870" s="349"/>
    </row>
    <row r="1871" spans="1:10" ht="14.4" thickBot="1" x14ac:dyDescent="0.3">
      <c r="A1871" s="303"/>
      <c r="B1871" s="350"/>
      <c r="C1871" s="303"/>
      <c r="D1871" s="318"/>
      <c r="E1871" s="319"/>
      <c r="F1871" s="319"/>
      <c r="G1871" s="319"/>
      <c r="H1871" s="319"/>
      <c r="I1871" s="319"/>
      <c r="J1871" s="351"/>
    </row>
    <row r="1872" spans="1:10" x14ac:dyDescent="0.25">
      <c r="A1872" s="303"/>
      <c r="B1872" s="305"/>
      <c r="C1872" s="305"/>
      <c r="D1872" s="348"/>
      <c r="E1872" s="308"/>
      <c r="F1872" s="308"/>
      <c r="G1872" s="308"/>
      <c r="H1872" s="308"/>
      <c r="I1872" s="308"/>
      <c r="J1872" s="352"/>
    </row>
    <row r="1873" spans="1:10" ht="14.4" thickBot="1" x14ac:dyDescent="0.3">
      <c r="A1873" s="303"/>
      <c r="B1873" s="303"/>
      <c r="C1873" s="303"/>
      <c r="D1873" s="318"/>
      <c r="E1873" s="319"/>
      <c r="F1873" s="319"/>
      <c r="G1873" s="319"/>
      <c r="H1873" s="319"/>
      <c r="I1873" s="319"/>
      <c r="J1873" s="353"/>
    </row>
    <row r="1874" spans="1:10" x14ac:dyDescent="0.25">
      <c r="A1874" s="303"/>
      <c r="B1874" s="304"/>
      <c r="C1874" s="305"/>
      <c r="D1874" s="306" t="s">
        <v>463</v>
      </c>
      <c r="E1874" s="307"/>
      <c r="F1874" s="307"/>
      <c r="G1874" s="308"/>
      <c r="H1874" s="308"/>
      <c r="I1874" s="308"/>
      <c r="J1874" s="309"/>
    </row>
    <row r="1875" spans="1:10" x14ac:dyDescent="0.25">
      <c r="A1875" s="303"/>
      <c r="B1875" s="310" t="s">
        <v>464</v>
      </c>
      <c r="C1875" s="311" t="s">
        <v>134</v>
      </c>
      <c r="D1875" s="312"/>
      <c r="E1875" s="313"/>
      <c r="F1875" s="313"/>
      <c r="G1875" s="313"/>
      <c r="H1875" s="314"/>
      <c r="I1875" s="313"/>
      <c r="J1875" s="315" t="s">
        <v>465</v>
      </c>
    </row>
    <row r="1876" spans="1:10" x14ac:dyDescent="0.25">
      <c r="A1876" s="303"/>
      <c r="B1876" s="316">
        <v>1419543</v>
      </c>
      <c r="C1876" s="317" t="s">
        <v>977</v>
      </c>
      <c r="D1876" s="318"/>
      <c r="E1876" s="319"/>
      <c r="F1876" s="319"/>
      <c r="G1876" s="319"/>
      <c r="H1876" s="320"/>
      <c r="I1876" s="319"/>
      <c r="J1876" s="321" t="s">
        <v>433</v>
      </c>
    </row>
    <row r="1877" spans="1:10" x14ac:dyDescent="0.25">
      <c r="A1877" s="303"/>
      <c r="B1877" s="310"/>
      <c r="C1877" s="311"/>
      <c r="D1877" s="312"/>
      <c r="E1877" s="314"/>
      <c r="F1877" s="314" t="s">
        <v>466</v>
      </c>
      <c r="G1877" s="314"/>
      <c r="H1877" s="314" t="s">
        <v>467</v>
      </c>
      <c r="I1877" s="314"/>
      <c r="J1877" s="322" t="s">
        <v>468</v>
      </c>
    </row>
    <row r="1878" spans="1:10" x14ac:dyDescent="0.25">
      <c r="A1878" s="303"/>
      <c r="B1878" s="316" t="s">
        <v>464</v>
      </c>
      <c r="C1878" s="317" t="s">
        <v>469</v>
      </c>
      <c r="D1878" s="318"/>
      <c r="E1878" s="323" t="s">
        <v>355</v>
      </c>
      <c r="F1878" s="324" t="s">
        <v>470</v>
      </c>
      <c r="G1878" s="324" t="s">
        <v>471</v>
      </c>
      <c r="H1878" s="324" t="s">
        <v>472</v>
      </c>
      <c r="I1878" s="325" t="s">
        <v>473</v>
      </c>
      <c r="J1878" s="326" t="s">
        <v>474</v>
      </c>
    </row>
    <row r="1879" spans="1:10" x14ac:dyDescent="0.25">
      <c r="A1879" s="303"/>
      <c r="B1879" s="327" t="s">
        <v>618</v>
      </c>
      <c r="C1879" s="311" t="s">
        <v>619</v>
      </c>
      <c r="D1879" s="312"/>
      <c r="E1879" s="328">
        <v>1</v>
      </c>
      <c r="F1879" s="328">
        <v>0.42</v>
      </c>
      <c r="G1879" s="328">
        <v>0.57999999999999996</v>
      </c>
      <c r="H1879" s="329">
        <v>3.6429</v>
      </c>
      <c r="I1879" s="329">
        <v>0.19370000000000001</v>
      </c>
      <c r="J1879" s="315">
        <v>1.6424000000000001</v>
      </c>
    </row>
    <row r="1880" spans="1:10" x14ac:dyDescent="0.25">
      <c r="A1880" s="303"/>
      <c r="B1880" s="330" t="s">
        <v>978</v>
      </c>
      <c r="C1880" s="317" t="s">
        <v>979</v>
      </c>
      <c r="D1880" s="318"/>
      <c r="E1880" s="331">
        <v>1</v>
      </c>
      <c r="F1880" s="331">
        <v>0.42</v>
      </c>
      <c r="G1880" s="331">
        <v>0.57999999999999996</v>
      </c>
      <c r="H1880" s="332">
        <v>0.1384</v>
      </c>
      <c r="I1880" s="332">
        <v>9.4100000000000003E-2</v>
      </c>
      <c r="J1880" s="321">
        <v>0.11269999999999999</v>
      </c>
    </row>
    <row r="1881" spans="1:10" x14ac:dyDescent="0.25">
      <c r="A1881" s="303"/>
      <c r="B1881" s="333" t="s">
        <v>346</v>
      </c>
      <c r="C1881" s="317"/>
      <c r="D1881" s="318"/>
      <c r="E1881" s="331"/>
      <c r="F1881" s="331"/>
      <c r="G1881" s="331"/>
      <c r="H1881" s="332"/>
      <c r="I1881" s="332"/>
      <c r="J1881" s="321"/>
    </row>
    <row r="1882" spans="1:10" x14ac:dyDescent="0.25">
      <c r="A1882" s="303"/>
      <c r="B1882" s="333" t="s">
        <v>346</v>
      </c>
      <c r="C1882" s="317"/>
      <c r="D1882" s="318"/>
      <c r="E1882" s="331"/>
      <c r="F1882" s="331"/>
      <c r="G1882" s="331"/>
      <c r="H1882" s="332"/>
      <c r="I1882" s="332"/>
      <c r="J1882" s="321"/>
    </row>
    <row r="1883" spans="1:10" x14ac:dyDescent="0.25">
      <c r="A1883" s="303"/>
      <c r="B1883" s="333" t="s">
        <v>346</v>
      </c>
      <c r="C1883" s="317"/>
      <c r="D1883" s="318"/>
      <c r="E1883" s="331"/>
      <c r="F1883" s="331"/>
      <c r="G1883" s="331"/>
      <c r="H1883" s="332"/>
      <c r="I1883" s="332"/>
      <c r="J1883" s="321"/>
    </row>
    <row r="1884" spans="1:10" x14ac:dyDescent="0.25">
      <c r="A1884" s="303"/>
      <c r="B1884" s="333" t="s">
        <v>346</v>
      </c>
      <c r="C1884" s="317"/>
      <c r="D1884" s="318"/>
      <c r="E1884" s="331"/>
      <c r="F1884" s="331"/>
      <c r="G1884" s="331"/>
      <c r="H1884" s="332"/>
      <c r="I1884" s="332"/>
      <c r="J1884" s="321"/>
    </row>
    <row r="1885" spans="1:10" x14ac:dyDescent="0.25">
      <c r="A1885" s="303"/>
      <c r="B1885" s="333" t="s">
        <v>346</v>
      </c>
      <c r="C1885" s="317"/>
      <c r="D1885" s="318"/>
      <c r="E1885" s="331"/>
      <c r="F1885" s="331"/>
      <c r="G1885" s="331"/>
      <c r="H1885" s="332"/>
      <c r="I1885" s="332"/>
      <c r="J1885" s="321"/>
    </row>
    <row r="1886" spans="1:10" x14ac:dyDescent="0.25">
      <c r="A1886" s="303"/>
      <c r="B1886" s="310"/>
      <c r="C1886" s="334"/>
      <c r="D1886" s="312"/>
      <c r="E1886" s="313"/>
      <c r="F1886" s="313"/>
      <c r="G1886" s="313"/>
      <c r="H1886" s="313"/>
      <c r="I1886" s="335" t="s">
        <v>479</v>
      </c>
      <c r="J1886" s="315">
        <v>1.7551000000000001</v>
      </c>
    </row>
    <row r="1887" spans="1:10" x14ac:dyDescent="0.25">
      <c r="A1887" s="303"/>
      <c r="B1887" s="310" t="s">
        <v>464</v>
      </c>
      <c r="C1887" s="311" t="s">
        <v>480</v>
      </c>
      <c r="D1887" s="312"/>
      <c r="E1887" s="313"/>
      <c r="F1887" s="313"/>
      <c r="G1887" s="313"/>
      <c r="H1887" s="324" t="s">
        <v>355</v>
      </c>
      <c r="I1887" s="336" t="s">
        <v>481</v>
      </c>
      <c r="J1887" s="322" t="s">
        <v>331</v>
      </c>
    </row>
    <row r="1888" spans="1:10" x14ac:dyDescent="0.25">
      <c r="A1888" s="303"/>
      <c r="B1888" s="337" t="s">
        <v>681</v>
      </c>
      <c r="C1888" s="311" t="s">
        <v>682</v>
      </c>
      <c r="D1888" s="312"/>
      <c r="E1888" s="313"/>
      <c r="F1888" s="313"/>
      <c r="G1888" s="313"/>
      <c r="H1888" s="314">
        <v>1</v>
      </c>
      <c r="I1888" s="329">
        <v>24.008600000000001</v>
      </c>
      <c r="J1888" s="315">
        <v>24.008600000000001</v>
      </c>
    </row>
    <row r="1889" spans="1:10" x14ac:dyDescent="0.25">
      <c r="A1889" s="303"/>
      <c r="B1889" s="333" t="s">
        <v>346</v>
      </c>
      <c r="C1889" s="317"/>
      <c r="D1889" s="318"/>
      <c r="E1889" s="319"/>
      <c r="F1889" s="319"/>
      <c r="G1889" s="319"/>
      <c r="H1889" s="320"/>
      <c r="I1889" s="332"/>
      <c r="J1889" s="321"/>
    </row>
    <row r="1890" spans="1:10" x14ac:dyDescent="0.25">
      <c r="A1890" s="303"/>
      <c r="B1890" s="333" t="s">
        <v>346</v>
      </c>
      <c r="C1890" s="317"/>
      <c r="D1890" s="318"/>
      <c r="E1890" s="319"/>
      <c r="F1890" s="319"/>
      <c r="G1890" s="319"/>
      <c r="H1890" s="320"/>
      <c r="I1890" s="332"/>
      <c r="J1890" s="321"/>
    </row>
    <row r="1891" spans="1:10" x14ac:dyDescent="0.25">
      <c r="A1891" s="303"/>
      <c r="B1891" s="333" t="s">
        <v>346</v>
      </c>
      <c r="C1891" s="317"/>
      <c r="D1891" s="318"/>
      <c r="E1891" s="319"/>
      <c r="F1891" s="319"/>
      <c r="G1891" s="319"/>
      <c r="H1891" s="320"/>
      <c r="I1891" s="332"/>
      <c r="J1891" s="321"/>
    </row>
    <row r="1892" spans="1:10" x14ac:dyDescent="0.25">
      <c r="A1892" s="303"/>
      <c r="B1892" s="333" t="s">
        <v>346</v>
      </c>
      <c r="C1892" s="317"/>
      <c r="D1892" s="318"/>
      <c r="E1892" s="319"/>
      <c r="F1892" s="319"/>
      <c r="G1892" s="319"/>
      <c r="H1892" s="320"/>
      <c r="I1892" s="332"/>
      <c r="J1892" s="321"/>
    </row>
    <row r="1893" spans="1:10" x14ac:dyDescent="0.25">
      <c r="A1893" s="303"/>
      <c r="B1893" s="333" t="s">
        <v>346</v>
      </c>
      <c r="C1893" s="317"/>
      <c r="D1893" s="318"/>
      <c r="E1893" s="319"/>
      <c r="F1893" s="319"/>
      <c r="G1893" s="319"/>
      <c r="H1893" s="320"/>
      <c r="I1893" s="332"/>
      <c r="J1893" s="321"/>
    </row>
    <row r="1894" spans="1:10" x14ac:dyDescent="0.25">
      <c r="A1894" s="303"/>
      <c r="B1894" s="333" t="s">
        <v>346</v>
      </c>
      <c r="C1894" s="317"/>
      <c r="D1894" s="318"/>
      <c r="E1894" s="319"/>
      <c r="F1894" s="319"/>
      <c r="G1894" s="319"/>
      <c r="H1894" s="320"/>
      <c r="I1894" s="332"/>
      <c r="J1894" s="321"/>
    </row>
    <row r="1895" spans="1:10" x14ac:dyDescent="0.25">
      <c r="A1895" s="303"/>
      <c r="B1895" s="310"/>
      <c r="C1895" s="334"/>
      <c r="D1895" s="312"/>
      <c r="E1895" s="313"/>
      <c r="F1895" s="313"/>
      <c r="G1895" s="313"/>
      <c r="H1895" s="313"/>
      <c r="I1895" s="338" t="s">
        <v>484</v>
      </c>
      <c r="J1895" s="315">
        <v>24.008600000000001</v>
      </c>
    </row>
    <row r="1896" spans="1:10" x14ac:dyDescent="0.25">
      <c r="A1896" s="303"/>
      <c r="B1896" s="339"/>
      <c r="C1896" s="334"/>
      <c r="D1896" s="312"/>
      <c r="E1896" s="313"/>
      <c r="F1896" s="313"/>
      <c r="G1896" s="313"/>
      <c r="H1896" s="313"/>
      <c r="I1896" s="338" t="s">
        <v>485</v>
      </c>
      <c r="J1896" s="340">
        <v>25.7637</v>
      </c>
    </row>
    <row r="1897" spans="1:10" x14ac:dyDescent="0.25">
      <c r="A1897" s="303"/>
      <c r="B1897" s="339"/>
      <c r="C1897" s="341" t="s">
        <v>486</v>
      </c>
      <c r="D1897" s="312">
        <v>249</v>
      </c>
      <c r="E1897" s="313"/>
      <c r="F1897" s="313"/>
      <c r="G1897" s="313"/>
      <c r="H1897" s="313"/>
      <c r="I1897" s="338" t="s">
        <v>487</v>
      </c>
      <c r="J1897" s="340">
        <v>0.10349999999999999</v>
      </c>
    </row>
    <row r="1898" spans="1:10" x14ac:dyDescent="0.25">
      <c r="A1898" s="303"/>
      <c r="B1898" s="310"/>
      <c r="C1898" s="334"/>
      <c r="D1898" s="312"/>
      <c r="E1898" s="313"/>
      <c r="F1898" s="313"/>
      <c r="G1898" s="313"/>
      <c r="H1898" s="338" t="s">
        <v>488</v>
      </c>
      <c r="I1898" s="342">
        <v>0</v>
      </c>
      <c r="J1898" s="315">
        <v>0</v>
      </c>
    </row>
    <row r="1899" spans="1:10" x14ac:dyDescent="0.25">
      <c r="A1899" s="303"/>
      <c r="B1899" s="310"/>
      <c r="C1899" s="334"/>
      <c r="D1899" s="312"/>
      <c r="E1899" s="313"/>
      <c r="F1899" s="313"/>
      <c r="G1899" s="313"/>
      <c r="H1899" s="335" t="s">
        <v>489</v>
      </c>
      <c r="I1899" s="343">
        <v>0</v>
      </c>
      <c r="J1899" s="315">
        <v>0</v>
      </c>
    </row>
    <row r="1900" spans="1:10" x14ac:dyDescent="0.25">
      <c r="A1900" s="303"/>
      <c r="B1900" s="310" t="s">
        <v>464</v>
      </c>
      <c r="C1900" s="311" t="s">
        <v>490</v>
      </c>
      <c r="D1900" s="312"/>
      <c r="E1900" s="313"/>
      <c r="F1900" s="313"/>
      <c r="G1900" s="314" t="s">
        <v>465</v>
      </c>
      <c r="H1900" s="336" t="s">
        <v>468</v>
      </c>
      <c r="I1900" s="336" t="s">
        <v>491</v>
      </c>
      <c r="J1900" s="322" t="s">
        <v>492</v>
      </c>
    </row>
    <row r="1901" spans="1:10" x14ac:dyDescent="0.25">
      <c r="A1901" s="303"/>
      <c r="B1901" s="337" t="s">
        <v>980</v>
      </c>
      <c r="C1901" s="311" t="s">
        <v>981</v>
      </c>
      <c r="D1901" s="312"/>
      <c r="E1901" s="313"/>
      <c r="F1901" s="313"/>
      <c r="G1901" s="314" t="s">
        <v>433</v>
      </c>
      <c r="H1901" s="329">
        <v>15.4313</v>
      </c>
      <c r="I1901" s="329">
        <v>2.5000000000000001E-3</v>
      </c>
      <c r="J1901" s="315">
        <v>3.8600000000000002E-2</v>
      </c>
    </row>
    <row r="1902" spans="1:10" x14ac:dyDescent="0.25">
      <c r="A1902" s="303"/>
      <c r="B1902" s="333" t="s">
        <v>346</v>
      </c>
      <c r="C1902" s="317"/>
      <c r="D1902" s="318"/>
      <c r="E1902" s="319"/>
      <c r="F1902" s="319"/>
      <c r="G1902" s="320"/>
      <c r="H1902" s="332"/>
      <c r="I1902" s="332"/>
      <c r="J1902" s="321"/>
    </row>
    <row r="1903" spans="1:10" x14ac:dyDescent="0.25">
      <c r="A1903" s="303"/>
      <c r="B1903" s="333" t="s">
        <v>346</v>
      </c>
      <c r="C1903" s="317"/>
      <c r="D1903" s="318"/>
      <c r="E1903" s="319"/>
      <c r="F1903" s="319"/>
      <c r="G1903" s="320"/>
      <c r="H1903" s="332"/>
      <c r="I1903" s="332"/>
      <c r="J1903" s="321"/>
    </row>
    <row r="1904" spans="1:10" x14ac:dyDescent="0.25">
      <c r="A1904" s="303"/>
      <c r="B1904" s="333" t="s">
        <v>346</v>
      </c>
      <c r="C1904" s="317"/>
      <c r="D1904" s="318"/>
      <c r="E1904" s="319"/>
      <c r="F1904" s="319"/>
      <c r="G1904" s="320"/>
      <c r="H1904" s="332"/>
      <c r="I1904" s="332"/>
      <c r="J1904" s="321"/>
    </row>
    <row r="1905" spans="1:10" x14ac:dyDescent="0.25">
      <c r="A1905" s="303"/>
      <c r="B1905" s="333" t="s">
        <v>346</v>
      </c>
      <c r="C1905" s="317"/>
      <c r="D1905" s="318"/>
      <c r="E1905" s="319"/>
      <c r="F1905" s="319"/>
      <c r="G1905" s="320"/>
      <c r="H1905" s="332"/>
      <c r="I1905" s="332"/>
      <c r="J1905" s="321"/>
    </row>
    <row r="1906" spans="1:10" x14ac:dyDescent="0.25">
      <c r="A1906" s="303"/>
      <c r="B1906" s="333" t="s">
        <v>346</v>
      </c>
      <c r="C1906" s="317"/>
      <c r="D1906" s="318"/>
      <c r="E1906" s="319"/>
      <c r="F1906" s="319"/>
      <c r="G1906" s="320"/>
      <c r="H1906" s="332"/>
      <c r="I1906" s="332"/>
      <c r="J1906" s="321"/>
    </row>
    <row r="1907" spans="1:10" x14ac:dyDescent="0.25">
      <c r="A1907" s="303"/>
      <c r="B1907" s="333" t="s">
        <v>346</v>
      </c>
      <c r="C1907" s="317"/>
      <c r="D1907" s="318"/>
      <c r="E1907" s="319"/>
      <c r="F1907" s="319"/>
      <c r="G1907" s="320"/>
      <c r="H1907" s="332"/>
      <c r="I1907" s="332"/>
      <c r="J1907" s="321"/>
    </row>
    <row r="1908" spans="1:10" x14ac:dyDescent="0.25">
      <c r="A1908" s="303"/>
      <c r="B1908" s="310"/>
      <c r="C1908" s="334"/>
      <c r="D1908" s="312"/>
      <c r="E1908" s="313"/>
      <c r="F1908" s="313"/>
      <c r="G1908" s="313"/>
      <c r="H1908" s="343"/>
      <c r="I1908" s="335" t="s">
        <v>498</v>
      </c>
      <c r="J1908" s="315">
        <v>3.8600000000000002E-2</v>
      </c>
    </row>
    <row r="1909" spans="1:10" x14ac:dyDescent="0.25">
      <c r="A1909" s="303"/>
      <c r="B1909" s="310" t="s">
        <v>464</v>
      </c>
      <c r="C1909" s="311" t="s">
        <v>499</v>
      </c>
      <c r="D1909" s="312"/>
      <c r="E1909" s="313"/>
      <c r="F1909" s="313"/>
      <c r="G1909" s="314" t="s">
        <v>465</v>
      </c>
      <c r="H1909" s="336" t="s">
        <v>468</v>
      </c>
      <c r="I1909" s="336" t="s">
        <v>491</v>
      </c>
      <c r="J1909" s="322" t="s">
        <v>492</v>
      </c>
    </row>
    <row r="1910" spans="1:10" x14ac:dyDescent="0.25">
      <c r="A1910" s="303"/>
      <c r="B1910" s="337"/>
      <c r="C1910" s="311"/>
      <c r="D1910" s="312"/>
      <c r="E1910" s="313"/>
      <c r="F1910" s="313"/>
      <c r="G1910" s="314"/>
      <c r="H1910" s="329"/>
      <c r="I1910" s="329"/>
      <c r="J1910" s="315"/>
    </row>
    <row r="1911" spans="1:10" x14ac:dyDescent="0.25">
      <c r="A1911" s="303"/>
      <c r="B1911" s="333"/>
      <c r="C1911" s="317"/>
      <c r="D1911" s="318"/>
      <c r="E1911" s="319"/>
      <c r="F1911" s="319"/>
      <c r="G1911" s="320"/>
      <c r="H1911" s="332"/>
      <c r="I1911" s="332"/>
      <c r="J1911" s="321"/>
    </row>
    <row r="1912" spans="1:10" x14ac:dyDescent="0.25">
      <c r="A1912" s="303"/>
      <c r="B1912" s="333"/>
      <c r="C1912" s="317"/>
      <c r="D1912" s="318"/>
      <c r="E1912" s="319"/>
      <c r="F1912" s="319"/>
      <c r="G1912" s="320"/>
      <c r="H1912" s="332"/>
      <c r="I1912" s="332"/>
      <c r="J1912" s="321"/>
    </row>
    <row r="1913" spans="1:10" x14ac:dyDescent="0.25">
      <c r="A1913" s="303"/>
      <c r="B1913" s="333"/>
      <c r="C1913" s="317"/>
      <c r="D1913" s="318"/>
      <c r="E1913" s="319"/>
      <c r="F1913" s="319"/>
      <c r="G1913" s="320"/>
      <c r="H1913" s="332"/>
      <c r="I1913" s="332"/>
      <c r="J1913" s="321"/>
    </row>
    <row r="1914" spans="1:10" x14ac:dyDescent="0.25">
      <c r="A1914" s="303"/>
      <c r="B1914" s="333"/>
      <c r="C1914" s="317"/>
      <c r="D1914" s="318"/>
      <c r="E1914" s="319"/>
      <c r="F1914" s="319"/>
      <c r="G1914" s="320"/>
      <c r="H1914" s="332"/>
      <c r="I1914" s="332"/>
      <c r="J1914" s="321"/>
    </row>
    <row r="1915" spans="1:10" x14ac:dyDescent="0.25">
      <c r="A1915" s="303"/>
      <c r="B1915" s="310"/>
      <c r="C1915" s="334"/>
      <c r="D1915" s="312"/>
      <c r="E1915" s="313"/>
      <c r="F1915" s="313"/>
      <c r="G1915" s="313"/>
      <c r="H1915" s="343"/>
      <c r="I1915" s="335" t="s">
        <v>501</v>
      </c>
      <c r="J1915" s="315">
        <v>0</v>
      </c>
    </row>
    <row r="1916" spans="1:10" x14ac:dyDescent="0.25">
      <c r="A1916" s="303"/>
      <c r="B1916" s="310" t="s">
        <v>464</v>
      </c>
      <c r="C1916" s="311" t="s">
        <v>502</v>
      </c>
      <c r="D1916" s="312"/>
      <c r="E1916" s="313"/>
      <c r="F1916" s="314" t="s">
        <v>464</v>
      </c>
      <c r="G1916" s="324" t="s">
        <v>503</v>
      </c>
      <c r="H1916" s="329" t="s">
        <v>465</v>
      </c>
      <c r="I1916" s="336" t="s">
        <v>468</v>
      </c>
      <c r="J1916" s="322" t="s">
        <v>492</v>
      </c>
    </row>
    <row r="1917" spans="1:10" x14ac:dyDescent="0.25">
      <c r="A1917" s="303"/>
      <c r="B1917" s="337" t="s">
        <v>346</v>
      </c>
      <c r="C1917" s="311"/>
      <c r="D1917" s="312"/>
      <c r="E1917" s="313"/>
      <c r="F1917" s="314"/>
      <c r="G1917" s="314"/>
      <c r="H1917" s="329"/>
      <c r="I1917" s="329"/>
      <c r="J1917" s="315"/>
    </row>
    <row r="1918" spans="1:10" x14ac:dyDescent="0.25">
      <c r="A1918" s="303"/>
      <c r="B1918" s="333" t="s">
        <v>346</v>
      </c>
      <c r="C1918" s="317"/>
      <c r="D1918" s="318"/>
      <c r="E1918" s="319"/>
      <c r="F1918" s="320"/>
      <c r="G1918" s="320"/>
      <c r="H1918" s="332"/>
      <c r="I1918" s="332"/>
      <c r="J1918" s="321"/>
    </row>
    <row r="1919" spans="1:10" x14ac:dyDescent="0.25">
      <c r="A1919" s="303"/>
      <c r="B1919" s="333" t="s">
        <v>346</v>
      </c>
      <c r="C1919" s="317"/>
      <c r="D1919" s="318"/>
      <c r="E1919" s="319"/>
      <c r="F1919" s="320"/>
      <c r="G1919" s="320"/>
      <c r="H1919" s="332"/>
      <c r="I1919" s="332"/>
      <c r="J1919" s="321"/>
    </row>
    <row r="1920" spans="1:10" x14ac:dyDescent="0.25">
      <c r="A1920" s="303"/>
      <c r="B1920" s="333" t="s">
        <v>346</v>
      </c>
      <c r="C1920" s="317"/>
      <c r="D1920" s="318"/>
      <c r="E1920" s="319"/>
      <c r="F1920" s="320"/>
      <c r="G1920" s="320"/>
      <c r="H1920" s="332"/>
      <c r="I1920" s="332"/>
      <c r="J1920" s="321"/>
    </row>
    <row r="1921" spans="1:10" x14ac:dyDescent="0.25">
      <c r="A1921" s="303"/>
      <c r="B1921" s="333" t="s">
        <v>346</v>
      </c>
      <c r="C1921" s="317"/>
      <c r="D1921" s="318"/>
      <c r="E1921" s="319"/>
      <c r="F1921" s="320"/>
      <c r="G1921" s="320"/>
      <c r="H1921" s="332"/>
      <c r="I1921" s="332"/>
      <c r="J1921" s="321"/>
    </row>
    <row r="1922" spans="1:10" x14ac:dyDescent="0.25">
      <c r="A1922" s="303"/>
      <c r="B1922" s="310"/>
      <c r="C1922" s="334"/>
      <c r="D1922" s="312"/>
      <c r="E1922" s="313"/>
      <c r="F1922" s="313"/>
      <c r="G1922" s="313"/>
      <c r="H1922" s="343"/>
      <c r="I1922" s="338" t="s">
        <v>507</v>
      </c>
      <c r="J1922" s="315">
        <v>0</v>
      </c>
    </row>
    <row r="1923" spans="1:10" x14ac:dyDescent="0.25">
      <c r="A1923" s="303"/>
      <c r="B1923" s="310" t="s">
        <v>464</v>
      </c>
      <c r="C1923" s="311" t="s">
        <v>508</v>
      </c>
      <c r="D1923" s="345" t="s">
        <v>509</v>
      </c>
      <c r="E1923" s="324" t="s">
        <v>873</v>
      </c>
      <c r="F1923" s="324" t="s">
        <v>874</v>
      </c>
      <c r="G1923" s="324" t="s">
        <v>875</v>
      </c>
      <c r="H1923" s="336" t="s">
        <v>468</v>
      </c>
      <c r="I1923" s="324" t="s">
        <v>491</v>
      </c>
      <c r="J1923" s="322" t="s">
        <v>492</v>
      </c>
    </row>
    <row r="1924" spans="1:10" x14ac:dyDescent="0.25">
      <c r="A1924" s="303"/>
      <c r="B1924" s="337" t="s">
        <v>346</v>
      </c>
      <c r="C1924" s="311"/>
      <c r="D1924" s="345"/>
      <c r="E1924" s="314"/>
      <c r="F1924" s="314"/>
      <c r="G1924" s="314"/>
      <c r="H1924" s="329"/>
      <c r="I1924" s="314"/>
      <c r="J1924" s="315"/>
    </row>
    <row r="1925" spans="1:10" x14ac:dyDescent="0.25">
      <c r="A1925" s="303"/>
      <c r="B1925" s="333" t="s">
        <v>346</v>
      </c>
      <c r="C1925" s="317"/>
      <c r="D1925" s="346"/>
      <c r="E1925" s="320"/>
      <c r="F1925" s="320"/>
      <c r="G1925" s="320"/>
      <c r="H1925" s="332"/>
      <c r="I1925" s="320"/>
      <c r="J1925" s="321"/>
    </row>
    <row r="1926" spans="1:10" x14ac:dyDescent="0.25">
      <c r="A1926" s="303"/>
      <c r="B1926" s="333" t="s">
        <v>346</v>
      </c>
      <c r="C1926" s="317"/>
      <c r="D1926" s="346"/>
      <c r="E1926" s="320"/>
      <c r="F1926" s="320"/>
      <c r="G1926" s="320"/>
      <c r="H1926" s="332"/>
      <c r="I1926" s="320"/>
      <c r="J1926" s="321"/>
    </row>
    <row r="1927" spans="1:10" x14ac:dyDescent="0.25">
      <c r="A1927" s="303"/>
      <c r="B1927" s="333" t="s">
        <v>346</v>
      </c>
      <c r="C1927" s="317"/>
      <c r="D1927" s="346"/>
      <c r="E1927" s="320"/>
      <c r="F1927" s="320"/>
      <c r="G1927" s="320"/>
      <c r="H1927" s="332"/>
      <c r="I1927" s="320"/>
      <c r="J1927" s="321"/>
    </row>
    <row r="1928" spans="1:10" x14ac:dyDescent="0.25">
      <c r="A1928" s="303"/>
      <c r="B1928" s="333" t="s">
        <v>346</v>
      </c>
      <c r="C1928" s="317"/>
      <c r="D1928" s="346"/>
      <c r="E1928" s="320"/>
      <c r="F1928" s="320"/>
      <c r="G1928" s="320"/>
      <c r="H1928" s="332"/>
      <c r="I1928" s="320"/>
      <c r="J1928" s="321"/>
    </row>
    <row r="1929" spans="1:10" x14ac:dyDescent="0.25">
      <c r="A1929" s="303"/>
      <c r="B1929" s="333" t="s">
        <v>346</v>
      </c>
      <c r="C1929" s="317"/>
      <c r="D1929" s="346"/>
      <c r="E1929" s="320"/>
      <c r="F1929" s="320"/>
      <c r="G1929" s="320"/>
      <c r="H1929" s="332"/>
      <c r="I1929" s="320"/>
      <c r="J1929" s="321"/>
    </row>
    <row r="1930" spans="1:10" x14ac:dyDescent="0.25">
      <c r="A1930" s="303"/>
      <c r="B1930" s="333" t="s">
        <v>346</v>
      </c>
      <c r="C1930" s="317"/>
      <c r="D1930" s="346"/>
      <c r="E1930" s="320"/>
      <c r="F1930" s="320"/>
      <c r="G1930" s="320"/>
      <c r="H1930" s="332"/>
      <c r="I1930" s="320"/>
      <c r="J1930" s="321"/>
    </row>
    <row r="1931" spans="1:10" x14ac:dyDescent="0.25">
      <c r="A1931" s="303"/>
      <c r="B1931" s="310"/>
      <c r="C1931" s="334"/>
      <c r="D1931" s="312"/>
      <c r="E1931" s="313"/>
      <c r="F1931" s="313"/>
      <c r="G1931" s="313"/>
      <c r="H1931" s="313"/>
      <c r="I1931" s="338" t="s">
        <v>513</v>
      </c>
      <c r="J1931" s="315">
        <v>0</v>
      </c>
    </row>
    <row r="1932" spans="1:10" x14ac:dyDescent="0.25">
      <c r="A1932" s="303"/>
      <c r="B1932" s="310" t="s">
        <v>514</v>
      </c>
      <c r="C1932" s="334"/>
      <c r="D1932" s="312"/>
      <c r="E1932" s="313"/>
      <c r="F1932" s="313"/>
      <c r="G1932" s="313"/>
      <c r="H1932" s="313"/>
      <c r="I1932" s="313"/>
      <c r="J1932" s="315">
        <v>0.1421</v>
      </c>
    </row>
    <row r="1933" spans="1:10" x14ac:dyDescent="0.25">
      <c r="A1933" s="303"/>
      <c r="B1933" s="310" t="s">
        <v>515</v>
      </c>
      <c r="C1933" s="334"/>
      <c r="D1933" s="312">
        <v>0</v>
      </c>
      <c r="E1933" s="313"/>
      <c r="F1933" s="313"/>
      <c r="G1933" s="313"/>
      <c r="H1933" s="313"/>
      <c r="I1933" s="313"/>
      <c r="J1933" s="315">
        <v>0</v>
      </c>
    </row>
    <row r="1934" spans="1:10" ht="14.4" thickBot="1" x14ac:dyDescent="0.3">
      <c r="A1934" s="303"/>
      <c r="B1934" s="310" t="s">
        <v>516</v>
      </c>
      <c r="C1934" s="334"/>
      <c r="D1934" s="312"/>
      <c r="E1934" s="313"/>
      <c r="F1934" s="313"/>
      <c r="G1934" s="313"/>
      <c r="H1934" s="313"/>
      <c r="I1934" s="313"/>
      <c r="J1934" s="347">
        <v>0.14000000000000001</v>
      </c>
    </row>
    <row r="1935" spans="1:10" x14ac:dyDescent="0.25">
      <c r="A1935" s="303"/>
      <c r="B1935" s="304"/>
      <c r="C1935" s="305"/>
      <c r="D1935" s="348"/>
      <c r="E1935" s="308"/>
      <c r="F1935" s="308"/>
      <c r="G1935" s="308"/>
      <c r="H1935" s="308"/>
      <c r="I1935" s="308"/>
      <c r="J1935" s="309"/>
    </row>
    <row r="1936" spans="1:10" x14ac:dyDescent="0.25">
      <c r="A1936" s="303"/>
      <c r="B1936" s="316"/>
      <c r="C1936" s="303"/>
      <c r="D1936" s="318"/>
      <c r="E1936" s="319"/>
      <c r="F1936" s="319"/>
      <c r="G1936" s="319"/>
      <c r="H1936" s="319"/>
      <c r="I1936" s="319"/>
      <c r="J1936" s="349"/>
    </row>
    <row r="1937" spans="1:10" x14ac:dyDescent="0.25">
      <c r="A1937" s="303"/>
      <c r="B1937" s="316"/>
      <c r="C1937" s="303"/>
      <c r="D1937" s="318"/>
      <c r="E1937" s="319"/>
      <c r="F1937" s="319"/>
      <c r="G1937" s="319"/>
      <c r="H1937" s="319"/>
      <c r="I1937" s="319"/>
      <c r="J1937" s="349"/>
    </row>
    <row r="1938" spans="1:10" ht="14.4" thickBot="1" x14ac:dyDescent="0.3">
      <c r="A1938" s="303"/>
      <c r="B1938" s="350"/>
      <c r="C1938" s="303"/>
      <c r="D1938" s="318"/>
      <c r="E1938" s="319"/>
      <c r="F1938" s="319"/>
      <c r="G1938" s="319"/>
      <c r="H1938" s="319"/>
      <c r="I1938" s="319"/>
      <c r="J1938" s="351"/>
    </row>
    <row r="1939" spans="1:10" x14ac:dyDescent="0.25">
      <c r="A1939" s="303"/>
      <c r="B1939" s="305"/>
      <c r="C1939" s="305"/>
      <c r="D1939" s="348"/>
      <c r="E1939" s="308"/>
      <c r="F1939" s="308"/>
      <c r="G1939" s="308"/>
      <c r="H1939" s="308"/>
      <c r="I1939" s="308"/>
      <c r="J1939" s="352"/>
    </row>
    <row r="1940" spans="1:10" ht="14.4" thickBot="1" x14ac:dyDescent="0.3">
      <c r="A1940" s="303"/>
      <c r="B1940" s="303"/>
      <c r="C1940" s="303"/>
      <c r="D1940" s="318"/>
      <c r="E1940" s="319"/>
      <c r="F1940" s="319"/>
      <c r="G1940" s="319"/>
      <c r="H1940" s="319"/>
      <c r="I1940" s="319"/>
      <c r="J1940" s="353"/>
    </row>
    <row r="1941" spans="1:10" x14ac:dyDescent="0.25">
      <c r="A1941" s="303"/>
      <c r="B1941" s="304"/>
      <c r="C1941" s="305"/>
      <c r="D1941" s="306" t="s">
        <v>463</v>
      </c>
      <c r="E1941" s="307"/>
      <c r="F1941" s="307"/>
      <c r="G1941" s="308"/>
      <c r="H1941" s="308"/>
      <c r="I1941" s="308"/>
      <c r="J1941" s="309"/>
    </row>
    <row r="1942" spans="1:10" x14ac:dyDescent="0.25">
      <c r="A1942" s="303"/>
      <c r="B1942" s="310" t="s">
        <v>464</v>
      </c>
      <c r="C1942" s="311" t="s">
        <v>134</v>
      </c>
      <c r="D1942" s="312"/>
      <c r="E1942" s="313"/>
      <c r="F1942" s="313"/>
      <c r="G1942" s="313"/>
      <c r="H1942" s="314"/>
      <c r="I1942" s="313"/>
      <c r="J1942" s="315" t="s">
        <v>465</v>
      </c>
    </row>
    <row r="1943" spans="1:10" x14ac:dyDescent="0.25">
      <c r="A1943" s="303"/>
      <c r="B1943" s="316">
        <v>2408057</v>
      </c>
      <c r="C1943" s="317" t="s">
        <v>982</v>
      </c>
      <c r="D1943" s="318"/>
      <c r="E1943" s="319"/>
      <c r="F1943" s="319"/>
      <c r="G1943" s="319"/>
      <c r="H1943" s="320"/>
      <c r="I1943" s="319"/>
      <c r="J1943" s="321" t="s">
        <v>560</v>
      </c>
    </row>
    <row r="1944" spans="1:10" x14ac:dyDescent="0.25">
      <c r="A1944" s="303"/>
      <c r="B1944" s="310"/>
      <c r="C1944" s="311"/>
      <c r="D1944" s="312"/>
      <c r="E1944" s="314"/>
      <c r="F1944" s="314" t="s">
        <v>466</v>
      </c>
      <c r="G1944" s="314"/>
      <c r="H1944" s="314" t="s">
        <v>467</v>
      </c>
      <c r="I1944" s="314"/>
      <c r="J1944" s="322" t="s">
        <v>468</v>
      </c>
    </row>
    <row r="1945" spans="1:10" x14ac:dyDescent="0.25">
      <c r="A1945" s="303"/>
      <c r="B1945" s="316" t="s">
        <v>464</v>
      </c>
      <c r="C1945" s="317" t="s">
        <v>469</v>
      </c>
      <c r="D1945" s="318"/>
      <c r="E1945" s="323" t="s">
        <v>355</v>
      </c>
      <c r="F1945" s="324" t="s">
        <v>470</v>
      </c>
      <c r="G1945" s="324" t="s">
        <v>471</v>
      </c>
      <c r="H1945" s="324" t="s">
        <v>472</v>
      </c>
      <c r="I1945" s="325" t="s">
        <v>473</v>
      </c>
      <c r="J1945" s="326" t="s">
        <v>474</v>
      </c>
    </row>
    <row r="1946" spans="1:10" x14ac:dyDescent="0.25">
      <c r="A1946" s="303"/>
      <c r="B1946" s="327" t="s">
        <v>739</v>
      </c>
      <c r="C1946" s="311" t="s">
        <v>983</v>
      </c>
      <c r="D1946" s="312"/>
      <c r="E1946" s="328">
        <v>1</v>
      </c>
      <c r="F1946" s="328">
        <v>1</v>
      </c>
      <c r="G1946" s="328">
        <v>0</v>
      </c>
      <c r="H1946" s="329">
        <v>0.1051</v>
      </c>
      <c r="I1946" s="329">
        <v>5.74E-2</v>
      </c>
      <c r="J1946" s="315">
        <v>0.1051</v>
      </c>
    </row>
    <row r="1947" spans="1:10" x14ac:dyDescent="0.25">
      <c r="A1947" s="303"/>
      <c r="B1947" s="330" t="s">
        <v>716</v>
      </c>
      <c r="C1947" s="317" t="s">
        <v>717</v>
      </c>
      <c r="D1947" s="318"/>
      <c r="E1947" s="331">
        <v>1</v>
      </c>
      <c r="F1947" s="331">
        <v>1</v>
      </c>
      <c r="G1947" s="331">
        <v>0</v>
      </c>
      <c r="H1947" s="332">
        <v>29.3445</v>
      </c>
      <c r="I1947" s="332">
        <v>3.7446000000000002</v>
      </c>
      <c r="J1947" s="321">
        <v>29.3445</v>
      </c>
    </row>
    <row r="1948" spans="1:10" x14ac:dyDescent="0.25">
      <c r="A1948" s="303"/>
      <c r="B1948" s="333" t="s">
        <v>346</v>
      </c>
      <c r="C1948" s="317"/>
      <c r="D1948" s="318"/>
      <c r="E1948" s="331"/>
      <c r="F1948" s="331"/>
      <c r="G1948" s="331"/>
      <c r="H1948" s="332"/>
      <c r="I1948" s="332"/>
      <c r="J1948" s="321"/>
    </row>
    <row r="1949" spans="1:10" x14ac:dyDescent="0.25">
      <c r="A1949" s="303"/>
      <c r="B1949" s="333" t="s">
        <v>346</v>
      </c>
      <c r="C1949" s="317"/>
      <c r="D1949" s="318"/>
      <c r="E1949" s="331"/>
      <c r="F1949" s="331"/>
      <c r="G1949" s="331"/>
      <c r="H1949" s="332"/>
      <c r="I1949" s="332"/>
      <c r="J1949" s="321"/>
    </row>
    <row r="1950" spans="1:10" x14ac:dyDescent="0.25">
      <c r="A1950" s="303"/>
      <c r="B1950" s="333" t="s">
        <v>346</v>
      </c>
      <c r="C1950" s="317"/>
      <c r="D1950" s="318"/>
      <c r="E1950" s="331"/>
      <c r="F1950" s="331"/>
      <c r="G1950" s="331"/>
      <c r="H1950" s="332"/>
      <c r="I1950" s="332"/>
      <c r="J1950" s="321"/>
    </row>
    <row r="1951" spans="1:10" x14ac:dyDescent="0.25">
      <c r="A1951" s="303"/>
      <c r="B1951" s="333" t="s">
        <v>346</v>
      </c>
      <c r="C1951" s="317"/>
      <c r="D1951" s="318"/>
      <c r="E1951" s="331"/>
      <c r="F1951" s="331"/>
      <c r="G1951" s="331"/>
      <c r="H1951" s="332"/>
      <c r="I1951" s="332"/>
      <c r="J1951" s="321"/>
    </row>
    <row r="1952" spans="1:10" x14ac:dyDescent="0.25">
      <c r="A1952" s="303"/>
      <c r="B1952" s="333" t="s">
        <v>346</v>
      </c>
      <c r="C1952" s="317"/>
      <c r="D1952" s="318"/>
      <c r="E1952" s="331"/>
      <c r="F1952" s="331"/>
      <c r="G1952" s="331"/>
      <c r="H1952" s="332"/>
      <c r="I1952" s="332"/>
      <c r="J1952" s="321"/>
    </row>
    <row r="1953" spans="1:10" x14ac:dyDescent="0.25">
      <c r="A1953" s="303"/>
      <c r="B1953" s="310"/>
      <c r="C1953" s="334"/>
      <c r="D1953" s="312"/>
      <c r="E1953" s="313"/>
      <c r="F1953" s="313"/>
      <c r="G1953" s="313"/>
      <c r="H1953" s="313"/>
      <c r="I1953" s="335" t="s">
        <v>479</v>
      </c>
      <c r="J1953" s="315">
        <v>29.4496</v>
      </c>
    </row>
    <row r="1954" spans="1:10" x14ac:dyDescent="0.25">
      <c r="A1954" s="303"/>
      <c r="B1954" s="310" t="s">
        <v>464</v>
      </c>
      <c r="C1954" s="311" t="s">
        <v>480</v>
      </c>
      <c r="D1954" s="312"/>
      <c r="E1954" s="313"/>
      <c r="F1954" s="313"/>
      <c r="G1954" s="313"/>
      <c r="H1954" s="324" t="s">
        <v>355</v>
      </c>
      <c r="I1954" s="336" t="s">
        <v>481</v>
      </c>
      <c r="J1954" s="322" t="s">
        <v>331</v>
      </c>
    </row>
    <row r="1955" spans="1:10" x14ac:dyDescent="0.25">
      <c r="A1955" s="303"/>
      <c r="B1955" s="337" t="s">
        <v>679</v>
      </c>
      <c r="C1955" s="311" t="s">
        <v>680</v>
      </c>
      <c r="D1955" s="312"/>
      <c r="E1955" s="313"/>
      <c r="F1955" s="313"/>
      <c r="G1955" s="313"/>
      <c r="H1955" s="314">
        <v>1</v>
      </c>
      <c r="I1955" s="329">
        <v>18.301200000000001</v>
      </c>
      <c r="J1955" s="315">
        <v>18.301200000000001</v>
      </c>
    </row>
    <row r="1956" spans="1:10" x14ac:dyDescent="0.25">
      <c r="A1956" s="303"/>
      <c r="B1956" s="333" t="s">
        <v>740</v>
      </c>
      <c r="C1956" s="317" t="s">
        <v>741</v>
      </c>
      <c r="D1956" s="318"/>
      <c r="E1956" s="319"/>
      <c r="F1956" s="319"/>
      <c r="G1956" s="319"/>
      <c r="H1956" s="320">
        <v>1</v>
      </c>
      <c r="I1956" s="332">
        <v>31.109100000000002</v>
      </c>
      <c r="J1956" s="321">
        <v>31.109100000000002</v>
      </c>
    </row>
    <row r="1957" spans="1:10" x14ac:dyDescent="0.25">
      <c r="A1957" s="303"/>
      <c r="B1957" s="333" t="s">
        <v>346</v>
      </c>
      <c r="C1957" s="317"/>
      <c r="D1957" s="318"/>
      <c r="E1957" s="319"/>
      <c r="F1957" s="319"/>
      <c r="G1957" s="319"/>
      <c r="H1957" s="320"/>
      <c r="I1957" s="332"/>
      <c r="J1957" s="321"/>
    </row>
    <row r="1958" spans="1:10" x14ac:dyDescent="0.25">
      <c r="A1958" s="303"/>
      <c r="B1958" s="333" t="s">
        <v>346</v>
      </c>
      <c r="C1958" s="317"/>
      <c r="D1958" s="318"/>
      <c r="E1958" s="319"/>
      <c r="F1958" s="319"/>
      <c r="G1958" s="319"/>
      <c r="H1958" s="320"/>
      <c r="I1958" s="332"/>
      <c r="J1958" s="321"/>
    </row>
    <row r="1959" spans="1:10" x14ac:dyDescent="0.25">
      <c r="A1959" s="303"/>
      <c r="B1959" s="333" t="s">
        <v>346</v>
      </c>
      <c r="C1959" s="317"/>
      <c r="D1959" s="318"/>
      <c r="E1959" s="319"/>
      <c r="F1959" s="319"/>
      <c r="G1959" s="319"/>
      <c r="H1959" s="320"/>
      <c r="I1959" s="332"/>
      <c r="J1959" s="321"/>
    </row>
    <row r="1960" spans="1:10" x14ac:dyDescent="0.25">
      <c r="A1960" s="303"/>
      <c r="B1960" s="333" t="s">
        <v>346</v>
      </c>
      <c r="C1960" s="317"/>
      <c r="D1960" s="318"/>
      <c r="E1960" s="319"/>
      <c r="F1960" s="319"/>
      <c r="G1960" s="319"/>
      <c r="H1960" s="320"/>
      <c r="I1960" s="332"/>
      <c r="J1960" s="321"/>
    </row>
    <row r="1961" spans="1:10" x14ac:dyDescent="0.25">
      <c r="A1961" s="303"/>
      <c r="B1961" s="333" t="s">
        <v>346</v>
      </c>
      <c r="C1961" s="317"/>
      <c r="D1961" s="318"/>
      <c r="E1961" s="319"/>
      <c r="F1961" s="319"/>
      <c r="G1961" s="319"/>
      <c r="H1961" s="320"/>
      <c r="I1961" s="332"/>
      <c r="J1961" s="321"/>
    </row>
    <row r="1962" spans="1:10" x14ac:dyDescent="0.25">
      <c r="A1962" s="303"/>
      <c r="B1962" s="310"/>
      <c r="C1962" s="334"/>
      <c r="D1962" s="312"/>
      <c r="E1962" s="313"/>
      <c r="F1962" s="313"/>
      <c r="G1962" s="313"/>
      <c r="H1962" s="313"/>
      <c r="I1962" s="338" t="s">
        <v>484</v>
      </c>
      <c r="J1962" s="315">
        <v>49.410300000000007</v>
      </c>
    </row>
    <row r="1963" spans="1:10" x14ac:dyDescent="0.25">
      <c r="A1963" s="303"/>
      <c r="B1963" s="339"/>
      <c r="C1963" s="334"/>
      <c r="D1963" s="312"/>
      <c r="E1963" s="313"/>
      <c r="F1963" s="313"/>
      <c r="G1963" s="313"/>
      <c r="H1963" s="313"/>
      <c r="I1963" s="338" t="s">
        <v>485</v>
      </c>
      <c r="J1963" s="340">
        <v>78.859899999999996</v>
      </c>
    </row>
    <row r="1964" spans="1:10" x14ac:dyDescent="0.25">
      <c r="A1964" s="303"/>
      <c r="B1964" s="339"/>
      <c r="C1964" s="341" t="s">
        <v>486</v>
      </c>
      <c r="D1964" s="312">
        <v>1.3372200000000001</v>
      </c>
      <c r="E1964" s="313"/>
      <c r="F1964" s="313"/>
      <c r="G1964" s="313"/>
      <c r="H1964" s="313"/>
      <c r="I1964" s="338" t="s">
        <v>487</v>
      </c>
      <c r="J1964" s="340">
        <v>58.972999999999999</v>
      </c>
    </row>
    <row r="1965" spans="1:10" x14ac:dyDescent="0.25">
      <c r="A1965" s="303"/>
      <c r="B1965" s="310"/>
      <c r="C1965" s="334"/>
      <c r="D1965" s="312"/>
      <c r="E1965" s="313"/>
      <c r="F1965" s="313"/>
      <c r="G1965" s="313"/>
      <c r="H1965" s="338" t="s">
        <v>488</v>
      </c>
      <c r="I1965" s="342">
        <v>0</v>
      </c>
      <c r="J1965" s="315">
        <v>0</v>
      </c>
    </row>
    <row r="1966" spans="1:10" x14ac:dyDescent="0.25">
      <c r="A1966" s="303"/>
      <c r="B1966" s="310"/>
      <c r="C1966" s="334"/>
      <c r="D1966" s="312"/>
      <c r="E1966" s="313"/>
      <c r="F1966" s="313"/>
      <c r="G1966" s="313"/>
      <c r="H1966" s="335" t="s">
        <v>489</v>
      </c>
      <c r="I1966" s="343">
        <v>0</v>
      </c>
      <c r="J1966" s="315">
        <v>0</v>
      </c>
    </row>
    <row r="1967" spans="1:10" x14ac:dyDescent="0.25">
      <c r="A1967" s="303"/>
      <c r="B1967" s="310" t="s">
        <v>464</v>
      </c>
      <c r="C1967" s="311" t="s">
        <v>490</v>
      </c>
      <c r="D1967" s="312"/>
      <c r="E1967" s="313"/>
      <c r="F1967" s="313"/>
      <c r="G1967" s="314" t="s">
        <v>465</v>
      </c>
      <c r="H1967" s="336" t="s">
        <v>468</v>
      </c>
      <c r="I1967" s="336" t="s">
        <v>491</v>
      </c>
      <c r="J1967" s="322" t="s">
        <v>492</v>
      </c>
    </row>
    <row r="1968" spans="1:10" x14ac:dyDescent="0.25">
      <c r="A1968" s="303"/>
      <c r="B1968" s="337" t="s">
        <v>742</v>
      </c>
      <c r="C1968" s="311" t="s">
        <v>743</v>
      </c>
      <c r="D1968" s="312"/>
      <c r="E1968" s="313"/>
      <c r="F1968" s="313"/>
      <c r="G1968" s="314" t="s">
        <v>560</v>
      </c>
      <c r="H1968" s="329">
        <v>23.461200000000002</v>
      </c>
      <c r="I1968" s="329">
        <v>1</v>
      </c>
      <c r="J1968" s="315">
        <v>23.461200000000002</v>
      </c>
    </row>
    <row r="1969" spans="1:10" x14ac:dyDescent="0.25">
      <c r="A1969" s="303"/>
      <c r="B1969" s="333" t="s">
        <v>346</v>
      </c>
      <c r="C1969" s="317"/>
      <c r="D1969" s="318"/>
      <c r="E1969" s="319"/>
      <c r="F1969" s="319"/>
      <c r="G1969" s="320"/>
      <c r="H1969" s="332"/>
      <c r="I1969" s="332"/>
      <c r="J1969" s="321"/>
    </row>
    <row r="1970" spans="1:10" x14ac:dyDescent="0.25">
      <c r="A1970" s="303"/>
      <c r="B1970" s="333" t="s">
        <v>346</v>
      </c>
      <c r="C1970" s="317"/>
      <c r="D1970" s="318"/>
      <c r="E1970" s="319"/>
      <c r="F1970" s="319"/>
      <c r="G1970" s="320"/>
      <c r="H1970" s="332"/>
      <c r="I1970" s="332"/>
      <c r="J1970" s="321"/>
    </row>
    <row r="1971" spans="1:10" x14ac:dyDescent="0.25">
      <c r="A1971" s="303"/>
      <c r="B1971" s="333" t="s">
        <v>346</v>
      </c>
      <c r="C1971" s="317"/>
      <c r="D1971" s="318"/>
      <c r="E1971" s="319"/>
      <c r="F1971" s="319"/>
      <c r="G1971" s="320"/>
      <c r="H1971" s="332"/>
      <c r="I1971" s="332"/>
      <c r="J1971" s="321"/>
    </row>
    <row r="1972" spans="1:10" x14ac:dyDescent="0.25">
      <c r="A1972" s="303"/>
      <c r="B1972" s="333" t="s">
        <v>346</v>
      </c>
      <c r="C1972" s="317"/>
      <c r="D1972" s="318"/>
      <c r="E1972" s="319"/>
      <c r="F1972" s="319"/>
      <c r="G1972" s="320"/>
      <c r="H1972" s="332"/>
      <c r="I1972" s="332"/>
      <c r="J1972" s="321"/>
    </row>
    <row r="1973" spans="1:10" x14ac:dyDescent="0.25">
      <c r="A1973" s="303"/>
      <c r="B1973" s="333" t="s">
        <v>346</v>
      </c>
      <c r="C1973" s="317"/>
      <c r="D1973" s="318"/>
      <c r="E1973" s="319"/>
      <c r="F1973" s="319"/>
      <c r="G1973" s="320"/>
      <c r="H1973" s="332"/>
      <c r="I1973" s="332"/>
      <c r="J1973" s="321"/>
    </row>
    <row r="1974" spans="1:10" x14ac:dyDescent="0.25">
      <c r="A1974" s="303"/>
      <c r="B1974" s="333" t="s">
        <v>346</v>
      </c>
      <c r="C1974" s="317"/>
      <c r="D1974" s="318"/>
      <c r="E1974" s="319"/>
      <c r="F1974" s="319"/>
      <c r="G1974" s="320"/>
      <c r="H1974" s="332"/>
      <c r="I1974" s="332"/>
      <c r="J1974" s="321"/>
    </row>
    <row r="1975" spans="1:10" x14ac:dyDescent="0.25">
      <c r="A1975" s="303"/>
      <c r="B1975" s="310"/>
      <c r="C1975" s="334"/>
      <c r="D1975" s="312"/>
      <c r="E1975" s="313"/>
      <c r="F1975" s="313"/>
      <c r="G1975" s="313"/>
      <c r="H1975" s="343"/>
      <c r="I1975" s="335" t="s">
        <v>498</v>
      </c>
      <c r="J1975" s="315">
        <v>23.461200000000002</v>
      </c>
    </row>
    <row r="1976" spans="1:10" x14ac:dyDescent="0.25">
      <c r="A1976" s="303"/>
      <c r="B1976" s="310" t="s">
        <v>464</v>
      </c>
      <c r="C1976" s="311" t="s">
        <v>499</v>
      </c>
      <c r="D1976" s="312"/>
      <c r="E1976" s="313"/>
      <c r="F1976" s="313"/>
      <c r="G1976" s="314" t="s">
        <v>465</v>
      </c>
      <c r="H1976" s="336" t="s">
        <v>468</v>
      </c>
      <c r="I1976" s="336" t="s">
        <v>491</v>
      </c>
      <c r="J1976" s="322" t="s">
        <v>492</v>
      </c>
    </row>
    <row r="1977" spans="1:10" x14ac:dyDescent="0.25">
      <c r="A1977" s="303"/>
      <c r="B1977" s="337"/>
      <c r="C1977" s="311"/>
      <c r="D1977" s="312"/>
      <c r="E1977" s="313"/>
      <c r="F1977" s="313"/>
      <c r="G1977" s="314"/>
      <c r="H1977" s="329"/>
      <c r="I1977" s="329"/>
      <c r="J1977" s="315"/>
    </row>
    <row r="1978" spans="1:10" x14ac:dyDescent="0.25">
      <c r="A1978" s="303"/>
      <c r="B1978" s="333"/>
      <c r="C1978" s="317"/>
      <c r="D1978" s="318"/>
      <c r="E1978" s="319"/>
      <c r="F1978" s="319"/>
      <c r="G1978" s="320"/>
      <c r="H1978" s="332"/>
      <c r="I1978" s="332"/>
      <c r="J1978" s="321"/>
    </row>
    <row r="1979" spans="1:10" x14ac:dyDescent="0.25">
      <c r="A1979" s="303"/>
      <c r="B1979" s="333"/>
      <c r="C1979" s="317"/>
      <c r="D1979" s="318"/>
      <c r="E1979" s="319"/>
      <c r="F1979" s="319"/>
      <c r="G1979" s="320"/>
      <c r="H1979" s="332"/>
      <c r="I1979" s="332"/>
      <c r="J1979" s="321"/>
    </row>
    <row r="1980" spans="1:10" x14ac:dyDescent="0.25">
      <c r="A1980" s="303"/>
      <c r="B1980" s="333"/>
      <c r="C1980" s="317"/>
      <c r="D1980" s="318"/>
      <c r="E1980" s="319"/>
      <c r="F1980" s="319"/>
      <c r="G1980" s="320"/>
      <c r="H1980" s="332"/>
      <c r="I1980" s="332"/>
      <c r="J1980" s="321"/>
    </row>
    <row r="1981" spans="1:10" x14ac:dyDescent="0.25">
      <c r="A1981" s="303"/>
      <c r="B1981" s="333"/>
      <c r="C1981" s="317"/>
      <c r="D1981" s="318"/>
      <c r="E1981" s="319"/>
      <c r="F1981" s="319"/>
      <c r="G1981" s="320"/>
      <c r="H1981" s="332"/>
      <c r="I1981" s="332"/>
      <c r="J1981" s="321"/>
    </row>
    <row r="1982" spans="1:10" x14ac:dyDescent="0.25">
      <c r="A1982" s="303"/>
      <c r="B1982" s="310"/>
      <c r="C1982" s="334"/>
      <c r="D1982" s="312"/>
      <c r="E1982" s="313"/>
      <c r="F1982" s="313"/>
      <c r="G1982" s="313"/>
      <c r="H1982" s="343"/>
      <c r="I1982" s="335" t="s">
        <v>501</v>
      </c>
      <c r="J1982" s="315">
        <v>0</v>
      </c>
    </row>
    <row r="1983" spans="1:10" x14ac:dyDescent="0.25">
      <c r="A1983" s="303"/>
      <c r="B1983" s="310" t="s">
        <v>464</v>
      </c>
      <c r="C1983" s="311" t="s">
        <v>502</v>
      </c>
      <c r="D1983" s="312"/>
      <c r="E1983" s="313"/>
      <c r="F1983" s="314" t="s">
        <v>464</v>
      </c>
      <c r="G1983" s="324" t="s">
        <v>503</v>
      </c>
      <c r="H1983" s="329" t="s">
        <v>465</v>
      </c>
      <c r="I1983" s="336" t="s">
        <v>468</v>
      </c>
      <c r="J1983" s="322" t="s">
        <v>492</v>
      </c>
    </row>
    <row r="1984" spans="1:10" x14ac:dyDescent="0.25">
      <c r="A1984" s="303"/>
      <c r="B1984" s="337" t="s">
        <v>984</v>
      </c>
      <c r="C1984" s="311" t="s">
        <v>985</v>
      </c>
      <c r="D1984" s="312"/>
      <c r="E1984" s="313"/>
      <c r="F1984" s="344" t="s">
        <v>632</v>
      </c>
      <c r="G1984" s="314">
        <v>1E-3</v>
      </c>
      <c r="H1984" s="329" t="s">
        <v>370</v>
      </c>
      <c r="I1984" s="329">
        <v>26.18</v>
      </c>
      <c r="J1984" s="315">
        <v>2.6200000000000001E-2</v>
      </c>
    </row>
    <row r="1985" spans="1:10" x14ac:dyDescent="0.25">
      <c r="A1985" s="303"/>
      <c r="B1985" s="333" t="s">
        <v>346</v>
      </c>
      <c r="C1985" s="317"/>
      <c r="D1985" s="318"/>
      <c r="E1985" s="319"/>
      <c r="F1985" s="320"/>
      <c r="G1985" s="320"/>
      <c r="H1985" s="332"/>
      <c r="I1985" s="332"/>
      <c r="J1985" s="321"/>
    </row>
    <row r="1986" spans="1:10" x14ac:dyDescent="0.25">
      <c r="A1986" s="303"/>
      <c r="B1986" s="333" t="s">
        <v>346</v>
      </c>
      <c r="C1986" s="317"/>
      <c r="D1986" s="318"/>
      <c r="E1986" s="319"/>
      <c r="F1986" s="320"/>
      <c r="G1986" s="320"/>
      <c r="H1986" s="332"/>
      <c r="I1986" s="332"/>
      <c r="J1986" s="321"/>
    </row>
    <row r="1987" spans="1:10" x14ac:dyDescent="0.25">
      <c r="A1987" s="303"/>
      <c r="B1987" s="333" t="s">
        <v>346</v>
      </c>
      <c r="C1987" s="317"/>
      <c r="D1987" s="318"/>
      <c r="E1987" s="319"/>
      <c r="F1987" s="320"/>
      <c r="G1987" s="320"/>
      <c r="H1987" s="332"/>
      <c r="I1987" s="332"/>
      <c r="J1987" s="321"/>
    </row>
    <row r="1988" spans="1:10" x14ac:dyDescent="0.25">
      <c r="A1988" s="303"/>
      <c r="B1988" s="333" t="s">
        <v>346</v>
      </c>
      <c r="C1988" s="317"/>
      <c r="D1988" s="318"/>
      <c r="E1988" s="319"/>
      <c r="F1988" s="320"/>
      <c r="G1988" s="320"/>
      <c r="H1988" s="332"/>
      <c r="I1988" s="332"/>
      <c r="J1988" s="321"/>
    </row>
    <row r="1989" spans="1:10" x14ac:dyDescent="0.25">
      <c r="A1989" s="303"/>
      <c r="B1989" s="310"/>
      <c r="C1989" s="334"/>
      <c r="D1989" s="312"/>
      <c r="E1989" s="313"/>
      <c r="F1989" s="313"/>
      <c r="G1989" s="313"/>
      <c r="H1989" s="343"/>
      <c r="I1989" s="338" t="s">
        <v>507</v>
      </c>
      <c r="J1989" s="315">
        <v>2.6200000000000001E-2</v>
      </c>
    </row>
    <row r="1990" spans="1:10" x14ac:dyDescent="0.25">
      <c r="A1990" s="303"/>
      <c r="B1990" s="310" t="s">
        <v>464</v>
      </c>
      <c r="C1990" s="311" t="s">
        <v>508</v>
      </c>
      <c r="D1990" s="345" t="s">
        <v>509</v>
      </c>
      <c r="E1990" s="324" t="s">
        <v>873</v>
      </c>
      <c r="F1990" s="324" t="s">
        <v>874</v>
      </c>
      <c r="G1990" s="324" t="s">
        <v>875</v>
      </c>
      <c r="H1990" s="336" t="s">
        <v>468</v>
      </c>
      <c r="I1990" s="324" t="s">
        <v>491</v>
      </c>
      <c r="J1990" s="322" t="s">
        <v>492</v>
      </c>
    </row>
    <row r="1991" spans="1:10" x14ac:dyDescent="0.25">
      <c r="A1991" s="303"/>
      <c r="B1991" s="337" t="s">
        <v>986</v>
      </c>
      <c r="C1991" s="311" t="s">
        <v>987</v>
      </c>
      <c r="D1991" s="345" t="s">
        <v>510</v>
      </c>
      <c r="E1991" s="314">
        <v>0</v>
      </c>
      <c r="F1991" s="314">
        <v>0</v>
      </c>
      <c r="G1991" s="314">
        <v>100.45</v>
      </c>
      <c r="H1991" s="329">
        <v>0.55000000000000004</v>
      </c>
      <c r="I1991" s="314">
        <v>1E-3</v>
      </c>
      <c r="J1991" s="315">
        <v>5.5199999999999999E-2</v>
      </c>
    </row>
    <row r="1992" spans="1:10" x14ac:dyDescent="0.25">
      <c r="A1992" s="303"/>
      <c r="B1992" s="333" t="s">
        <v>346</v>
      </c>
      <c r="C1992" s="317"/>
      <c r="D1992" s="346"/>
      <c r="E1992" s="320"/>
      <c r="F1992" s="320"/>
      <c r="G1992" s="320"/>
      <c r="H1992" s="332"/>
      <c r="I1992" s="320"/>
      <c r="J1992" s="321"/>
    </row>
    <row r="1993" spans="1:10" x14ac:dyDescent="0.25">
      <c r="A1993" s="303"/>
      <c r="B1993" s="333" t="s">
        <v>346</v>
      </c>
      <c r="C1993" s="317"/>
      <c r="D1993" s="346"/>
      <c r="E1993" s="320"/>
      <c r="F1993" s="320"/>
      <c r="G1993" s="320"/>
      <c r="H1993" s="332"/>
      <c r="I1993" s="320"/>
      <c r="J1993" s="321"/>
    </row>
    <row r="1994" spans="1:10" x14ac:dyDescent="0.25">
      <c r="A1994" s="303"/>
      <c r="B1994" s="333" t="s">
        <v>346</v>
      </c>
      <c r="C1994" s="317"/>
      <c r="D1994" s="346"/>
      <c r="E1994" s="320"/>
      <c r="F1994" s="320"/>
      <c r="G1994" s="320"/>
      <c r="H1994" s="332"/>
      <c r="I1994" s="320"/>
      <c r="J1994" s="321"/>
    </row>
    <row r="1995" spans="1:10" x14ac:dyDescent="0.25">
      <c r="A1995" s="303"/>
      <c r="B1995" s="333" t="s">
        <v>346</v>
      </c>
      <c r="C1995" s="317"/>
      <c r="D1995" s="346"/>
      <c r="E1995" s="320"/>
      <c r="F1995" s="320"/>
      <c r="G1995" s="320"/>
      <c r="H1995" s="332"/>
      <c r="I1995" s="320"/>
      <c r="J1995" s="321"/>
    </row>
    <row r="1996" spans="1:10" x14ac:dyDescent="0.25">
      <c r="A1996" s="303"/>
      <c r="B1996" s="333" t="s">
        <v>346</v>
      </c>
      <c r="C1996" s="317"/>
      <c r="D1996" s="346"/>
      <c r="E1996" s="320"/>
      <c r="F1996" s="320"/>
      <c r="G1996" s="320"/>
      <c r="H1996" s="332"/>
      <c r="I1996" s="320"/>
      <c r="J1996" s="321"/>
    </row>
    <row r="1997" spans="1:10" x14ac:dyDescent="0.25">
      <c r="A1997" s="303"/>
      <c r="B1997" s="333" t="s">
        <v>346</v>
      </c>
      <c r="C1997" s="317"/>
      <c r="D1997" s="346"/>
      <c r="E1997" s="320"/>
      <c r="F1997" s="320"/>
      <c r="G1997" s="320"/>
      <c r="H1997" s="332"/>
      <c r="I1997" s="320"/>
      <c r="J1997" s="321"/>
    </row>
    <row r="1998" spans="1:10" x14ac:dyDescent="0.25">
      <c r="A1998" s="303"/>
      <c r="B1998" s="310"/>
      <c r="C1998" s="334"/>
      <c r="D1998" s="312"/>
      <c r="E1998" s="313"/>
      <c r="F1998" s="313"/>
      <c r="G1998" s="313"/>
      <c r="H1998" s="313"/>
      <c r="I1998" s="338" t="s">
        <v>513</v>
      </c>
      <c r="J1998" s="315">
        <v>5.5199999999999999E-2</v>
      </c>
    </row>
    <row r="1999" spans="1:10" x14ac:dyDescent="0.25">
      <c r="A1999" s="303"/>
      <c r="B1999" s="310" t="s">
        <v>514</v>
      </c>
      <c r="C1999" s="334"/>
      <c r="D1999" s="312"/>
      <c r="E1999" s="313"/>
      <c r="F1999" s="313"/>
      <c r="G1999" s="313"/>
      <c r="H1999" s="313"/>
      <c r="I1999" s="313"/>
      <c r="J1999" s="315">
        <v>82.515600000000006</v>
      </c>
    </row>
    <row r="2000" spans="1:10" x14ac:dyDescent="0.25">
      <c r="A2000" s="303"/>
      <c r="B2000" s="310" t="s">
        <v>515</v>
      </c>
      <c r="C2000" s="334"/>
      <c r="D2000" s="312">
        <v>0</v>
      </c>
      <c r="E2000" s="313"/>
      <c r="F2000" s="313"/>
      <c r="G2000" s="313"/>
      <c r="H2000" s="313"/>
      <c r="I2000" s="313"/>
      <c r="J2000" s="315">
        <v>0</v>
      </c>
    </row>
    <row r="2001" spans="1:10" ht="14.4" thickBot="1" x14ac:dyDescent="0.3">
      <c r="A2001" s="303"/>
      <c r="B2001" s="310" t="s">
        <v>516</v>
      </c>
      <c r="C2001" s="334"/>
      <c r="D2001" s="312"/>
      <c r="E2001" s="313"/>
      <c r="F2001" s="313"/>
      <c r="G2001" s="313"/>
      <c r="H2001" s="313"/>
      <c r="I2001" s="313"/>
      <c r="J2001" s="347">
        <v>82.52</v>
      </c>
    </row>
    <row r="2002" spans="1:10" x14ac:dyDescent="0.25">
      <c r="A2002" s="303"/>
      <c r="B2002" s="304"/>
      <c r="C2002" s="305"/>
      <c r="D2002" s="348"/>
      <c r="E2002" s="308"/>
      <c r="F2002" s="308"/>
      <c r="G2002" s="308"/>
      <c r="H2002" s="308"/>
      <c r="I2002" s="308"/>
      <c r="J2002" s="309"/>
    </row>
    <row r="2003" spans="1:10" x14ac:dyDescent="0.25">
      <c r="A2003" s="303"/>
      <c r="B2003" s="316"/>
      <c r="C2003" s="303"/>
      <c r="D2003" s="318"/>
      <c r="E2003" s="319"/>
      <c r="F2003" s="319"/>
      <c r="G2003" s="319"/>
      <c r="H2003" s="319"/>
      <c r="I2003" s="319"/>
      <c r="J2003" s="349"/>
    </row>
    <row r="2004" spans="1:10" x14ac:dyDescent="0.25">
      <c r="A2004" s="303"/>
      <c r="B2004" s="316"/>
      <c r="C2004" s="303"/>
      <c r="D2004" s="318"/>
      <c r="E2004" s="319"/>
      <c r="F2004" s="319"/>
      <c r="G2004" s="319"/>
      <c r="H2004" s="319"/>
      <c r="I2004" s="319"/>
      <c r="J2004" s="349"/>
    </row>
    <row r="2005" spans="1:10" ht="14.4" thickBot="1" x14ac:dyDescent="0.3">
      <c r="A2005" s="303"/>
      <c r="B2005" s="350"/>
      <c r="C2005" s="303"/>
      <c r="D2005" s="318"/>
      <c r="E2005" s="319"/>
      <c r="F2005" s="319"/>
      <c r="G2005" s="319"/>
      <c r="H2005" s="319"/>
      <c r="I2005" s="319"/>
      <c r="J2005" s="351"/>
    </row>
    <row r="2006" spans="1:10" x14ac:dyDescent="0.25">
      <c r="A2006" s="303"/>
      <c r="B2006" s="305"/>
      <c r="C2006" s="305"/>
      <c r="D2006" s="348"/>
      <c r="E2006" s="308"/>
      <c r="F2006" s="308"/>
      <c r="G2006" s="308"/>
      <c r="H2006" s="308"/>
      <c r="I2006" s="308"/>
      <c r="J2006" s="352"/>
    </row>
    <row r="2007" spans="1:10" ht="14.4" thickBot="1" x14ac:dyDescent="0.3">
      <c r="A2007" s="303"/>
      <c r="B2007" s="303"/>
      <c r="C2007" s="303"/>
      <c r="D2007" s="318"/>
      <c r="E2007" s="319"/>
      <c r="F2007" s="319"/>
      <c r="G2007" s="319"/>
      <c r="H2007" s="319"/>
      <c r="I2007" s="319"/>
      <c r="J2007" s="353"/>
    </row>
    <row r="2008" spans="1:10" x14ac:dyDescent="0.25">
      <c r="A2008" s="303"/>
      <c r="B2008" s="304"/>
      <c r="C2008" s="305"/>
      <c r="D2008" s="306" t="s">
        <v>463</v>
      </c>
      <c r="E2008" s="307"/>
      <c r="F2008" s="307"/>
      <c r="G2008" s="308"/>
      <c r="H2008" s="308"/>
      <c r="I2008" s="308"/>
      <c r="J2008" s="309"/>
    </row>
    <row r="2009" spans="1:10" x14ac:dyDescent="0.25">
      <c r="A2009" s="303"/>
      <c r="B2009" s="310" t="s">
        <v>464</v>
      </c>
      <c r="C2009" s="311" t="s">
        <v>134</v>
      </c>
      <c r="D2009" s="312"/>
      <c r="E2009" s="313"/>
      <c r="F2009" s="313"/>
      <c r="G2009" s="313"/>
      <c r="H2009" s="314"/>
      <c r="I2009" s="313"/>
      <c r="J2009" s="315" t="s">
        <v>465</v>
      </c>
    </row>
    <row r="2010" spans="1:10" x14ac:dyDescent="0.25">
      <c r="A2010" s="303"/>
      <c r="B2010" s="316">
        <v>4816118</v>
      </c>
      <c r="C2010" s="317" t="s">
        <v>393</v>
      </c>
      <c r="D2010" s="318"/>
      <c r="E2010" s="319"/>
      <c r="F2010" s="319"/>
      <c r="G2010" s="319"/>
      <c r="H2010" s="320"/>
      <c r="I2010" s="319"/>
      <c r="J2010" s="321" t="s">
        <v>372</v>
      </c>
    </row>
    <row r="2011" spans="1:10" x14ac:dyDescent="0.25">
      <c r="A2011" s="303"/>
      <c r="B2011" s="310"/>
      <c r="C2011" s="311"/>
      <c r="D2011" s="312"/>
      <c r="E2011" s="314"/>
      <c r="F2011" s="314" t="s">
        <v>466</v>
      </c>
      <c r="G2011" s="314"/>
      <c r="H2011" s="314" t="s">
        <v>467</v>
      </c>
      <c r="I2011" s="314"/>
      <c r="J2011" s="322" t="s">
        <v>468</v>
      </c>
    </row>
    <row r="2012" spans="1:10" x14ac:dyDescent="0.25">
      <c r="A2012" s="303"/>
      <c r="B2012" s="316" t="s">
        <v>464</v>
      </c>
      <c r="C2012" s="317" t="s">
        <v>469</v>
      </c>
      <c r="D2012" s="318"/>
      <c r="E2012" s="323" t="s">
        <v>355</v>
      </c>
      <c r="F2012" s="324" t="s">
        <v>470</v>
      </c>
      <c r="G2012" s="324" t="s">
        <v>471</v>
      </c>
      <c r="H2012" s="324" t="s">
        <v>472</v>
      </c>
      <c r="I2012" s="325" t="s">
        <v>473</v>
      </c>
      <c r="J2012" s="326" t="s">
        <v>474</v>
      </c>
    </row>
    <row r="2013" spans="1:10" x14ac:dyDescent="0.25">
      <c r="A2013" s="303"/>
      <c r="B2013" s="327" t="s">
        <v>744</v>
      </c>
      <c r="C2013" s="311" t="s">
        <v>745</v>
      </c>
      <c r="D2013" s="312"/>
      <c r="E2013" s="328">
        <v>2</v>
      </c>
      <c r="F2013" s="328">
        <v>1</v>
      </c>
      <c r="G2013" s="328">
        <v>0</v>
      </c>
      <c r="H2013" s="329">
        <v>0.55820000000000003</v>
      </c>
      <c r="I2013" s="329">
        <v>0.37959999999999999</v>
      </c>
      <c r="J2013" s="315">
        <v>1.1164000000000001</v>
      </c>
    </row>
    <row r="2014" spans="1:10" x14ac:dyDescent="0.25">
      <c r="A2014" s="303"/>
      <c r="B2014" s="330" t="s">
        <v>618</v>
      </c>
      <c r="C2014" s="317" t="s">
        <v>619</v>
      </c>
      <c r="D2014" s="318"/>
      <c r="E2014" s="331">
        <v>1</v>
      </c>
      <c r="F2014" s="331">
        <v>1</v>
      </c>
      <c r="G2014" s="331">
        <v>0</v>
      </c>
      <c r="H2014" s="332">
        <v>3.6429</v>
      </c>
      <c r="I2014" s="332">
        <v>0.19370000000000001</v>
      </c>
      <c r="J2014" s="321">
        <v>3.6429</v>
      </c>
    </row>
    <row r="2015" spans="1:10" x14ac:dyDescent="0.25">
      <c r="A2015" s="303"/>
      <c r="B2015" s="330" t="s">
        <v>746</v>
      </c>
      <c r="C2015" s="317" t="s">
        <v>988</v>
      </c>
      <c r="D2015" s="318"/>
      <c r="E2015" s="331">
        <v>1</v>
      </c>
      <c r="F2015" s="331">
        <v>1</v>
      </c>
      <c r="G2015" s="331">
        <v>0</v>
      </c>
      <c r="H2015" s="332">
        <v>3.2886000000000002</v>
      </c>
      <c r="I2015" s="332">
        <v>2.0259999999999998</v>
      </c>
      <c r="J2015" s="321">
        <v>3.2886000000000002</v>
      </c>
    </row>
    <row r="2016" spans="1:10" x14ac:dyDescent="0.25">
      <c r="A2016" s="303"/>
      <c r="B2016" s="333" t="s">
        <v>346</v>
      </c>
      <c r="C2016" s="317"/>
      <c r="D2016" s="318"/>
      <c r="E2016" s="331"/>
      <c r="F2016" s="331"/>
      <c r="G2016" s="331"/>
      <c r="H2016" s="332"/>
      <c r="I2016" s="332"/>
      <c r="J2016" s="321"/>
    </row>
    <row r="2017" spans="1:10" x14ac:dyDescent="0.25">
      <c r="A2017" s="303"/>
      <c r="B2017" s="333" t="s">
        <v>346</v>
      </c>
      <c r="C2017" s="317"/>
      <c r="D2017" s="318"/>
      <c r="E2017" s="331"/>
      <c r="F2017" s="331"/>
      <c r="G2017" s="331"/>
      <c r="H2017" s="332"/>
      <c r="I2017" s="332"/>
      <c r="J2017" s="321"/>
    </row>
    <row r="2018" spans="1:10" x14ac:dyDescent="0.25">
      <c r="A2018" s="303"/>
      <c r="B2018" s="333" t="s">
        <v>346</v>
      </c>
      <c r="C2018" s="317"/>
      <c r="D2018" s="318"/>
      <c r="E2018" s="331"/>
      <c r="F2018" s="331"/>
      <c r="G2018" s="331"/>
      <c r="H2018" s="332"/>
      <c r="I2018" s="332"/>
      <c r="J2018" s="321"/>
    </row>
    <row r="2019" spans="1:10" x14ac:dyDescent="0.25">
      <c r="A2019" s="303"/>
      <c r="B2019" s="333" t="s">
        <v>346</v>
      </c>
      <c r="C2019" s="317"/>
      <c r="D2019" s="318"/>
      <c r="E2019" s="331"/>
      <c r="F2019" s="331"/>
      <c r="G2019" s="331"/>
      <c r="H2019" s="332"/>
      <c r="I2019" s="332"/>
      <c r="J2019" s="321"/>
    </row>
    <row r="2020" spans="1:10" x14ac:dyDescent="0.25">
      <c r="A2020" s="303"/>
      <c r="B2020" s="310"/>
      <c r="C2020" s="334"/>
      <c r="D2020" s="312"/>
      <c r="E2020" s="313"/>
      <c r="F2020" s="313"/>
      <c r="G2020" s="313"/>
      <c r="H2020" s="313"/>
      <c r="I2020" s="335" t="s">
        <v>479</v>
      </c>
      <c r="J2020" s="315">
        <v>8.0479000000000003</v>
      </c>
    </row>
    <row r="2021" spans="1:10" x14ac:dyDescent="0.25">
      <c r="A2021" s="303"/>
      <c r="B2021" s="310" t="s">
        <v>464</v>
      </c>
      <c r="C2021" s="311" t="s">
        <v>480</v>
      </c>
      <c r="D2021" s="312"/>
      <c r="E2021" s="313"/>
      <c r="F2021" s="313"/>
      <c r="G2021" s="313"/>
      <c r="H2021" s="324" t="s">
        <v>355</v>
      </c>
      <c r="I2021" s="336" t="s">
        <v>481</v>
      </c>
      <c r="J2021" s="322" t="s">
        <v>331</v>
      </c>
    </row>
    <row r="2022" spans="1:10" x14ac:dyDescent="0.25">
      <c r="A2022" s="303"/>
      <c r="B2022" s="337" t="s">
        <v>679</v>
      </c>
      <c r="C2022" s="311" t="s">
        <v>680</v>
      </c>
      <c r="D2022" s="312"/>
      <c r="E2022" s="313"/>
      <c r="F2022" s="313"/>
      <c r="G2022" s="313"/>
      <c r="H2022" s="314">
        <v>4.4739300000000002</v>
      </c>
      <c r="I2022" s="329">
        <v>18.301200000000001</v>
      </c>
      <c r="J2022" s="315">
        <v>81.878299999999996</v>
      </c>
    </row>
    <row r="2023" spans="1:10" x14ac:dyDescent="0.25">
      <c r="A2023" s="303"/>
      <c r="B2023" s="333" t="s">
        <v>725</v>
      </c>
      <c r="C2023" s="317" t="s">
        <v>726</v>
      </c>
      <c r="D2023" s="318"/>
      <c r="E2023" s="319"/>
      <c r="F2023" s="319"/>
      <c r="G2023" s="319"/>
      <c r="H2023" s="320">
        <v>4.4739300000000002</v>
      </c>
      <c r="I2023" s="332">
        <v>24.009799999999998</v>
      </c>
      <c r="J2023" s="321">
        <v>107.4182</v>
      </c>
    </row>
    <row r="2024" spans="1:10" x14ac:dyDescent="0.25">
      <c r="A2024" s="303"/>
      <c r="B2024" s="333" t="s">
        <v>620</v>
      </c>
      <c r="C2024" s="317" t="s">
        <v>621</v>
      </c>
      <c r="D2024" s="318"/>
      <c r="E2024" s="319"/>
      <c r="F2024" s="319"/>
      <c r="G2024" s="319"/>
      <c r="H2024" s="320">
        <v>4.9800000000000004</v>
      </c>
      <c r="I2024" s="332">
        <v>21.433599999999998</v>
      </c>
      <c r="J2024" s="321">
        <v>106.7393</v>
      </c>
    </row>
    <row r="2025" spans="1:10" x14ac:dyDescent="0.25">
      <c r="A2025" s="303"/>
      <c r="B2025" s="333" t="s">
        <v>482</v>
      </c>
      <c r="C2025" s="317" t="s">
        <v>483</v>
      </c>
      <c r="D2025" s="318"/>
      <c r="E2025" s="319"/>
      <c r="F2025" s="319"/>
      <c r="G2025" s="319"/>
      <c r="H2025" s="320">
        <v>7.47</v>
      </c>
      <c r="I2025" s="332">
        <v>17.768000000000001</v>
      </c>
      <c r="J2025" s="321">
        <v>132.727</v>
      </c>
    </row>
    <row r="2026" spans="1:10" x14ac:dyDescent="0.25">
      <c r="A2026" s="303"/>
      <c r="B2026" s="333" t="s">
        <v>346</v>
      </c>
      <c r="C2026" s="317"/>
      <c r="D2026" s="318"/>
      <c r="E2026" s="319"/>
      <c r="F2026" s="319"/>
      <c r="G2026" s="319"/>
      <c r="H2026" s="320"/>
      <c r="I2026" s="332"/>
      <c r="J2026" s="321"/>
    </row>
    <row r="2027" spans="1:10" x14ac:dyDescent="0.25">
      <c r="A2027" s="303"/>
      <c r="B2027" s="333" t="s">
        <v>346</v>
      </c>
      <c r="C2027" s="317"/>
      <c r="D2027" s="318"/>
      <c r="E2027" s="319"/>
      <c r="F2027" s="319"/>
      <c r="G2027" s="319"/>
      <c r="H2027" s="320"/>
      <c r="I2027" s="332"/>
      <c r="J2027" s="321"/>
    </row>
    <row r="2028" spans="1:10" x14ac:dyDescent="0.25">
      <c r="A2028" s="303"/>
      <c r="B2028" s="333" t="s">
        <v>346</v>
      </c>
      <c r="C2028" s="317"/>
      <c r="D2028" s="318"/>
      <c r="E2028" s="319"/>
      <c r="F2028" s="319"/>
      <c r="G2028" s="319"/>
      <c r="H2028" s="320"/>
      <c r="I2028" s="332"/>
      <c r="J2028" s="321"/>
    </row>
    <row r="2029" spans="1:10" x14ac:dyDescent="0.25">
      <c r="A2029" s="303"/>
      <c r="B2029" s="310"/>
      <c r="C2029" s="334"/>
      <c r="D2029" s="312"/>
      <c r="E2029" s="313"/>
      <c r="F2029" s="313"/>
      <c r="G2029" s="313"/>
      <c r="H2029" s="313"/>
      <c r="I2029" s="338" t="s">
        <v>484</v>
      </c>
      <c r="J2029" s="315">
        <v>428.76279999999997</v>
      </c>
    </row>
    <row r="2030" spans="1:10" x14ac:dyDescent="0.25">
      <c r="A2030" s="303"/>
      <c r="B2030" s="339"/>
      <c r="C2030" s="334"/>
      <c r="D2030" s="312"/>
      <c r="E2030" s="313"/>
      <c r="F2030" s="313"/>
      <c r="G2030" s="313"/>
      <c r="H2030" s="313"/>
      <c r="I2030" s="338" t="s">
        <v>485</v>
      </c>
      <c r="J2030" s="340">
        <v>436.8107</v>
      </c>
    </row>
    <row r="2031" spans="1:10" x14ac:dyDescent="0.25">
      <c r="A2031" s="303"/>
      <c r="B2031" s="339"/>
      <c r="C2031" s="341" t="s">
        <v>486</v>
      </c>
      <c r="D2031" s="312">
        <v>24.9</v>
      </c>
      <c r="E2031" s="313"/>
      <c r="F2031" s="313"/>
      <c r="G2031" s="313"/>
      <c r="H2031" s="313"/>
      <c r="I2031" s="338" t="s">
        <v>487</v>
      </c>
      <c r="J2031" s="340">
        <v>17.5426</v>
      </c>
    </row>
    <row r="2032" spans="1:10" x14ac:dyDescent="0.25">
      <c r="A2032" s="303"/>
      <c r="B2032" s="310"/>
      <c r="C2032" s="334"/>
      <c r="D2032" s="312"/>
      <c r="E2032" s="313"/>
      <c r="F2032" s="313"/>
      <c r="G2032" s="313"/>
      <c r="H2032" s="338" t="s">
        <v>488</v>
      </c>
      <c r="I2032" s="342">
        <v>0</v>
      </c>
      <c r="J2032" s="315">
        <v>0</v>
      </c>
    </row>
    <row r="2033" spans="1:10" x14ac:dyDescent="0.25">
      <c r="A2033" s="303"/>
      <c r="B2033" s="310"/>
      <c r="C2033" s="334"/>
      <c r="D2033" s="312"/>
      <c r="E2033" s="313"/>
      <c r="F2033" s="313"/>
      <c r="G2033" s="313"/>
      <c r="H2033" s="335" t="s">
        <v>489</v>
      </c>
      <c r="I2033" s="343">
        <v>0</v>
      </c>
      <c r="J2033" s="315">
        <v>0</v>
      </c>
    </row>
    <row r="2034" spans="1:10" x14ac:dyDescent="0.25">
      <c r="A2034" s="303"/>
      <c r="B2034" s="310" t="s">
        <v>464</v>
      </c>
      <c r="C2034" s="311" t="s">
        <v>490</v>
      </c>
      <c r="D2034" s="312"/>
      <c r="E2034" s="313"/>
      <c r="F2034" s="313"/>
      <c r="G2034" s="314" t="s">
        <v>465</v>
      </c>
      <c r="H2034" s="336" t="s">
        <v>468</v>
      </c>
      <c r="I2034" s="336" t="s">
        <v>491</v>
      </c>
      <c r="J2034" s="322" t="s">
        <v>492</v>
      </c>
    </row>
    <row r="2035" spans="1:10" x14ac:dyDescent="0.25">
      <c r="A2035" s="303"/>
      <c r="B2035" s="337" t="s">
        <v>346</v>
      </c>
      <c r="C2035" s="311"/>
      <c r="D2035" s="312"/>
      <c r="E2035" s="313"/>
      <c r="F2035" s="313"/>
      <c r="G2035" s="314"/>
      <c r="H2035" s="329"/>
      <c r="I2035" s="329"/>
      <c r="J2035" s="315"/>
    </row>
    <row r="2036" spans="1:10" x14ac:dyDescent="0.25">
      <c r="A2036" s="303"/>
      <c r="B2036" s="333" t="s">
        <v>346</v>
      </c>
      <c r="C2036" s="317"/>
      <c r="D2036" s="318"/>
      <c r="E2036" s="319"/>
      <c r="F2036" s="319"/>
      <c r="G2036" s="320"/>
      <c r="H2036" s="332"/>
      <c r="I2036" s="332"/>
      <c r="J2036" s="321"/>
    </row>
    <row r="2037" spans="1:10" x14ac:dyDescent="0.25">
      <c r="A2037" s="303"/>
      <c r="B2037" s="333" t="s">
        <v>346</v>
      </c>
      <c r="C2037" s="317"/>
      <c r="D2037" s="318"/>
      <c r="E2037" s="319"/>
      <c r="F2037" s="319"/>
      <c r="G2037" s="320"/>
      <c r="H2037" s="332"/>
      <c r="I2037" s="332"/>
      <c r="J2037" s="321"/>
    </row>
    <row r="2038" spans="1:10" x14ac:dyDescent="0.25">
      <c r="A2038" s="303"/>
      <c r="B2038" s="333" t="s">
        <v>346</v>
      </c>
      <c r="C2038" s="317"/>
      <c r="D2038" s="318"/>
      <c r="E2038" s="319"/>
      <c r="F2038" s="319"/>
      <c r="G2038" s="320"/>
      <c r="H2038" s="332"/>
      <c r="I2038" s="332"/>
      <c r="J2038" s="321"/>
    </row>
    <row r="2039" spans="1:10" x14ac:dyDescent="0.25">
      <c r="A2039" s="303"/>
      <c r="B2039" s="333" t="s">
        <v>346</v>
      </c>
      <c r="C2039" s="317"/>
      <c r="D2039" s="318"/>
      <c r="E2039" s="319"/>
      <c r="F2039" s="319"/>
      <c r="G2039" s="320"/>
      <c r="H2039" s="332"/>
      <c r="I2039" s="332"/>
      <c r="J2039" s="321"/>
    </row>
    <row r="2040" spans="1:10" x14ac:dyDescent="0.25">
      <c r="A2040" s="303"/>
      <c r="B2040" s="333" t="s">
        <v>346</v>
      </c>
      <c r="C2040" s="317"/>
      <c r="D2040" s="318"/>
      <c r="E2040" s="319"/>
      <c r="F2040" s="319"/>
      <c r="G2040" s="320"/>
      <c r="H2040" s="332"/>
      <c r="I2040" s="332"/>
      <c r="J2040" s="321"/>
    </row>
    <row r="2041" spans="1:10" x14ac:dyDescent="0.25">
      <c r="A2041" s="303"/>
      <c r="B2041" s="333" t="s">
        <v>346</v>
      </c>
      <c r="C2041" s="317"/>
      <c r="D2041" s="318"/>
      <c r="E2041" s="319"/>
      <c r="F2041" s="319"/>
      <c r="G2041" s="320"/>
      <c r="H2041" s="332"/>
      <c r="I2041" s="332"/>
      <c r="J2041" s="321"/>
    </row>
    <row r="2042" spans="1:10" x14ac:dyDescent="0.25">
      <c r="A2042" s="303"/>
      <c r="B2042" s="310"/>
      <c r="C2042" s="334"/>
      <c r="D2042" s="312"/>
      <c r="E2042" s="313"/>
      <c r="F2042" s="313"/>
      <c r="G2042" s="313"/>
      <c r="H2042" s="343"/>
      <c r="I2042" s="335" t="s">
        <v>498</v>
      </c>
      <c r="J2042" s="315">
        <v>0</v>
      </c>
    </row>
    <row r="2043" spans="1:10" x14ac:dyDescent="0.25">
      <c r="A2043" s="303"/>
      <c r="B2043" s="310" t="s">
        <v>464</v>
      </c>
      <c r="C2043" s="311" t="s">
        <v>499</v>
      </c>
      <c r="D2043" s="312"/>
      <c r="E2043" s="313"/>
      <c r="F2043" s="313"/>
      <c r="G2043" s="314" t="s">
        <v>465</v>
      </c>
      <c r="H2043" s="336" t="s">
        <v>468</v>
      </c>
      <c r="I2043" s="336" t="s">
        <v>491</v>
      </c>
      <c r="J2043" s="322" t="s">
        <v>492</v>
      </c>
    </row>
    <row r="2044" spans="1:10" x14ac:dyDescent="0.25">
      <c r="A2044" s="303"/>
      <c r="B2044" s="337">
        <v>407819</v>
      </c>
      <c r="C2044" s="311" t="s">
        <v>721</v>
      </c>
      <c r="D2044" s="312"/>
      <c r="E2044" s="313"/>
      <c r="F2044" s="313"/>
      <c r="G2044" s="314" t="s">
        <v>560</v>
      </c>
      <c r="H2044" s="329">
        <v>12.02</v>
      </c>
      <c r="I2044" s="329">
        <v>4.4919000000000002</v>
      </c>
      <c r="J2044" s="315">
        <v>53.992600000000003</v>
      </c>
    </row>
    <row r="2045" spans="1:10" x14ac:dyDescent="0.25">
      <c r="A2045" s="303"/>
      <c r="B2045" s="333">
        <v>1107896</v>
      </c>
      <c r="C2045" s="317" t="s">
        <v>747</v>
      </c>
      <c r="D2045" s="318"/>
      <c r="E2045" s="319"/>
      <c r="F2045" s="319"/>
      <c r="G2045" s="320" t="s">
        <v>365</v>
      </c>
      <c r="H2045" s="332">
        <v>471.65</v>
      </c>
      <c r="I2045" s="332">
        <v>4.1730000000000003E-2</v>
      </c>
      <c r="J2045" s="321">
        <v>19.681999999999999</v>
      </c>
    </row>
    <row r="2046" spans="1:10" x14ac:dyDescent="0.25">
      <c r="A2046" s="303"/>
      <c r="B2046" s="333"/>
      <c r="C2046" s="317"/>
      <c r="D2046" s="318"/>
      <c r="E2046" s="319"/>
      <c r="F2046" s="319"/>
      <c r="G2046" s="320"/>
      <c r="H2046" s="332"/>
      <c r="I2046" s="332"/>
      <c r="J2046" s="321"/>
    </row>
    <row r="2047" spans="1:10" x14ac:dyDescent="0.25">
      <c r="A2047" s="303"/>
      <c r="B2047" s="333"/>
      <c r="C2047" s="317"/>
      <c r="D2047" s="318"/>
      <c r="E2047" s="319"/>
      <c r="F2047" s="319"/>
      <c r="G2047" s="320"/>
      <c r="H2047" s="332"/>
      <c r="I2047" s="332"/>
      <c r="J2047" s="321"/>
    </row>
    <row r="2048" spans="1:10" x14ac:dyDescent="0.25">
      <c r="A2048" s="303"/>
      <c r="B2048" s="333"/>
      <c r="C2048" s="317"/>
      <c r="D2048" s="318"/>
      <c r="E2048" s="319"/>
      <c r="F2048" s="319"/>
      <c r="G2048" s="320"/>
      <c r="H2048" s="332"/>
      <c r="I2048" s="332"/>
      <c r="J2048" s="321"/>
    </row>
    <row r="2049" spans="1:10" x14ac:dyDescent="0.25">
      <c r="A2049" s="303"/>
      <c r="B2049" s="310"/>
      <c r="C2049" s="334"/>
      <c r="D2049" s="312"/>
      <c r="E2049" s="313"/>
      <c r="F2049" s="313"/>
      <c r="G2049" s="313"/>
      <c r="H2049" s="343"/>
      <c r="I2049" s="335" t="s">
        <v>501</v>
      </c>
      <c r="J2049" s="315">
        <v>73.674599999999998</v>
      </c>
    </row>
    <row r="2050" spans="1:10" x14ac:dyDescent="0.25">
      <c r="A2050" s="303"/>
      <c r="B2050" s="310" t="s">
        <v>464</v>
      </c>
      <c r="C2050" s="311" t="s">
        <v>502</v>
      </c>
      <c r="D2050" s="312"/>
      <c r="E2050" s="313"/>
      <c r="F2050" s="314" t="s">
        <v>464</v>
      </c>
      <c r="G2050" s="324" t="s">
        <v>503</v>
      </c>
      <c r="H2050" s="329" t="s">
        <v>465</v>
      </c>
      <c r="I2050" s="336" t="s">
        <v>468</v>
      </c>
      <c r="J2050" s="322" t="s">
        <v>492</v>
      </c>
    </row>
    <row r="2051" spans="1:10" x14ac:dyDescent="0.25">
      <c r="A2051" s="303"/>
      <c r="B2051" s="337" t="s">
        <v>346</v>
      </c>
      <c r="C2051" s="311"/>
      <c r="D2051" s="312"/>
      <c r="E2051" s="313"/>
      <c r="F2051" s="314"/>
      <c r="G2051" s="314"/>
      <c r="H2051" s="329"/>
      <c r="I2051" s="329"/>
      <c r="J2051" s="315"/>
    </row>
    <row r="2052" spans="1:10" x14ac:dyDescent="0.25">
      <c r="A2052" s="303"/>
      <c r="B2052" s="333" t="s">
        <v>346</v>
      </c>
      <c r="C2052" s="317"/>
      <c r="D2052" s="318"/>
      <c r="E2052" s="319"/>
      <c r="F2052" s="320"/>
      <c r="G2052" s="320"/>
      <c r="H2052" s="332"/>
      <c r="I2052" s="332"/>
      <c r="J2052" s="321"/>
    </row>
    <row r="2053" spans="1:10" x14ac:dyDescent="0.25">
      <c r="A2053" s="303"/>
      <c r="B2053" s="333" t="s">
        <v>346</v>
      </c>
      <c r="C2053" s="317"/>
      <c r="D2053" s="318"/>
      <c r="E2053" s="319"/>
      <c r="F2053" s="320"/>
      <c r="G2053" s="320"/>
      <c r="H2053" s="332"/>
      <c r="I2053" s="332"/>
      <c r="J2053" s="321"/>
    </row>
    <row r="2054" spans="1:10" x14ac:dyDescent="0.25">
      <c r="A2054" s="303"/>
      <c r="B2054" s="333" t="s">
        <v>346</v>
      </c>
      <c r="C2054" s="317"/>
      <c r="D2054" s="318"/>
      <c r="E2054" s="319"/>
      <c r="F2054" s="320"/>
      <c r="G2054" s="320"/>
      <c r="H2054" s="332"/>
      <c r="I2054" s="332"/>
      <c r="J2054" s="321"/>
    </row>
    <row r="2055" spans="1:10" x14ac:dyDescent="0.25">
      <c r="A2055" s="303"/>
      <c r="B2055" s="333" t="s">
        <v>346</v>
      </c>
      <c r="C2055" s="317"/>
      <c r="D2055" s="318"/>
      <c r="E2055" s="319"/>
      <c r="F2055" s="320"/>
      <c r="G2055" s="320"/>
      <c r="H2055" s="332"/>
      <c r="I2055" s="332"/>
      <c r="J2055" s="321"/>
    </row>
    <row r="2056" spans="1:10" x14ac:dyDescent="0.25">
      <c r="A2056" s="303"/>
      <c r="B2056" s="310"/>
      <c r="C2056" s="334"/>
      <c r="D2056" s="312"/>
      <c r="E2056" s="313"/>
      <c r="F2056" s="313"/>
      <c r="G2056" s="313"/>
      <c r="H2056" s="343"/>
      <c r="I2056" s="338" t="s">
        <v>507</v>
      </c>
      <c r="J2056" s="315">
        <v>0</v>
      </c>
    </row>
    <row r="2057" spans="1:10" x14ac:dyDescent="0.25">
      <c r="A2057" s="303"/>
      <c r="B2057" s="310" t="s">
        <v>464</v>
      </c>
      <c r="C2057" s="311" t="s">
        <v>508</v>
      </c>
      <c r="D2057" s="345" t="s">
        <v>509</v>
      </c>
      <c r="E2057" s="324" t="s">
        <v>873</v>
      </c>
      <c r="F2057" s="324" t="s">
        <v>874</v>
      </c>
      <c r="G2057" s="324" t="s">
        <v>875</v>
      </c>
      <c r="H2057" s="336" t="s">
        <v>468</v>
      </c>
      <c r="I2057" s="324" t="s">
        <v>491</v>
      </c>
      <c r="J2057" s="322" t="s">
        <v>492</v>
      </c>
    </row>
    <row r="2058" spans="1:10" x14ac:dyDescent="0.25">
      <c r="A2058" s="303"/>
      <c r="B2058" s="337" t="s">
        <v>346</v>
      </c>
      <c r="C2058" s="311"/>
      <c r="D2058" s="345"/>
      <c r="E2058" s="314"/>
      <c r="F2058" s="314"/>
      <c r="G2058" s="314"/>
      <c r="H2058" s="329"/>
      <c r="I2058" s="314"/>
      <c r="J2058" s="315"/>
    </row>
    <row r="2059" spans="1:10" x14ac:dyDescent="0.25">
      <c r="A2059" s="303"/>
      <c r="B2059" s="333" t="s">
        <v>346</v>
      </c>
      <c r="C2059" s="317"/>
      <c r="D2059" s="346"/>
      <c r="E2059" s="320"/>
      <c r="F2059" s="320"/>
      <c r="G2059" s="320"/>
      <c r="H2059" s="332"/>
      <c r="I2059" s="320"/>
      <c r="J2059" s="321"/>
    </row>
    <row r="2060" spans="1:10" x14ac:dyDescent="0.25">
      <c r="A2060" s="303"/>
      <c r="B2060" s="333" t="s">
        <v>346</v>
      </c>
      <c r="C2060" s="317"/>
      <c r="D2060" s="346"/>
      <c r="E2060" s="320"/>
      <c r="F2060" s="320"/>
      <c r="G2060" s="320"/>
      <c r="H2060" s="332"/>
      <c r="I2060" s="320"/>
      <c r="J2060" s="321"/>
    </row>
    <row r="2061" spans="1:10" x14ac:dyDescent="0.25">
      <c r="A2061" s="303"/>
      <c r="B2061" s="333" t="s">
        <v>346</v>
      </c>
      <c r="C2061" s="317"/>
      <c r="D2061" s="346"/>
      <c r="E2061" s="320"/>
      <c r="F2061" s="320"/>
      <c r="G2061" s="320"/>
      <c r="H2061" s="332"/>
      <c r="I2061" s="320"/>
      <c r="J2061" s="321"/>
    </row>
    <row r="2062" spans="1:10" x14ac:dyDescent="0.25">
      <c r="A2062" s="303"/>
      <c r="B2062" s="333" t="s">
        <v>346</v>
      </c>
      <c r="C2062" s="317"/>
      <c r="D2062" s="346"/>
      <c r="E2062" s="320"/>
      <c r="F2062" s="320"/>
      <c r="G2062" s="320"/>
      <c r="H2062" s="332"/>
      <c r="I2062" s="320"/>
      <c r="J2062" s="321"/>
    </row>
    <row r="2063" spans="1:10" x14ac:dyDescent="0.25">
      <c r="A2063" s="303"/>
      <c r="B2063" s="333" t="s">
        <v>346</v>
      </c>
      <c r="C2063" s="317"/>
      <c r="D2063" s="346"/>
      <c r="E2063" s="320"/>
      <c r="F2063" s="320"/>
      <c r="G2063" s="320"/>
      <c r="H2063" s="332"/>
      <c r="I2063" s="320"/>
      <c r="J2063" s="321"/>
    </row>
    <row r="2064" spans="1:10" x14ac:dyDescent="0.25">
      <c r="A2064" s="303"/>
      <c r="B2064" s="333" t="s">
        <v>346</v>
      </c>
      <c r="C2064" s="317"/>
      <c r="D2064" s="346"/>
      <c r="E2064" s="320"/>
      <c r="F2064" s="320"/>
      <c r="G2064" s="320"/>
      <c r="H2064" s="332"/>
      <c r="I2064" s="320"/>
      <c r="J2064" s="321"/>
    </row>
    <row r="2065" spans="1:10" x14ac:dyDescent="0.25">
      <c r="A2065" s="303"/>
      <c r="B2065" s="310"/>
      <c r="C2065" s="334"/>
      <c r="D2065" s="312"/>
      <c r="E2065" s="313"/>
      <c r="F2065" s="313"/>
      <c r="G2065" s="313"/>
      <c r="H2065" s="313"/>
      <c r="I2065" s="338" t="s">
        <v>513</v>
      </c>
      <c r="J2065" s="315">
        <v>0</v>
      </c>
    </row>
    <row r="2066" spans="1:10" x14ac:dyDescent="0.25">
      <c r="A2066" s="303"/>
      <c r="B2066" s="310" t="s">
        <v>514</v>
      </c>
      <c r="C2066" s="334"/>
      <c r="D2066" s="312"/>
      <c r="E2066" s="313"/>
      <c r="F2066" s="313"/>
      <c r="G2066" s="313"/>
      <c r="H2066" s="313"/>
      <c r="I2066" s="313"/>
      <c r="J2066" s="315">
        <v>91.217200000000005</v>
      </c>
    </row>
    <row r="2067" spans="1:10" x14ac:dyDescent="0.25">
      <c r="A2067" s="303"/>
      <c r="B2067" s="310" t="s">
        <v>515</v>
      </c>
      <c r="C2067" s="334"/>
      <c r="D2067" s="312">
        <v>0</v>
      </c>
      <c r="E2067" s="313"/>
      <c r="F2067" s="313"/>
      <c r="G2067" s="313"/>
      <c r="H2067" s="313"/>
      <c r="I2067" s="313"/>
      <c r="J2067" s="315">
        <v>0</v>
      </c>
    </row>
    <row r="2068" spans="1:10" ht="14.4" thickBot="1" x14ac:dyDescent="0.3">
      <c r="A2068" s="303"/>
      <c r="B2068" s="310" t="s">
        <v>516</v>
      </c>
      <c r="C2068" s="334"/>
      <c r="D2068" s="312"/>
      <c r="E2068" s="313"/>
      <c r="F2068" s="313"/>
      <c r="G2068" s="313"/>
      <c r="H2068" s="313"/>
      <c r="I2068" s="313"/>
      <c r="J2068" s="347">
        <v>91.22</v>
      </c>
    </row>
    <row r="2069" spans="1:10" x14ac:dyDescent="0.25">
      <c r="A2069" s="303"/>
      <c r="B2069" s="304"/>
      <c r="C2069" s="305"/>
      <c r="D2069" s="348"/>
      <c r="E2069" s="308"/>
      <c r="F2069" s="308"/>
      <c r="G2069" s="308"/>
      <c r="H2069" s="308"/>
      <c r="I2069" s="308"/>
      <c r="J2069" s="309"/>
    </row>
    <row r="2070" spans="1:10" x14ac:dyDescent="0.25">
      <c r="A2070" s="303"/>
      <c r="B2070" s="316"/>
      <c r="C2070" s="303"/>
      <c r="D2070" s="318"/>
      <c r="E2070" s="319"/>
      <c r="F2070" s="319"/>
      <c r="G2070" s="319"/>
      <c r="H2070" s="319"/>
      <c r="I2070" s="319"/>
      <c r="J2070" s="349"/>
    </row>
    <row r="2071" spans="1:10" x14ac:dyDescent="0.25">
      <c r="A2071" s="303"/>
      <c r="B2071" s="316"/>
      <c r="C2071" s="303"/>
      <c r="D2071" s="318"/>
      <c r="E2071" s="319"/>
      <c r="F2071" s="319"/>
      <c r="G2071" s="319"/>
      <c r="H2071" s="319"/>
      <c r="I2071" s="319"/>
      <c r="J2071" s="349"/>
    </row>
    <row r="2072" spans="1:10" ht="14.4" thickBot="1" x14ac:dyDescent="0.3">
      <c r="A2072" s="303"/>
      <c r="B2072" s="350"/>
      <c r="C2072" s="303"/>
      <c r="D2072" s="318"/>
      <c r="E2072" s="319"/>
      <c r="F2072" s="319"/>
      <c r="G2072" s="319"/>
      <c r="H2072" s="319"/>
      <c r="I2072" s="319"/>
      <c r="J2072" s="351"/>
    </row>
    <row r="2073" spans="1:10" x14ac:dyDescent="0.25">
      <c r="A2073" s="303"/>
      <c r="B2073" s="305"/>
      <c r="C2073" s="305"/>
      <c r="D2073" s="348"/>
      <c r="E2073" s="308"/>
      <c r="F2073" s="308"/>
      <c r="G2073" s="308"/>
      <c r="H2073" s="308"/>
      <c r="I2073" s="308"/>
      <c r="J2073" s="352"/>
    </row>
    <row r="2074" spans="1:10" ht="14.4" thickBot="1" x14ac:dyDescent="0.3">
      <c r="A2074" s="303"/>
      <c r="B2074" s="303"/>
      <c r="C2074" s="303"/>
      <c r="D2074" s="318"/>
      <c r="E2074" s="319"/>
      <c r="F2074" s="319"/>
      <c r="G2074" s="319"/>
      <c r="H2074" s="319"/>
      <c r="I2074" s="319"/>
      <c r="J2074" s="353"/>
    </row>
    <row r="2075" spans="1:10" x14ac:dyDescent="0.25">
      <c r="A2075" s="303"/>
      <c r="B2075" s="304"/>
      <c r="C2075" s="305"/>
      <c r="D2075" s="306" t="s">
        <v>463</v>
      </c>
      <c r="E2075" s="307"/>
      <c r="F2075" s="307"/>
      <c r="G2075" s="308"/>
      <c r="H2075" s="308"/>
      <c r="I2075" s="308"/>
      <c r="J2075" s="309"/>
    </row>
    <row r="2076" spans="1:10" x14ac:dyDescent="0.25">
      <c r="A2076" s="303"/>
      <c r="B2076" s="310" t="s">
        <v>464</v>
      </c>
      <c r="C2076" s="311" t="s">
        <v>134</v>
      </c>
      <c r="D2076" s="312"/>
      <c r="E2076" s="313"/>
      <c r="F2076" s="313"/>
      <c r="G2076" s="313"/>
      <c r="H2076" s="314"/>
      <c r="I2076" s="313"/>
      <c r="J2076" s="315" t="s">
        <v>465</v>
      </c>
    </row>
    <row r="2077" spans="1:10" x14ac:dyDescent="0.25">
      <c r="A2077" s="303"/>
      <c r="B2077" s="316">
        <v>1107896</v>
      </c>
      <c r="C2077" s="317" t="s">
        <v>430</v>
      </c>
      <c r="D2077" s="318"/>
      <c r="E2077" s="319"/>
      <c r="F2077" s="319"/>
      <c r="G2077" s="319"/>
      <c r="H2077" s="320"/>
      <c r="I2077" s="319"/>
      <c r="J2077" s="321" t="s">
        <v>365</v>
      </c>
    </row>
    <row r="2078" spans="1:10" x14ac:dyDescent="0.25">
      <c r="A2078" s="303"/>
      <c r="B2078" s="310"/>
      <c r="C2078" s="311"/>
      <c r="D2078" s="312"/>
      <c r="E2078" s="314"/>
      <c r="F2078" s="314" t="s">
        <v>466</v>
      </c>
      <c r="G2078" s="314"/>
      <c r="H2078" s="314" t="s">
        <v>467</v>
      </c>
      <c r="I2078" s="314"/>
      <c r="J2078" s="322" t="s">
        <v>468</v>
      </c>
    </row>
    <row r="2079" spans="1:10" x14ac:dyDescent="0.25">
      <c r="A2079" s="303"/>
      <c r="B2079" s="316" t="s">
        <v>464</v>
      </c>
      <c r="C2079" s="317" t="s">
        <v>469</v>
      </c>
      <c r="D2079" s="318"/>
      <c r="E2079" s="323" t="s">
        <v>355</v>
      </c>
      <c r="F2079" s="324" t="s">
        <v>470</v>
      </c>
      <c r="G2079" s="324" t="s">
        <v>471</v>
      </c>
      <c r="H2079" s="324" t="s">
        <v>472</v>
      </c>
      <c r="I2079" s="325" t="s">
        <v>473</v>
      </c>
      <c r="J2079" s="326" t="s">
        <v>474</v>
      </c>
    </row>
    <row r="2080" spans="1:10" x14ac:dyDescent="0.25">
      <c r="A2080" s="303"/>
      <c r="B2080" s="327" t="s">
        <v>612</v>
      </c>
      <c r="C2080" s="311" t="s">
        <v>613</v>
      </c>
      <c r="D2080" s="312"/>
      <c r="E2080" s="328">
        <v>1</v>
      </c>
      <c r="F2080" s="328">
        <v>1</v>
      </c>
      <c r="G2080" s="328">
        <v>0</v>
      </c>
      <c r="H2080" s="329">
        <v>1.3712</v>
      </c>
      <c r="I2080" s="329">
        <v>0.91669999999999996</v>
      </c>
      <c r="J2080" s="315">
        <v>1.3712</v>
      </c>
    </row>
    <row r="2081" spans="1:10" x14ac:dyDescent="0.25">
      <c r="A2081" s="303"/>
      <c r="B2081" s="330" t="s">
        <v>614</v>
      </c>
      <c r="C2081" s="317" t="s">
        <v>615</v>
      </c>
      <c r="D2081" s="318"/>
      <c r="E2081" s="331">
        <v>3</v>
      </c>
      <c r="F2081" s="331">
        <v>0.4</v>
      </c>
      <c r="G2081" s="331">
        <v>0.6</v>
      </c>
      <c r="H2081" s="332">
        <v>1.0651999999999999</v>
      </c>
      <c r="I2081" s="332">
        <v>0.72250000000000003</v>
      </c>
      <c r="J2081" s="321">
        <v>2.5787</v>
      </c>
    </row>
    <row r="2082" spans="1:10" x14ac:dyDescent="0.25">
      <c r="A2082" s="303"/>
      <c r="B2082" s="330" t="s">
        <v>595</v>
      </c>
      <c r="C2082" s="317" t="s">
        <v>596</v>
      </c>
      <c r="D2082" s="318"/>
      <c r="E2082" s="331">
        <v>4</v>
      </c>
      <c r="F2082" s="331">
        <v>0.88</v>
      </c>
      <c r="G2082" s="331">
        <v>0.12</v>
      </c>
      <c r="H2082" s="332">
        <v>0.44979999999999998</v>
      </c>
      <c r="I2082" s="332">
        <v>0.30509999999999998</v>
      </c>
      <c r="J2082" s="321">
        <v>1.7297</v>
      </c>
    </row>
    <row r="2083" spans="1:10" x14ac:dyDescent="0.25">
      <c r="A2083" s="303"/>
      <c r="B2083" s="330" t="s">
        <v>616</v>
      </c>
      <c r="C2083" s="317" t="s">
        <v>617</v>
      </c>
      <c r="D2083" s="318"/>
      <c r="E2083" s="331">
        <v>1</v>
      </c>
      <c r="F2083" s="331">
        <v>1</v>
      </c>
      <c r="G2083" s="331">
        <v>0</v>
      </c>
      <c r="H2083" s="332">
        <v>44.021000000000001</v>
      </c>
      <c r="I2083" s="332">
        <v>23.415199999999999</v>
      </c>
      <c r="J2083" s="321">
        <v>44.021000000000001</v>
      </c>
    </row>
    <row r="2084" spans="1:10" x14ac:dyDescent="0.25">
      <c r="A2084" s="303"/>
      <c r="B2084" s="330" t="s">
        <v>618</v>
      </c>
      <c r="C2084" s="317" t="s">
        <v>619</v>
      </c>
      <c r="D2084" s="318"/>
      <c r="E2084" s="331">
        <v>1</v>
      </c>
      <c r="F2084" s="331">
        <v>1</v>
      </c>
      <c r="G2084" s="331">
        <v>0</v>
      </c>
      <c r="H2084" s="332">
        <v>3.6429</v>
      </c>
      <c r="I2084" s="332">
        <v>0.19370000000000001</v>
      </c>
      <c r="J2084" s="321">
        <v>3.6429</v>
      </c>
    </row>
    <row r="2085" spans="1:10" x14ac:dyDescent="0.25">
      <c r="A2085" s="303"/>
      <c r="B2085" s="333" t="s">
        <v>346</v>
      </c>
      <c r="C2085" s="317"/>
      <c r="D2085" s="318"/>
      <c r="E2085" s="331"/>
      <c r="F2085" s="331"/>
      <c r="G2085" s="331"/>
      <c r="H2085" s="332"/>
      <c r="I2085" s="332"/>
      <c r="J2085" s="321"/>
    </row>
    <row r="2086" spans="1:10" x14ac:dyDescent="0.25">
      <c r="A2086" s="303"/>
      <c r="B2086" s="333" t="s">
        <v>346</v>
      </c>
      <c r="C2086" s="317"/>
      <c r="D2086" s="318"/>
      <c r="E2086" s="331"/>
      <c r="F2086" s="331"/>
      <c r="G2086" s="331"/>
      <c r="H2086" s="332"/>
      <c r="I2086" s="332"/>
      <c r="J2086" s="321"/>
    </row>
    <row r="2087" spans="1:10" x14ac:dyDescent="0.25">
      <c r="A2087" s="303"/>
      <c r="B2087" s="310"/>
      <c r="C2087" s="334"/>
      <c r="D2087" s="312"/>
      <c r="E2087" s="313"/>
      <c r="F2087" s="313"/>
      <c r="G2087" s="313"/>
      <c r="H2087" s="313"/>
      <c r="I2087" s="335" t="s">
        <v>479</v>
      </c>
      <c r="J2087" s="315">
        <v>53.343499999999999</v>
      </c>
    </row>
    <row r="2088" spans="1:10" x14ac:dyDescent="0.25">
      <c r="A2088" s="303"/>
      <c r="B2088" s="310" t="s">
        <v>464</v>
      </c>
      <c r="C2088" s="311" t="s">
        <v>480</v>
      </c>
      <c r="D2088" s="312"/>
      <c r="E2088" s="313"/>
      <c r="F2088" s="313"/>
      <c r="G2088" s="313"/>
      <c r="H2088" s="324" t="s">
        <v>355</v>
      </c>
      <c r="I2088" s="336" t="s">
        <v>481</v>
      </c>
      <c r="J2088" s="322" t="s">
        <v>331</v>
      </c>
    </row>
    <row r="2089" spans="1:10" x14ac:dyDescent="0.25">
      <c r="A2089" s="303"/>
      <c r="B2089" s="337" t="s">
        <v>620</v>
      </c>
      <c r="C2089" s="311" t="s">
        <v>621</v>
      </c>
      <c r="D2089" s="312"/>
      <c r="E2089" s="313"/>
      <c r="F2089" s="313"/>
      <c r="G2089" s="313"/>
      <c r="H2089" s="314">
        <v>1</v>
      </c>
      <c r="I2089" s="329">
        <v>21.433599999999998</v>
      </c>
      <c r="J2089" s="315">
        <v>21.433599999999998</v>
      </c>
    </row>
    <row r="2090" spans="1:10" x14ac:dyDescent="0.25">
      <c r="A2090" s="303"/>
      <c r="B2090" s="333" t="s">
        <v>482</v>
      </c>
      <c r="C2090" s="317" t="s">
        <v>483</v>
      </c>
      <c r="D2090" s="318"/>
      <c r="E2090" s="319"/>
      <c r="F2090" s="319"/>
      <c r="G2090" s="319"/>
      <c r="H2090" s="320">
        <v>9</v>
      </c>
      <c r="I2090" s="332">
        <v>17.768000000000001</v>
      </c>
      <c r="J2090" s="321">
        <v>159.91200000000001</v>
      </c>
    </row>
    <row r="2091" spans="1:10" x14ac:dyDescent="0.25">
      <c r="A2091" s="303"/>
      <c r="B2091" s="333" t="s">
        <v>346</v>
      </c>
      <c r="C2091" s="317"/>
      <c r="D2091" s="318"/>
      <c r="E2091" s="319"/>
      <c r="F2091" s="319"/>
      <c r="G2091" s="319"/>
      <c r="H2091" s="320"/>
      <c r="I2091" s="332"/>
      <c r="J2091" s="321"/>
    </row>
    <row r="2092" spans="1:10" x14ac:dyDescent="0.25">
      <c r="A2092" s="303"/>
      <c r="B2092" s="333" t="s">
        <v>346</v>
      </c>
      <c r="C2092" s="317"/>
      <c r="D2092" s="318"/>
      <c r="E2092" s="319"/>
      <c r="F2092" s="319"/>
      <c r="G2092" s="319"/>
      <c r="H2092" s="320"/>
      <c r="I2092" s="332"/>
      <c r="J2092" s="321"/>
    </row>
    <row r="2093" spans="1:10" x14ac:dyDescent="0.25">
      <c r="A2093" s="303"/>
      <c r="B2093" s="333" t="s">
        <v>346</v>
      </c>
      <c r="C2093" s="317"/>
      <c r="D2093" s="318"/>
      <c r="E2093" s="319"/>
      <c r="F2093" s="319"/>
      <c r="G2093" s="319"/>
      <c r="H2093" s="320"/>
      <c r="I2093" s="332"/>
      <c r="J2093" s="321"/>
    </row>
    <row r="2094" spans="1:10" x14ac:dyDescent="0.25">
      <c r="A2094" s="303"/>
      <c r="B2094" s="333" t="s">
        <v>346</v>
      </c>
      <c r="C2094" s="317"/>
      <c r="D2094" s="318"/>
      <c r="E2094" s="319"/>
      <c r="F2094" s="319"/>
      <c r="G2094" s="319"/>
      <c r="H2094" s="320"/>
      <c r="I2094" s="332"/>
      <c r="J2094" s="321"/>
    </row>
    <row r="2095" spans="1:10" x14ac:dyDescent="0.25">
      <c r="A2095" s="303"/>
      <c r="B2095" s="333" t="s">
        <v>346</v>
      </c>
      <c r="C2095" s="317"/>
      <c r="D2095" s="318"/>
      <c r="E2095" s="319"/>
      <c r="F2095" s="319"/>
      <c r="G2095" s="319"/>
      <c r="H2095" s="320"/>
      <c r="I2095" s="332"/>
      <c r="J2095" s="321"/>
    </row>
    <row r="2096" spans="1:10" x14ac:dyDescent="0.25">
      <c r="A2096" s="303"/>
      <c r="B2096" s="310"/>
      <c r="C2096" s="334"/>
      <c r="D2096" s="312"/>
      <c r="E2096" s="313"/>
      <c r="F2096" s="313"/>
      <c r="G2096" s="313"/>
      <c r="H2096" s="313"/>
      <c r="I2096" s="338" t="s">
        <v>484</v>
      </c>
      <c r="J2096" s="315">
        <v>181.34559999999999</v>
      </c>
    </row>
    <row r="2097" spans="1:10" x14ac:dyDescent="0.25">
      <c r="A2097" s="303"/>
      <c r="B2097" s="339"/>
      <c r="C2097" s="334"/>
      <c r="D2097" s="312"/>
      <c r="E2097" s="313"/>
      <c r="F2097" s="313"/>
      <c r="G2097" s="313"/>
      <c r="H2097" s="313"/>
      <c r="I2097" s="338" t="s">
        <v>485</v>
      </c>
      <c r="J2097" s="340">
        <v>234.6891</v>
      </c>
    </row>
    <row r="2098" spans="1:10" x14ac:dyDescent="0.25">
      <c r="A2098" s="303"/>
      <c r="B2098" s="339"/>
      <c r="C2098" s="341" t="s">
        <v>486</v>
      </c>
      <c r="D2098" s="312">
        <v>3.8906299999999998</v>
      </c>
      <c r="E2098" s="313"/>
      <c r="F2098" s="313"/>
      <c r="G2098" s="313"/>
      <c r="H2098" s="313"/>
      <c r="I2098" s="338" t="s">
        <v>487</v>
      </c>
      <c r="J2098" s="340">
        <v>60.321599999999997</v>
      </c>
    </row>
    <row r="2099" spans="1:10" x14ac:dyDescent="0.25">
      <c r="A2099" s="303"/>
      <c r="B2099" s="310"/>
      <c r="C2099" s="334"/>
      <c r="D2099" s="312"/>
      <c r="E2099" s="313"/>
      <c r="F2099" s="313"/>
      <c r="G2099" s="313"/>
      <c r="H2099" s="338" t="s">
        <v>488</v>
      </c>
      <c r="I2099" s="342">
        <v>0</v>
      </c>
      <c r="J2099" s="315">
        <v>0</v>
      </c>
    </row>
    <row r="2100" spans="1:10" x14ac:dyDescent="0.25">
      <c r="A2100" s="303"/>
      <c r="B2100" s="310"/>
      <c r="C2100" s="334"/>
      <c r="D2100" s="312"/>
      <c r="E2100" s="313"/>
      <c r="F2100" s="313"/>
      <c r="G2100" s="313"/>
      <c r="H2100" s="335" t="s">
        <v>489</v>
      </c>
      <c r="I2100" s="343">
        <v>0</v>
      </c>
      <c r="J2100" s="315">
        <v>0</v>
      </c>
    </row>
    <row r="2101" spans="1:10" x14ac:dyDescent="0.25">
      <c r="A2101" s="303"/>
      <c r="B2101" s="310" t="s">
        <v>464</v>
      </c>
      <c r="C2101" s="311" t="s">
        <v>490</v>
      </c>
      <c r="D2101" s="312"/>
      <c r="E2101" s="313"/>
      <c r="F2101" s="313"/>
      <c r="G2101" s="314" t="s">
        <v>465</v>
      </c>
      <c r="H2101" s="336" t="s">
        <v>468</v>
      </c>
      <c r="I2101" s="336" t="s">
        <v>491</v>
      </c>
      <c r="J2101" s="322" t="s">
        <v>492</v>
      </c>
    </row>
    <row r="2102" spans="1:10" x14ac:dyDescent="0.25">
      <c r="A2102" s="303"/>
      <c r="B2102" s="337" t="s">
        <v>622</v>
      </c>
      <c r="C2102" s="311" t="s">
        <v>623</v>
      </c>
      <c r="D2102" s="312"/>
      <c r="E2102" s="313"/>
      <c r="F2102" s="313"/>
      <c r="G2102" s="314" t="s">
        <v>560</v>
      </c>
      <c r="H2102" s="329">
        <v>5.2572000000000001</v>
      </c>
      <c r="I2102" s="329">
        <v>0.94593000000000005</v>
      </c>
      <c r="J2102" s="315">
        <v>4.9729000000000001</v>
      </c>
    </row>
    <row r="2103" spans="1:10" x14ac:dyDescent="0.25">
      <c r="A2103" s="303"/>
      <c r="B2103" s="333" t="s">
        <v>624</v>
      </c>
      <c r="C2103" s="317" t="s">
        <v>625</v>
      </c>
      <c r="D2103" s="318"/>
      <c r="E2103" s="319"/>
      <c r="F2103" s="319"/>
      <c r="G2103" s="320" t="s">
        <v>365</v>
      </c>
      <c r="H2103" s="332">
        <v>32.81</v>
      </c>
      <c r="I2103" s="332">
        <v>0.61458999999999997</v>
      </c>
      <c r="J2103" s="321">
        <v>20.1647</v>
      </c>
    </row>
    <row r="2104" spans="1:10" x14ac:dyDescent="0.25">
      <c r="A2104" s="303"/>
      <c r="B2104" s="333" t="s">
        <v>556</v>
      </c>
      <c r="C2104" s="317" t="s">
        <v>557</v>
      </c>
      <c r="D2104" s="318"/>
      <c r="E2104" s="319"/>
      <c r="F2104" s="319"/>
      <c r="G2104" s="320" t="s">
        <v>365</v>
      </c>
      <c r="H2104" s="332">
        <v>68.72</v>
      </c>
      <c r="I2104" s="332">
        <v>0.36753999999999998</v>
      </c>
      <c r="J2104" s="321">
        <v>25.257300000000001</v>
      </c>
    </row>
    <row r="2105" spans="1:10" x14ac:dyDescent="0.25">
      <c r="A2105" s="303"/>
      <c r="B2105" s="333" t="s">
        <v>626</v>
      </c>
      <c r="C2105" s="317" t="s">
        <v>627</v>
      </c>
      <c r="D2105" s="318"/>
      <c r="E2105" s="319"/>
      <c r="F2105" s="319"/>
      <c r="G2105" s="320" t="s">
        <v>365</v>
      </c>
      <c r="H2105" s="332">
        <v>68.72</v>
      </c>
      <c r="I2105" s="332">
        <v>0.36753999999999998</v>
      </c>
      <c r="J2105" s="321">
        <v>25.257300000000001</v>
      </c>
    </row>
    <row r="2106" spans="1:10" x14ac:dyDescent="0.25">
      <c r="A2106" s="303"/>
      <c r="B2106" s="333" t="s">
        <v>628</v>
      </c>
      <c r="C2106" s="317" t="s">
        <v>629</v>
      </c>
      <c r="D2106" s="318"/>
      <c r="E2106" s="319"/>
      <c r="F2106" s="319"/>
      <c r="G2106" s="320" t="s">
        <v>560</v>
      </c>
      <c r="H2106" s="332">
        <v>0.51600000000000001</v>
      </c>
      <c r="I2106" s="332">
        <v>315.31031000000002</v>
      </c>
      <c r="J2106" s="321">
        <v>162.70009999999999</v>
      </c>
    </row>
    <row r="2107" spans="1:10" x14ac:dyDescent="0.25">
      <c r="A2107" s="303"/>
      <c r="B2107" s="333" t="s">
        <v>346</v>
      </c>
      <c r="C2107" s="317"/>
      <c r="D2107" s="318"/>
      <c r="E2107" s="319"/>
      <c r="F2107" s="319"/>
      <c r="G2107" s="320"/>
      <c r="H2107" s="332"/>
      <c r="I2107" s="332"/>
      <c r="J2107" s="321"/>
    </row>
    <row r="2108" spans="1:10" x14ac:dyDescent="0.25">
      <c r="A2108" s="303"/>
      <c r="B2108" s="333" t="s">
        <v>346</v>
      </c>
      <c r="C2108" s="317"/>
      <c r="D2108" s="318"/>
      <c r="E2108" s="319"/>
      <c r="F2108" s="319"/>
      <c r="G2108" s="320"/>
      <c r="H2108" s="332"/>
      <c r="I2108" s="332"/>
      <c r="J2108" s="321"/>
    </row>
    <row r="2109" spans="1:10" x14ac:dyDescent="0.25">
      <c r="A2109" s="303"/>
      <c r="B2109" s="310"/>
      <c r="C2109" s="334"/>
      <c r="D2109" s="312"/>
      <c r="E2109" s="313"/>
      <c r="F2109" s="313"/>
      <c r="G2109" s="313"/>
      <c r="H2109" s="343"/>
      <c r="I2109" s="335" t="s">
        <v>498</v>
      </c>
      <c r="J2109" s="315">
        <v>238.35229999999999</v>
      </c>
    </row>
    <row r="2110" spans="1:10" x14ac:dyDescent="0.25">
      <c r="A2110" s="303"/>
      <c r="B2110" s="310" t="s">
        <v>464</v>
      </c>
      <c r="C2110" s="311" t="s">
        <v>499</v>
      </c>
      <c r="D2110" s="312"/>
      <c r="E2110" s="313"/>
      <c r="F2110" s="313"/>
      <c r="G2110" s="314" t="s">
        <v>465</v>
      </c>
      <c r="H2110" s="336" t="s">
        <v>468</v>
      </c>
      <c r="I2110" s="336" t="s">
        <v>491</v>
      </c>
      <c r="J2110" s="322" t="s">
        <v>492</v>
      </c>
    </row>
    <row r="2111" spans="1:10" x14ac:dyDescent="0.25">
      <c r="A2111" s="303"/>
      <c r="B2111" s="337"/>
      <c r="C2111" s="311"/>
      <c r="D2111" s="312"/>
      <c r="E2111" s="313"/>
      <c r="F2111" s="313"/>
      <c r="G2111" s="314"/>
      <c r="H2111" s="329"/>
      <c r="I2111" s="329"/>
      <c r="J2111" s="315"/>
    </row>
    <row r="2112" spans="1:10" x14ac:dyDescent="0.25">
      <c r="A2112" s="303"/>
      <c r="B2112" s="333"/>
      <c r="C2112" s="317"/>
      <c r="D2112" s="318"/>
      <c r="E2112" s="319"/>
      <c r="F2112" s="319"/>
      <c r="G2112" s="320"/>
      <c r="H2112" s="332"/>
      <c r="I2112" s="332"/>
      <c r="J2112" s="321"/>
    </row>
    <row r="2113" spans="1:10" x14ac:dyDescent="0.25">
      <c r="A2113" s="303"/>
      <c r="B2113" s="333"/>
      <c r="C2113" s="317"/>
      <c r="D2113" s="318"/>
      <c r="E2113" s="319"/>
      <c r="F2113" s="319"/>
      <c r="G2113" s="320"/>
      <c r="H2113" s="332"/>
      <c r="I2113" s="332"/>
      <c r="J2113" s="321"/>
    </row>
    <row r="2114" spans="1:10" x14ac:dyDescent="0.25">
      <c r="A2114" s="303"/>
      <c r="B2114" s="333"/>
      <c r="C2114" s="317"/>
      <c r="D2114" s="318"/>
      <c r="E2114" s="319"/>
      <c r="F2114" s="319"/>
      <c r="G2114" s="320"/>
      <c r="H2114" s="332"/>
      <c r="I2114" s="332"/>
      <c r="J2114" s="321"/>
    </row>
    <row r="2115" spans="1:10" x14ac:dyDescent="0.25">
      <c r="A2115" s="303"/>
      <c r="B2115" s="333"/>
      <c r="C2115" s="317"/>
      <c r="D2115" s="318"/>
      <c r="E2115" s="319"/>
      <c r="F2115" s="319"/>
      <c r="G2115" s="320"/>
      <c r="H2115" s="332"/>
      <c r="I2115" s="332"/>
      <c r="J2115" s="321"/>
    </row>
    <row r="2116" spans="1:10" x14ac:dyDescent="0.25">
      <c r="A2116" s="303"/>
      <c r="B2116" s="310"/>
      <c r="C2116" s="334"/>
      <c r="D2116" s="312"/>
      <c r="E2116" s="313"/>
      <c r="F2116" s="313"/>
      <c r="G2116" s="313"/>
      <c r="H2116" s="343"/>
      <c r="I2116" s="335" t="s">
        <v>501</v>
      </c>
      <c r="J2116" s="315">
        <v>0</v>
      </c>
    </row>
    <row r="2117" spans="1:10" x14ac:dyDescent="0.25">
      <c r="A2117" s="303"/>
      <c r="B2117" s="310" t="s">
        <v>464</v>
      </c>
      <c r="C2117" s="311" t="s">
        <v>502</v>
      </c>
      <c r="D2117" s="312"/>
      <c r="E2117" s="313"/>
      <c r="F2117" s="314" t="s">
        <v>464</v>
      </c>
      <c r="G2117" s="324" t="s">
        <v>503</v>
      </c>
      <c r="H2117" s="329" t="s">
        <v>465</v>
      </c>
      <c r="I2117" s="336" t="s">
        <v>468</v>
      </c>
      <c r="J2117" s="322" t="s">
        <v>492</v>
      </c>
    </row>
    <row r="2118" spans="1:10" x14ac:dyDescent="0.25">
      <c r="A2118" s="303"/>
      <c r="B2118" s="337" t="s">
        <v>630</v>
      </c>
      <c r="C2118" s="311" t="s">
        <v>631</v>
      </c>
      <c r="D2118" s="312"/>
      <c r="E2118" s="313"/>
      <c r="F2118" s="344" t="s">
        <v>632</v>
      </c>
      <c r="G2118" s="314">
        <v>9.5E-4</v>
      </c>
      <c r="H2118" s="329" t="s">
        <v>370</v>
      </c>
      <c r="I2118" s="329">
        <v>26.18</v>
      </c>
      <c r="J2118" s="315">
        <v>2.4899999999999999E-2</v>
      </c>
    </row>
    <row r="2119" spans="1:10" x14ac:dyDescent="0.25">
      <c r="A2119" s="303"/>
      <c r="B2119" s="333" t="s">
        <v>633</v>
      </c>
      <c r="C2119" s="317" t="s">
        <v>634</v>
      </c>
      <c r="D2119" s="318"/>
      <c r="E2119" s="319"/>
      <c r="F2119" s="354" t="s">
        <v>567</v>
      </c>
      <c r="G2119" s="320">
        <v>0.92188999999999999</v>
      </c>
      <c r="H2119" s="332" t="s">
        <v>370</v>
      </c>
      <c r="I2119" s="332">
        <v>1.23</v>
      </c>
      <c r="J2119" s="321">
        <v>1.1338999999999999</v>
      </c>
    </row>
    <row r="2120" spans="1:10" x14ac:dyDescent="0.25">
      <c r="A2120" s="303"/>
      <c r="B2120" s="333" t="s">
        <v>570</v>
      </c>
      <c r="C2120" s="317" t="s">
        <v>571</v>
      </c>
      <c r="D2120" s="318"/>
      <c r="E2120" s="319"/>
      <c r="F2120" s="354" t="s">
        <v>567</v>
      </c>
      <c r="G2120" s="320">
        <v>0.55130999999999997</v>
      </c>
      <c r="H2120" s="332" t="s">
        <v>370</v>
      </c>
      <c r="I2120" s="332">
        <v>1.23</v>
      </c>
      <c r="J2120" s="321">
        <v>0.67810000000000004</v>
      </c>
    </row>
    <row r="2121" spans="1:10" x14ac:dyDescent="0.25">
      <c r="A2121" s="303"/>
      <c r="B2121" s="333" t="s">
        <v>635</v>
      </c>
      <c r="C2121" s="317" t="s">
        <v>636</v>
      </c>
      <c r="D2121" s="318"/>
      <c r="E2121" s="319"/>
      <c r="F2121" s="354" t="s">
        <v>567</v>
      </c>
      <c r="G2121" s="320">
        <v>0.55130999999999997</v>
      </c>
      <c r="H2121" s="332" t="s">
        <v>370</v>
      </c>
      <c r="I2121" s="332">
        <v>1.23</v>
      </c>
      <c r="J2121" s="321">
        <v>0.67810000000000004</v>
      </c>
    </row>
    <row r="2122" spans="1:10" x14ac:dyDescent="0.25">
      <c r="A2122" s="303"/>
      <c r="B2122" s="333" t="s">
        <v>637</v>
      </c>
      <c r="C2122" s="317" t="s">
        <v>638</v>
      </c>
      <c r="D2122" s="318"/>
      <c r="E2122" s="319"/>
      <c r="F2122" s="354" t="s">
        <v>632</v>
      </c>
      <c r="G2122" s="320">
        <v>0.31530999999999998</v>
      </c>
      <c r="H2122" s="332" t="s">
        <v>370</v>
      </c>
      <c r="I2122" s="332">
        <v>26.18</v>
      </c>
      <c r="J2122" s="321">
        <v>8.2547999999999995</v>
      </c>
    </row>
    <row r="2123" spans="1:10" x14ac:dyDescent="0.25">
      <c r="A2123" s="303"/>
      <c r="B2123" s="310"/>
      <c r="C2123" s="334"/>
      <c r="D2123" s="312"/>
      <c r="E2123" s="313"/>
      <c r="F2123" s="313"/>
      <c r="G2123" s="313"/>
      <c r="H2123" s="343"/>
      <c r="I2123" s="338" t="s">
        <v>507</v>
      </c>
      <c r="J2123" s="315">
        <v>10.7698</v>
      </c>
    </row>
    <row r="2124" spans="1:10" x14ac:dyDescent="0.25">
      <c r="A2124" s="303"/>
      <c r="B2124" s="310" t="s">
        <v>464</v>
      </c>
      <c r="C2124" s="311" t="s">
        <v>508</v>
      </c>
      <c r="D2124" s="345" t="s">
        <v>509</v>
      </c>
      <c r="E2124" s="324" t="s">
        <v>873</v>
      </c>
      <c r="F2124" s="324" t="s">
        <v>874</v>
      </c>
      <c r="G2124" s="324" t="s">
        <v>875</v>
      </c>
      <c r="H2124" s="336" t="s">
        <v>468</v>
      </c>
      <c r="I2124" s="324" t="s">
        <v>491</v>
      </c>
      <c r="J2124" s="322" t="s">
        <v>492</v>
      </c>
    </row>
    <row r="2125" spans="1:10" x14ac:dyDescent="0.25">
      <c r="A2125" s="303"/>
      <c r="B2125" s="337" t="s">
        <v>639</v>
      </c>
      <c r="C2125" s="311" t="s">
        <v>640</v>
      </c>
      <c r="D2125" s="345" t="s">
        <v>510</v>
      </c>
      <c r="E2125" s="314">
        <v>0</v>
      </c>
      <c r="F2125" s="314">
        <v>0</v>
      </c>
      <c r="G2125" s="314">
        <v>100.45</v>
      </c>
      <c r="H2125" s="329">
        <v>0.55000000000000004</v>
      </c>
      <c r="I2125" s="314">
        <v>9.5E-4</v>
      </c>
      <c r="J2125" s="315">
        <v>5.2499999999999998E-2</v>
      </c>
    </row>
    <row r="2126" spans="1:10" x14ac:dyDescent="0.25">
      <c r="A2126" s="303"/>
      <c r="B2126" s="333" t="s">
        <v>641</v>
      </c>
      <c r="C2126" s="317" t="s">
        <v>642</v>
      </c>
      <c r="D2126" s="346" t="s">
        <v>510</v>
      </c>
      <c r="E2126" s="320">
        <v>0</v>
      </c>
      <c r="F2126" s="320">
        <v>0</v>
      </c>
      <c r="G2126" s="320">
        <v>121</v>
      </c>
      <c r="H2126" s="332">
        <v>0.55000000000000004</v>
      </c>
      <c r="I2126" s="320">
        <v>0.92188999999999999</v>
      </c>
      <c r="J2126" s="321">
        <v>61.351799999999997</v>
      </c>
    </row>
    <row r="2127" spans="1:10" x14ac:dyDescent="0.25">
      <c r="A2127" s="303"/>
      <c r="B2127" s="333" t="s">
        <v>581</v>
      </c>
      <c r="C2127" s="317" t="s">
        <v>582</v>
      </c>
      <c r="D2127" s="346" t="s">
        <v>510</v>
      </c>
      <c r="E2127" s="320">
        <v>0</v>
      </c>
      <c r="F2127" s="320">
        <v>0</v>
      </c>
      <c r="G2127" s="320">
        <v>137.5</v>
      </c>
      <c r="H2127" s="332">
        <v>0.55000000000000004</v>
      </c>
      <c r="I2127" s="320">
        <v>0.55130999999999997</v>
      </c>
      <c r="J2127" s="321">
        <v>41.692799999999998</v>
      </c>
    </row>
    <row r="2128" spans="1:10" x14ac:dyDescent="0.25">
      <c r="A2128" s="303"/>
      <c r="B2128" s="333" t="s">
        <v>643</v>
      </c>
      <c r="C2128" s="317" t="s">
        <v>644</v>
      </c>
      <c r="D2128" s="346" t="s">
        <v>510</v>
      </c>
      <c r="E2128" s="320">
        <v>0</v>
      </c>
      <c r="F2128" s="320">
        <v>0</v>
      </c>
      <c r="G2128" s="320">
        <v>137.5</v>
      </c>
      <c r="H2128" s="332">
        <v>0.55000000000000004</v>
      </c>
      <c r="I2128" s="320">
        <v>0.55130999999999997</v>
      </c>
      <c r="J2128" s="321">
        <v>41.692799999999998</v>
      </c>
    </row>
    <row r="2129" spans="1:10" x14ac:dyDescent="0.25">
      <c r="A2129" s="303"/>
      <c r="B2129" s="333" t="s">
        <v>645</v>
      </c>
      <c r="C2129" s="317" t="s">
        <v>646</v>
      </c>
      <c r="D2129" s="346" t="s">
        <v>510</v>
      </c>
      <c r="E2129" s="320">
        <v>0</v>
      </c>
      <c r="F2129" s="320">
        <v>0</v>
      </c>
      <c r="G2129" s="320">
        <v>100.45</v>
      </c>
      <c r="H2129" s="332">
        <v>0.55000000000000004</v>
      </c>
      <c r="I2129" s="320">
        <v>0.31530999999999998</v>
      </c>
      <c r="J2129" s="321">
        <v>17.420100000000001</v>
      </c>
    </row>
    <row r="2130" spans="1:10" x14ac:dyDescent="0.25">
      <c r="A2130" s="303"/>
      <c r="B2130" s="333" t="s">
        <v>346</v>
      </c>
      <c r="C2130" s="317"/>
      <c r="D2130" s="346"/>
      <c r="E2130" s="320"/>
      <c r="F2130" s="320"/>
      <c r="G2130" s="320"/>
      <c r="H2130" s="332"/>
      <c r="I2130" s="320"/>
      <c r="J2130" s="321"/>
    </row>
    <row r="2131" spans="1:10" x14ac:dyDescent="0.25">
      <c r="A2131" s="303"/>
      <c r="B2131" s="333" t="s">
        <v>346</v>
      </c>
      <c r="C2131" s="317"/>
      <c r="D2131" s="346"/>
      <c r="E2131" s="320"/>
      <c r="F2131" s="320"/>
      <c r="G2131" s="320"/>
      <c r="H2131" s="332"/>
      <c r="I2131" s="320"/>
      <c r="J2131" s="321"/>
    </row>
    <row r="2132" spans="1:10" x14ac:dyDescent="0.25">
      <c r="A2132" s="303"/>
      <c r="B2132" s="310"/>
      <c r="C2132" s="334"/>
      <c r="D2132" s="312"/>
      <c r="E2132" s="313"/>
      <c r="F2132" s="313"/>
      <c r="G2132" s="313"/>
      <c r="H2132" s="313"/>
      <c r="I2132" s="338" t="s">
        <v>513</v>
      </c>
      <c r="J2132" s="315">
        <v>162.20999999999998</v>
      </c>
    </row>
    <row r="2133" spans="1:10" x14ac:dyDescent="0.25">
      <c r="A2133" s="303"/>
      <c r="B2133" s="310" t="s">
        <v>514</v>
      </c>
      <c r="C2133" s="334"/>
      <c r="D2133" s="312"/>
      <c r="E2133" s="313"/>
      <c r="F2133" s="313"/>
      <c r="G2133" s="313"/>
      <c r="H2133" s="313"/>
      <c r="I2133" s="313"/>
      <c r="J2133" s="315">
        <v>471.6536999999999</v>
      </c>
    </row>
    <row r="2134" spans="1:10" x14ac:dyDescent="0.25">
      <c r="A2134" s="303"/>
      <c r="B2134" s="310" t="s">
        <v>515</v>
      </c>
      <c r="C2134" s="334"/>
      <c r="D2134" s="312">
        <v>0</v>
      </c>
      <c r="E2134" s="313"/>
      <c r="F2134" s="313"/>
      <c r="G2134" s="313"/>
      <c r="H2134" s="313"/>
      <c r="I2134" s="313"/>
      <c r="J2134" s="315">
        <v>0</v>
      </c>
    </row>
    <row r="2135" spans="1:10" ht="14.4" thickBot="1" x14ac:dyDescent="0.3">
      <c r="A2135" s="303"/>
      <c r="B2135" s="310" t="s">
        <v>516</v>
      </c>
      <c r="C2135" s="334"/>
      <c r="D2135" s="312"/>
      <c r="E2135" s="313"/>
      <c r="F2135" s="313"/>
      <c r="G2135" s="313"/>
      <c r="H2135" s="313"/>
      <c r="I2135" s="313"/>
      <c r="J2135" s="347">
        <v>471.65</v>
      </c>
    </row>
    <row r="2136" spans="1:10" x14ac:dyDescent="0.25">
      <c r="A2136" s="303"/>
      <c r="B2136" s="304"/>
      <c r="C2136" s="305"/>
      <c r="D2136" s="348"/>
      <c r="E2136" s="308"/>
      <c r="F2136" s="308"/>
      <c r="G2136" s="308"/>
      <c r="H2136" s="308"/>
      <c r="I2136" s="308"/>
      <c r="J2136" s="309"/>
    </row>
    <row r="2137" spans="1:10" x14ac:dyDescent="0.25">
      <c r="A2137" s="303"/>
      <c r="B2137" s="316"/>
      <c r="C2137" s="303"/>
      <c r="D2137" s="318"/>
      <c r="E2137" s="319"/>
      <c r="F2137" s="319"/>
      <c r="G2137" s="319"/>
      <c r="H2137" s="319"/>
      <c r="I2137" s="319"/>
      <c r="J2137" s="349"/>
    </row>
    <row r="2138" spans="1:10" x14ac:dyDescent="0.25">
      <c r="A2138" s="303"/>
      <c r="B2138" s="316"/>
      <c r="C2138" s="303"/>
      <c r="D2138" s="318"/>
      <c r="E2138" s="319"/>
      <c r="F2138" s="319"/>
      <c r="G2138" s="319"/>
      <c r="H2138" s="319"/>
      <c r="I2138" s="319"/>
      <c r="J2138" s="349"/>
    </row>
    <row r="2139" spans="1:10" ht="14.4" thickBot="1" x14ac:dyDescent="0.3">
      <c r="A2139" s="303"/>
      <c r="B2139" s="350"/>
      <c r="C2139" s="303"/>
      <c r="D2139" s="318"/>
      <c r="E2139" s="319"/>
      <c r="F2139" s="319"/>
      <c r="G2139" s="319"/>
      <c r="H2139" s="319"/>
      <c r="I2139" s="319"/>
      <c r="J2139" s="351"/>
    </row>
    <row r="2140" spans="1:10" x14ac:dyDescent="0.25">
      <c r="A2140" s="303"/>
      <c r="B2140" s="305"/>
      <c r="C2140" s="305"/>
      <c r="D2140" s="348"/>
      <c r="E2140" s="308"/>
      <c r="F2140" s="308"/>
      <c r="G2140" s="308"/>
      <c r="H2140" s="308"/>
      <c r="I2140" s="308"/>
      <c r="J2140" s="352"/>
    </row>
    <row r="2141" spans="1:10" ht="14.4" thickBot="1" x14ac:dyDescent="0.3">
      <c r="A2141" s="303"/>
      <c r="B2141" s="303"/>
      <c r="C2141" s="303"/>
      <c r="D2141" s="318"/>
      <c r="E2141" s="319"/>
      <c r="F2141" s="319"/>
      <c r="G2141" s="319"/>
      <c r="H2141" s="319"/>
      <c r="I2141" s="319"/>
      <c r="J2141" s="353"/>
    </row>
    <row r="2142" spans="1:10" x14ac:dyDescent="0.25">
      <c r="A2142" s="303"/>
      <c r="B2142" s="304"/>
      <c r="C2142" s="305"/>
      <c r="D2142" s="306" t="s">
        <v>463</v>
      </c>
      <c r="E2142" s="307"/>
      <c r="F2142" s="307"/>
      <c r="G2142" s="308"/>
      <c r="H2142" s="308"/>
      <c r="I2142" s="308"/>
      <c r="J2142" s="309"/>
    </row>
    <row r="2143" spans="1:10" x14ac:dyDescent="0.25">
      <c r="A2143" s="303"/>
      <c r="B2143" s="310" t="s">
        <v>464</v>
      </c>
      <c r="C2143" s="311" t="s">
        <v>134</v>
      </c>
      <c r="D2143" s="312"/>
      <c r="E2143" s="313"/>
      <c r="F2143" s="313"/>
      <c r="G2143" s="313"/>
      <c r="H2143" s="314"/>
      <c r="I2143" s="313"/>
      <c r="J2143" s="315" t="s">
        <v>465</v>
      </c>
    </row>
    <row r="2144" spans="1:10" x14ac:dyDescent="0.25">
      <c r="A2144" s="303"/>
      <c r="B2144" s="316">
        <v>4915723</v>
      </c>
      <c r="C2144" s="317" t="s">
        <v>394</v>
      </c>
      <c r="D2144" s="318"/>
      <c r="E2144" s="319"/>
      <c r="F2144" s="319"/>
      <c r="G2144" s="319"/>
      <c r="H2144" s="320"/>
      <c r="I2144" s="319"/>
      <c r="J2144" s="321" t="s">
        <v>368</v>
      </c>
    </row>
    <row r="2145" spans="1:10" x14ac:dyDescent="0.25">
      <c r="A2145" s="303"/>
      <c r="B2145" s="310"/>
      <c r="C2145" s="311"/>
      <c r="D2145" s="312"/>
      <c r="E2145" s="314"/>
      <c r="F2145" s="314" t="s">
        <v>466</v>
      </c>
      <c r="G2145" s="314"/>
      <c r="H2145" s="314" t="s">
        <v>467</v>
      </c>
      <c r="I2145" s="314"/>
      <c r="J2145" s="322" t="s">
        <v>468</v>
      </c>
    </row>
    <row r="2146" spans="1:10" x14ac:dyDescent="0.25">
      <c r="A2146" s="303"/>
      <c r="B2146" s="316" t="s">
        <v>464</v>
      </c>
      <c r="C2146" s="317" t="s">
        <v>469</v>
      </c>
      <c r="D2146" s="318"/>
      <c r="E2146" s="323" t="s">
        <v>355</v>
      </c>
      <c r="F2146" s="324" t="s">
        <v>470</v>
      </c>
      <c r="G2146" s="324" t="s">
        <v>471</v>
      </c>
      <c r="H2146" s="324" t="s">
        <v>472</v>
      </c>
      <c r="I2146" s="325" t="s">
        <v>473</v>
      </c>
      <c r="J2146" s="326" t="s">
        <v>474</v>
      </c>
    </row>
    <row r="2147" spans="1:10" x14ac:dyDescent="0.25">
      <c r="A2147" s="303"/>
      <c r="B2147" s="327" t="s">
        <v>651</v>
      </c>
      <c r="C2147" s="311" t="s">
        <v>652</v>
      </c>
      <c r="D2147" s="312"/>
      <c r="E2147" s="328">
        <v>1</v>
      </c>
      <c r="F2147" s="328">
        <v>0.3</v>
      </c>
      <c r="G2147" s="328">
        <v>0.7</v>
      </c>
      <c r="H2147" s="329">
        <v>114.22329999999999</v>
      </c>
      <c r="I2147" s="329">
        <v>46.994700000000002</v>
      </c>
      <c r="J2147" s="315">
        <v>67.163300000000007</v>
      </c>
    </row>
    <row r="2148" spans="1:10" x14ac:dyDescent="0.25">
      <c r="A2148" s="303"/>
      <c r="B2148" s="333" t="s">
        <v>346</v>
      </c>
      <c r="C2148" s="317"/>
      <c r="D2148" s="318"/>
      <c r="E2148" s="331"/>
      <c r="F2148" s="331"/>
      <c r="G2148" s="331"/>
      <c r="H2148" s="332"/>
      <c r="I2148" s="332"/>
      <c r="J2148" s="321"/>
    </row>
    <row r="2149" spans="1:10" x14ac:dyDescent="0.25">
      <c r="A2149" s="303"/>
      <c r="B2149" s="333" t="s">
        <v>346</v>
      </c>
      <c r="C2149" s="317"/>
      <c r="D2149" s="318"/>
      <c r="E2149" s="331"/>
      <c r="F2149" s="331"/>
      <c r="G2149" s="331"/>
      <c r="H2149" s="332"/>
      <c r="I2149" s="332"/>
      <c r="J2149" s="321"/>
    </row>
    <row r="2150" spans="1:10" x14ac:dyDescent="0.25">
      <c r="A2150" s="303"/>
      <c r="B2150" s="333" t="s">
        <v>346</v>
      </c>
      <c r="C2150" s="317"/>
      <c r="D2150" s="318"/>
      <c r="E2150" s="331"/>
      <c r="F2150" s="331"/>
      <c r="G2150" s="331"/>
      <c r="H2150" s="332"/>
      <c r="I2150" s="332"/>
      <c r="J2150" s="321"/>
    </row>
    <row r="2151" spans="1:10" x14ac:dyDescent="0.25">
      <c r="A2151" s="303"/>
      <c r="B2151" s="333" t="s">
        <v>346</v>
      </c>
      <c r="C2151" s="317"/>
      <c r="D2151" s="318"/>
      <c r="E2151" s="331"/>
      <c r="F2151" s="331"/>
      <c r="G2151" s="331"/>
      <c r="H2151" s="332"/>
      <c r="I2151" s="332"/>
      <c r="J2151" s="321"/>
    </row>
    <row r="2152" spans="1:10" x14ac:dyDescent="0.25">
      <c r="A2152" s="303"/>
      <c r="B2152" s="333" t="s">
        <v>346</v>
      </c>
      <c r="C2152" s="317"/>
      <c r="D2152" s="318"/>
      <c r="E2152" s="331"/>
      <c r="F2152" s="331"/>
      <c r="G2152" s="331"/>
      <c r="H2152" s="332"/>
      <c r="I2152" s="332"/>
      <c r="J2152" s="321"/>
    </row>
    <row r="2153" spans="1:10" x14ac:dyDescent="0.25">
      <c r="A2153" s="303"/>
      <c r="B2153" s="333" t="s">
        <v>346</v>
      </c>
      <c r="C2153" s="317"/>
      <c r="D2153" s="318"/>
      <c r="E2153" s="331"/>
      <c r="F2153" s="331"/>
      <c r="G2153" s="331"/>
      <c r="H2153" s="332"/>
      <c r="I2153" s="332"/>
      <c r="J2153" s="321"/>
    </row>
    <row r="2154" spans="1:10" x14ac:dyDescent="0.25">
      <c r="A2154" s="303"/>
      <c r="B2154" s="310"/>
      <c r="C2154" s="334"/>
      <c r="D2154" s="312"/>
      <c r="E2154" s="313"/>
      <c r="F2154" s="313"/>
      <c r="G2154" s="313"/>
      <c r="H2154" s="313"/>
      <c r="I2154" s="335" t="s">
        <v>479</v>
      </c>
      <c r="J2154" s="315">
        <v>67.163300000000007</v>
      </c>
    </row>
    <row r="2155" spans="1:10" x14ac:dyDescent="0.25">
      <c r="A2155" s="303"/>
      <c r="B2155" s="310" t="s">
        <v>464</v>
      </c>
      <c r="C2155" s="311" t="s">
        <v>480</v>
      </c>
      <c r="D2155" s="312"/>
      <c r="E2155" s="313"/>
      <c r="F2155" s="313"/>
      <c r="G2155" s="313"/>
      <c r="H2155" s="324" t="s">
        <v>355</v>
      </c>
      <c r="I2155" s="336" t="s">
        <v>481</v>
      </c>
      <c r="J2155" s="322" t="s">
        <v>331</v>
      </c>
    </row>
    <row r="2156" spans="1:10" x14ac:dyDescent="0.25">
      <c r="A2156" s="303"/>
      <c r="B2156" s="337" t="s">
        <v>482</v>
      </c>
      <c r="C2156" s="311" t="s">
        <v>483</v>
      </c>
      <c r="D2156" s="312"/>
      <c r="E2156" s="313"/>
      <c r="F2156" s="313"/>
      <c r="G2156" s="313"/>
      <c r="H2156" s="314">
        <v>10</v>
      </c>
      <c r="I2156" s="329">
        <v>17.768000000000001</v>
      </c>
      <c r="J2156" s="315">
        <v>177.68</v>
      </c>
    </row>
    <row r="2157" spans="1:10" x14ac:dyDescent="0.25">
      <c r="A2157" s="303"/>
      <c r="B2157" s="333" t="s">
        <v>346</v>
      </c>
      <c r="C2157" s="317"/>
      <c r="D2157" s="318"/>
      <c r="E2157" s="319"/>
      <c r="F2157" s="319"/>
      <c r="G2157" s="319"/>
      <c r="H2157" s="320"/>
      <c r="I2157" s="332"/>
      <c r="J2157" s="321"/>
    </row>
    <row r="2158" spans="1:10" x14ac:dyDescent="0.25">
      <c r="A2158" s="303"/>
      <c r="B2158" s="333" t="s">
        <v>346</v>
      </c>
      <c r="C2158" s="317"/>
      <c r="D2158" s="318"/>
      <c r="E2158" s="319"/>
      <c r="F2158" s="319"/>
      <c r="G2158" s="319"/>
      <c r="H2158" s="320"/>
      <c r="I2158" s="332"/>
      <c r="J2158" s="321"/>
    </row>
    <row r="2159" spans="1:10" x14ac:dyDescent="0.25">
      <c r="A2159" s="303"/>
      <c r="B2159" s="333" t="s">
        <v>346</v>
      </c>
      <c r="C2159" s="317"/>
      <c r="D2159" s="318"/>
      <c r="E2159" s="319"/>
      <c r="F2159" s="319"/>
      <c r="G2159" s="319"/>
      <c r="H2159" s="320"/>
      <c r="I2159" s="332"/>
      <c r="J2159" s="321"/>
    </row>
    <row r="2160" spans="1:10" x14ac:dyDescent="0.25">
      <c r="A2160" s="303"/>
      <c r="B2160" s="333" t="s">
        <v>346</v>
      </c>
      <c r="C2160" s="317"/>
      <c r="D2160" s="318"/>
      <c r="E2160" s="319"/>
      <c r="F2160" s="319"/>
      <c r="G2160" s="319"/>
      <c r="H2160" s="320"/>
      <c r="I2160" s="332"/>
      <c r="J2160" s="321"/>
    </row>
    <row r="2161" spans="1:10" x14ac:dyDescent="0.25">
      <c r="A2161" s="303"/>
      <c r="B2161" s="333" t="s">
        <v>346</v>
      </c>
      <c r="C2161" s="317"/>
      <c r="D2161" s="318"/>
      <c r="E2161" s="319"/>
      <c r="F2161" s="319"/>
      <c r="G2161" s="319"/>
      <c r="H2161" s="320"/>
      <c r="I2161" s="332"/>
      <c r="J2161" s="321"/>
    </row>
    <row r="2162" spans="1:10" x14ac:dyDescent="0.25">
      <c r="A2162" s="303"/>
      <c r="B2162" s="333" t="s">
        <v>346</v>
      </c>
      <c r="C2162" s="317"/>
      <c r="D2162" s="318"/>
      <c r="E2162" s="319"/>
      <c r="F2162" s="319"/>
      <c r="G2162" s="319"/>
      <c r="H2162" s="320"/>
      <c r="I2162" s="332"/>
      <c r="J2162" s="321"/>
    </row>
    <row r="2163" spans="1:10" x14ac:dyDescent="0.25">
      <c r="A2163" s="303"/>
      <c r="B2163" s="310"/>
      <c r="C2163" s="334"/>
      <c r="D2163" s="312"/>
      <c r="E2163" s="313"/>
      <c r="F2163" s="313"/>
      <c r="G2163" s="313"/>
      <c r="H2163" s="313"/>
      <c r="I2163" s="338" t="s">
        <v>484</v>
      </c>
      <c r="J2163" s="315">
        <v>177.68</v>
      </c>
    </row>
    <row r="2164" spans="1:10" x14ac:dyDescent="0.25">
      <c r="A2164" s="303"/>
      <c r="B2164" s="339"/>
      <c r="C2164" s="334"/>
      <c r="D2164" s="312"/>
      <c r="E2164" s="313"/>
      <c r="F2164" s="313"/>
      <c r="G2164" s="313"/>
      <c r="H2164" s="313"/>
      <c r="I2164" s="338" t="s">
        <v>485</v>
      </c>
      <c r="J2164" s="340">
        <v>244.8433</v>
      </c>
    </row>
    <row r="2165" spans="1:10" x14ac:dyDescent="0.25">
      <c r="A2165" s="303"/>
      <c r="B2165" s="339"/>
      <c r="C2165" s="341" t="s">
        <v>486</v>
      </c>
      <c r="D2165" s="312">
        <v>100</v>
      </c>
      <c r="E2165" s="313"/>
      <c r="F2165" s="313"/>
      <c r="G2165" s="313"/>
      <c r="H2165" s="313"/>
      <c r="I2165" s="338" t="s">
        <v>487</v>
      </c>
      <c r="J2165" s="340">
        <v>2.4483999999999999</v>
      </c>
    </row>
    <row r="2166" spans="1:10" x14ac:dyDescent="0.25">
      <c r="A2166" s="303"/>
      <c r="B2166" s="310"/>
      <c r="C2166" s="334"/>
      <c r="D2166" s="312"/>
      <c r="E2166" s="313"/>
      <c r="F2166" s="313"/>
      <c r="G2166" s="313"/>
      <c r="H2166" s="338" t="s">
        <v>488</v>
      </c>
      <c r="I2166" s="342">
        <v>0</v>
      </c>
      <c r="J2166" s="315">
        <v>0</v>
      </c>
    </row>
    <row r="2167" spans="1:10" x14ac:dyDescent="0.25">
      <c r="A2167" s="303"/>
      <c r="B2167" s="310"/>
      <c r="C2167" s="334"/>
      <c r="D2167" s="312"/>
      <c r="E2167" s="313"/>
      <c r="F2167" s="313"/>
      <c r="G2167" s="313"/>
      <c r="H2167" s="335" t="s">
        <v>489</v>
      </c>
      <c r="I2167" s="343">
        <v>0</v>
      </c>
      <c r="J2167" s="315">
        <v>0</v>
      </c>
    </row>
    <row r="2168" spans="1:10" x14ac:dyDescent="0.25">
      <c r="A2168" s="303"/>
      <c r="B2168" s="310" t="s">
        <v>464</v>
      </c>
      <c r="C2168" s="311" t="s">
        <v>490</v>
      </c>
      <c r="D2168" s="312"/>
      <c r="E2168" s="313"/>
      <c r="F2168" s="313"/>
      <c r="G2168" s="314" t="s">
        <v>465</v>
      </c>
      <c r="H2168" s="336" t="s">
        <v>468</v>
      </c>
      <c r="I2168" s="336" t="s">
        <v>491</v>
      </c>
      <c r="J2168" s="322" t="s">
        <v>492</v>
      </c>
    </row>
    <row r="2169" spans="1:10" x14ac:dyDescent="0.25">
      <c r="A2169" s="303"/>
      <c r="B2169" s="337" t="s">
        <v>748</v>
      </c>
      <c r="C2169" s="311" t="s">
        <v>749</v>
      </c>
      <c r="D2169" s="312"/>
      <c r="E2169" s="313"/>
      <c r="F2169" s="313"/>
      <c r="G2169" s="314" t="s">
        <v>560</v>
      </c>
      <c r="H2169" s="329">
        <v>0.39040000000000002</v>
      </c>
      <c r="I2169" s="329">
        <v>0.2</v>
      </c>
      <c r="J2169" s="315">
        <v>7.8100000000000003E-2</v>
      </c>
    </row>
    <row r="2170" spans="1:10" x14ac:dyDescent="0.25">
      <c r="A2170" s="303"/>
      <c r="B2170" s="333" t="s">
        <v>750</v>
      </c>
      <c r="C2170" s="317" t="s">
        <v>989</v>
      </c>
      <c r="D2170" s="318"/>
      <c r="E2170" s="319"/>
      <c r="F2170" s="319"/>
      <c r="G2170" s="320" t="s">
        <v>376</v>
      </c>
      <c r="H2170" s="332">
        <v>3.9291999999999998</v>
      </c>
      <c r="I2170" s="332">
        <v>3.7499999999999999E-3</v>
      </c>
      <c r="J2170" s="321">
        <v>1.47E-2</v>
      </c>
    </row>
    <row r="2171" spans="1:10" x14ac:dyDescent="0.25">
      <c r="A2171" s="303"/>
      <c r="B2171" s="333" t="s">
        <v>346</v>
      </c>
      <c r="C2171" s="317"/>
      <c r="D2171" s="318"/>
      <c r="E2171" s="319"/>
      <c r="F2171" s="319"/>
      <c r="G2171" s="320"/>
      <c r="H2171" s="332"/>
      <c r="I2171" s="332"/>
      <c r="J2171" s="321"/>
    </row>
    <row r="2172" spans="1:10" x14ac:dyDescent="0.25">
      <c r="A2172" s="303"/>
      <c r="B2172" s="333" t="s">
        <v>346</v>
      </c>
      <c r="C2172" s="317"/>
      <c r="D2172" s="318"/>
      <c r="E2172" s="319"/>
      <c r="F2172" s="319"/>
      <c r="G2172" s="320"/>
      <c r="H2172" s="332"/>
      <c r="I2172" s="332"/>
      <c r="J2172" s="321"/>
    </row>
    <row r="2173" spans="1:10" x14ac:dyDescent="0.25">
      <c r="A2173" s="303"/>
      <c r="B2173" s="333" t="s">
        <v>346</v>
      </c>
      <c r="C2173" s="317"/>
      <c r="D2173" s="318"/>
      <c r="E2173" s="319"/>
      <c r="F2173" s="319"/>
      <c r="G2173" s="320"/>
      <c r="H2173" s="332"/>
      <c r="I2173" s="332"/>
      <c r="J2173" s="321"/>
    </row>
    <row r="2174" spans="1:10" x14ac:dyDescent="0.25">
      <c r="A2174" s="303"/>
      <c r="B2174" s="333" t="s">
        <v>346</v>
      </c>
      <c r="C2174" s="317"/>
      <c r="D2174" s="318"/>
      <c r="E2174" s="319"/>
      <c r="F2174" s="319"/>
      <c r="G2174" s="320"/>
      <c r="H2174" s="332"/>
      <c r="I2174" s="332"/>
      <c r="J2174" s="321"/>
    </row>
    <row r="2175" spans="1:10" x14ac:dyDescent="0.25">
      <c r="A2175" s="303"/>
      <c r="B2175" s="333" t="s">
        <v>346</v>
      </c>
      <c r="C2175" s="317"/>
      <c r="D2175" s="318"/>
      <c r="E2175" s="319"/>
      <c r="F2175" s="319"/>
      <c r="G2175" s="320"/>
      <c r="H2175" s="332"/>
      <c r="I2175" s="332"/>
      <c r="J2175" s="321"/>
    </row>
    <row r="2176" spans="1:10" x14ac:dyDescent="0.25">
      <c r="A2176" s="303"/>
      <c r="B2176" s="310"/>
      <c r="C2176" s="334"/>
      <c r="D2176" s="312"/>
      <c r="E2176" s="313"/>
      <c r="F2176" s="313"/>
      <c r="G2176" s="313"/>
      <c r="H2176" s="343"/>
      <c r="I2176" s="335" t="s">
        <v>498</v>
      </c>
      <c r="J2176" s="315">
        <v>9.2800000000000007E-2</v>
      </c>
    </row>
    <row r="2177" spans="1:10" x14ac:dyDescent="0.25">
      <c r="A2177" s="303"/>
      <c r="B2177" s="310" t="s">
        <v>464</v>
      </c>
      <c r="C2177" s="311" t="s">
        <v>499</v>
      </c>
      <c r="D2177" s="312"/>
      <c r="E2177" s="313"/>
      <c r="F2177" s="313"/>
      <c r="G2177" s="314" t="s">
        <v>465</v>
      </c>
      <c r="H2177" s="336" t="s">
        <v>468</v>
      </c>
      <c r="I2177" s="336" t="s">
        <v>491</v>
      </c>
      <c r="J2177" s="322" t="s">
        <v>492</v>
      </c>
    </row>
    <row r="2178" spans="1:10" x14ac:dyDescent="0.25">
      <c r="A2178" s="303"/>
      <c r="B2178" s="337"/>
      <c r="C2178" s="311"/>
      <c r="D2178" s="312"/>
      <c r="E2178" s="313"/>
      <c r="F2178" s="313"/>
      <c r="G2178" s="314"/>
      <c r="H2178" s="329"/>
      <c r="I2178" s="329"/>
      <c r="J2178" s="315"/>
    </row>
    <row r="2179" spans="1:10" x14ac:dyDescent="0.25">
      <c r="A2179" s="303"/>
      <c r="B2179" s="333"/>
      <c r="C2179" s="317"/>
      <c r="D2179" s="318"/>
      <c r="E2179" s="319"/>
      <c r="F2179" s="319"/>
      <c r="G2179" s="320"/>
      <c r="H2179" s="332"/>
      <c r="I2179" s="332"/>
      <c r="J2179" s="321"/>
    </row>
    <row r="2180" spans="1:10" x14ac:dyDescent="0.25">
      <c r="A2180" s="303"/>
      <c r="B2180" s="333"/>
      <c r="C2180" s="317"/>
      <c r="D2180" s="318"/>
      <c r="E2180" s="319"/>
      <c r="F2180" s="319"/>
      <c r="G2180" s="320"/>
      <c r="H2180" s="332"/>
      <c r="I2180" s="332"/>
      <c r="J2180" s="321"/>
    </row>
    <row r="2181" spans="1:10" x14ac:dyDescent="0.25">
      <c r="A2181" s="303"/>
      <c r="B2181" s="333"/>
      <c r="C2181" s="317"/>
      <c r="D2181" s="318"/>
      <c r="E2181" s="319"/>
      <c r="F2181" s="319"/>
      <c r="G2181" s="320"/>
      <c r="H2181" s="332"/>
      <c r="I2181" s="332"/>
      <c r="J2181" s="321"/>
    </row>
    <row r="2182" spans="1:10" x14ac:dyDescent="0.25">
      <c r="A2182" s="303"/>
      <c r="B2182" s="333"/>
      <c r="C2182" s="317"/>
      <c r="D2182" s="318"/>
      <c r="E2182" s="319"/>
      <c r="F2182" s="319"/>
      <c r="G2182" s="320"/>
      <c r="H2182" s="332"/>
      <c r="I2182" s="332"/>
      <c r="J2182" s="321"/>
    </row>
    <row r="2183" spans="1:10" x14ac:dyDescent="0.25">
      <c r="A2183" s="303"/>
      <c r="B2183" s="310"/>
      <c r="C2183" s="334"/>
      <c r="D2183" s="312"/>
      <c r="E2183" s="313"/>
      <c r="F2183" s="313"/>
      <c r="G2183" s="313"/>
      <c r="H2183" s="343"/>
      <c r="I2183" s="335" t="s">
        <v>501</v>
      </c>
      <c r="J2183" s="315">
        <v>0</v>
      </c>
    </row>
    <row r="2184" spans="1:10" x14ac:dyDescent="0.25">
      <c r="A2184" s="303"/>
      <c r="B2184" s="310" t="s">
        <v>464</v>
      </c>
      <c r="C2184" s="311" t="s">
        <v>502</v>
      </c>
      <c r="D2184" s="312"/>
      <c r="E2184" s="313"/>
      <c r="F2184" s="314" t="s">
        <v>464</v>
      </c>
      <c r="G2184" s="324" t="s">
        <v>503</v>
      </c>
      <c r="H2184" s="329" t="s">
        <v>465</v>
      </c>
      <c r="I2184" s="336" t="s">
        <v>468</v>
      </c>
      <c r="J2184" s="322" t="s">
        <v>492</v>
      </c>
    </row>
    <row r="2185" spans="1:10" x14ac:dyDescent="0.25">
      <c r="A2185" s="303"/>
      <c r="B2185" s="337" t="s">
        <v>751</v>
      </c>
      <c r="C2185" s="311" t="s">
        <v>752</v>
      </c>
      <c r="D2185" s="312"/>
      <c r="E2185" s="313"/>
      <c r="F2185" s="344" t="s">
        <v>593</v>
      </c>
      <c r="G2185" s="314">
        <v>2.0000000000000001E-4</v>
      </c>
      <c r="H2185" s="329" t="s">
        <v>370</v>
      </c>
      <c r="I2185" s="329">
        <v>23.88</v>
      </c>
      <c r="J2185" s="315">
        <v>4.7999999999999996E-3</v>
      </c>
    </row>
    <row r="2186" spans="1:10" x14ac:dyDescent="0.25">
      <c r="A2186" s="303"/>
      <c r="B2186" s="333" t="s">
        <v>346</v>
      </c>
      <c r="C2186" s="317"/>
      <c r="D2186" s="318"/>
      <c r="E2186" s="319"/>
      <c r="F2186" s="320"/>
      <c r="G2186" s="320"/>
      <c r="H2186" s="332"/>
      <c r="I2186" s="332"/>
      <c r="J2186" s="321"/>
    </row>
    <row r="2187" spans="1:10" x14ac:dyDescent="0.25">
      <c r="A2187" s="303"/>
      <c r="B2187" s="333" t="s">
        <v>346</v>
      </c>
      <c r="C2187" s="317"/>
      <c r="D2187" s="318"/>
      <c r="E2187" s="319"/>
      <c r="F2187" s="320"/>
      <c r="G2187" s="320"/>
      <c r="H2187" s="332"/>
      <c r="I2187" s="332"/>
      <c r="J2187" s="321"/>
    </row>
    <row r="2188" spans="1:10" x14ac:dyDescent="0.25">
      <c r="A2188" s="303"/>
      <c r="B2188" s="333" t="s">
        <v>346</v>
      </c>
      <c r="C2188" s="317"/>
      <c r="D2188" s="318"/>
      <c r="E2188" s="319"/>
      <c r="F2188" s="320"/>
      <c r="G2188" s="320"/>
      <c r="H2188" s="332"/>
      <c r="I2188" s="332"/>
      <c r="J2188" s="321"/>
    </row>
    <row r="2189" spans="1:10" x14ac:dyDescent="0.25">
      <c r="A2189" s="303"/>
      <c r="B2189" s="333" t="s">
        <v>346</v>
      </c>
      <c r="C2189" s="317"/>
      <c r="D2189" s="318"/>
      <c r="E2189" s="319"/>
      <c r="F2189" s="320"/>
      <c r="G2189" s="320"/>
      <c r="H2189" s="332"/>
      <c r="I2189" s="332"/>
      <c r="J2189" s="321"/>
    </row>
    <row r="2190" spans="1:10" x14ac:dyDescent="0.25">
      <c r="A2190" s="303"/>
      <c r="B2190" s="310"/>
      <c r="C2190" s="334"/>
      <c r="D2190" s="312"/>
      <c r="E2190" s="313"/>
      <c r="F2190" s="313"/>
      <c r="G2190" s="313"/>
      <c r="H2190" s="343"/>
      <c r="I2190" s="338" t="s">
        <v>507</v>
      </c>
      <c r="J2190" s="315">
        <v>4.7999999999999996E-3</v>
      </c>
    </row>
    <row r="2191" spans="1:10" x14ac:dyDescent="0.25">
      <c r="A2191" s="303"/>
      <c r="B2191" s="310" t="s">
        <v>464</v>
      </c>
      <c r="C2191" s="311" t="s">
        <v>508</v>
      </c>
      <c r="D2191" s="345" t="s">
        <v>509</v>
      </c>
      <c r="E2191" s="324" t="s">
        <v>873</v>
      </c>
      <c r="F2191" s="324" t="s">
        <v>874</v>
      </c>
      <c r="G2191" s="324" t="s">
        <v>875</v>
      </c>
      <c r="H2191" s="336" t="s">
        <v>468</v>
      </c>
      <c r="I2191" s="324" t="s">
        <v>491</v>
      </c>
      <c r="J2191" s="322" t="s">
        <v>492</v>
      </c>
    </row>
    <row r="2192" spans="1:10" x14ac:dyDescent="0.25">
      <c r="A2192" s="303"/>
      <c r="B2192" s="337" t="s">
        <v>753</v>
      </c>
      <c r="C2192" s="311" t="s">
        <v>754</v>
      </c>
      <c r="D2192" s="345" t="s">
        <v>510</v>
      </c>
      <c r="E2192" s="314">
        <v>0</v>
      </c>
      <c r="F2192" s="314">
        <v>0</v>
      </c>
      <c r="G2192" s="314">
        <v>100.45</v>
      </c>
      <c r="H2192" s="329">
        <v>0.55000000000000004</v>
      </c>
      <c r="I2192" s="314">
        <v>2.0000000000000001E-4</v>
      </c>
      <c r="J2192" s="315">
        <v>1.0999999999999999E-2</v>
      </c>
    </row>
    <row r="2193" spans="1:10" x14ac:dyDescent="0.25">
      <c r="A2193" s="303"/>
      <c r="B2193" s="333" t="s">
        <v>346</v>
      </c>
      <c r="C2193" s="317"/>
      <c r="D2193" s="346"/>
      <c r="E2193" s="320"/>
      <c r="F2193" s="320"/>
      <c r="G2193" s="320"/>
      <c r="H2193" s="332"/>
      <c r="I2193" s="320"/>
      <c r="J2193" s="321"/>
    </row>
    <row r="2194" spans="1:10" x14ac:dyDescent="0.25">
      <c r="A2194" s="303"/>
      <c r="B2194" s="333" t="s">
        <v>346</v>
      </c>
      <c r="C2194" s="317"/>
      <c r="D2194" s="346"/>
      <c r="E2194" s="320"/>
      <c r="F2194" s="320"/>
      <c r="G2194" s="320"/>
      <c r="H2194" s="332"/>
      <c r="I2194" s="320"/>
      <c r="J2194" s="321"/>
    </row>
    <row r="2195" spans="1:10" x14ac:dyDescent="0.25">
      <c r="A2195" s="303"/>
      <c r="B2195" s="333" t="s">
        <v>346</v>
      </c>
      <c r="C2195" s="317"/>
      <c r="D2195" s="346"/>
      <c r="E2195" s="320"/>
      <c r="F2195" s="320"/>
      <c r="G2195" s="320"/>
      <c r="H2195" s="332"/>
      <c r="I2195" s="320"/>
      <c r="J2195" s="321"/>
    </row>
    <row r="2196" spans="1:10" x14ac:dyDescent="0.25">
      <c r="A2196" s="303"/>
      <c r="B2196" s="333" t="s">
        <v>346</v>
      </c>
      <c r="C2196" s="317"/>
      <c r="D2196" s="346"/>
      <c r="E2196" s="320"/>
      <c r="F2196" s="320"/>
      <c r="G2196" s="320"/>
      <c r="H2196" s="332"/>
      <c r="I2196" s="320"/>
      <c r="J2196" s="321"/>
    </row>
    <row r="2197" spans="1:10" x14ac:dyDescent="0.25">
      <c r="A2197" s="303"/>
      <c r="B2197" s="333" t="s">
        <v>346</v>
      </c>
      <c r="C2197" s="317"/>
      <c r="D2197" s="346"/>
      <c r="E2197" s="320"/>
      <c r="F2197" s="320"/>
      <c r="G2197" s="320"/>
      <c r="H2197" s="332"/>
      <c r="I2197" s="320"/>
      <c r="J2197" s="321"/>
    </row>
    <row r="2198" spans="1:10" x14ac:dyDescent="0.25">
      <c r="A2198" s="303"/>
      <c r="B2198" s="333" t="s">
        <v>346</v>
      </c>
      <c r="C2198" s="317"/>
      <c r="D2198" s="346"/>
      <c r="E2198" s="320"/>
      <c r="F2198" s="320"/>
      <c r="G2198" s="320"/>
      <c r="H2198" s="332"/>
      <c r="I2198" s="320"/>
      <c r="J2198" s="321"/>
    </row>
    <row r="2199" spans="1:10" x14ac:dyDescent="0.25">
      <c r="A2199" s="303"/>
      <c r="B2199" s="310"/>
      <c r="C2199" s="334"/>
      <c r="D2199" s="312"/>
      <c r="E2199" s="313"/>
      <c r="F2199" s="313"/>
      <c r="G2199" s="313"/>
      <c r="H2199" s="313"/>
      <c r="I2199" s="338" t="s">
        <v>513</v>
      </c>
      <c r="J2199" s="315">
        <v>1.0999999999999999E-2</v>
      </c>
    </row>
    <row r="2200" spans="1:10" x14ac:dyDescent="0.25">
      <c r="A2200" s="303"/>
      <c r="B2200" s="310" t="s">
        <v>514</v>
      </c>
      <c r="C2200" s="334"/>
      <c r="D2200" s="312"/>
      <c r="E2200" s="313"/>
      <c r="F2200" s="313"/>
      <c r="G2200" s="313"/>
      <c r="H2200" s="313"/>
      <c r="I2200" s="313"/>
      <c r="J2200" s="315">
        <v>2.5569999999999999</v>
      </c>
    </row>
    <row r="2201" spans="1:10" x14ac:dyDescent="0.25">
      <c r="A2201" s="303"/>
      <c r="B2201" s="310" t="s">
        <v>515</v>
      </c>
      <c r="C2201" s="334"/>
      <c r="D2201" s="312">
        <v>0</v>
      </c>
      <c r="E2201" s="313"/>
      <c r="F2201" s="313"/>
      <c r="G2201" s="313"/>
      <c r="H2201" s="313"/>
      <c r="I2201" s="313"/>
      <c r="J2201" s="315">
        <v>0</v>
      </c>
    </row>
    <row r="2202" spans="1:10" ht="14.4" thickBot="1" x14ac:dyDescent="0.3">
      <c r="A2202" s="303"/>
      <c r="B2202" s="310" t="s">
        <v>516</v>
      </c>
      <c r="C2202" s="334"/>
      <c r="D2202" s="312"/>
      <c r="E2202" s="313"/>
      <c r="F2202" s="313"/>
      <c r="G2202" s="313"/>
      <c r="H2202" s="313"/>
      <c r="I2202" s="313"/>
      <c r="J2202" s="347">
        <v>2.56</v>
      </c>
    </row>
    <row r="2203" spans="1:10" x14ac:dyDescent="0.25">
      <c r="A2203" s="303"/>
      <c r="B2203" s="304"/>
      <c r="C2203" s="305"/>
      <c r="D2203" s="348"/>
      <c r="E2203" s="308"/>
      <c r="F2203" s="308"/>
      <c r="G2203" s="308"/>
      <c r="H2203" s="308"/>
      <c r="I2203" s="308"/>
      <c r="J2203" s="309"/>
    </row>
    <row r="2204" spans="1:10" x14ac:dyDescent="0.25">
      <c r="A2204" s="303"/>
      <c r="B2204" s="316"/>
      <c r="C2204" s="303"/>
      <c r="D2204" s="318"/>
      <c r="E2204" s="319"/>
      <c r="F2204" s="319"/>
      <c r="G2204" s="319"/>
      <c r="H2204" s="319"/>
      <c r="I2204" s="319"/>
      <c r="J2204" s="349"/>
    </row>
    <row r="2205" spans="1:10" x14ac:dyDescent="0.25">
      <c r="A2205" s="303"/>
      <c r="B2205" s="316"/>
      <c r="C2205" s="303"/>
      <c r="D2205" s="318"/>
      <c r="E2205" s="319"/>
      <c r="F2205" s="319"/>
      <c r="G2205" s="319"/>
      <c r="H2205" s="319"/>
      <c r="I2205" s="319"/>
      <c r="J2205" s="349"/>
    </row>
    <row r="2206" spans="1:10" ht="14.4" thickBot="1" x14ac:dyDescent="0.3">
      <c r="A2206" s="303"/>
      <c r="B2206" s="350"/>
      <c r="C2206" s="303"/>
      <c r="D2206" s="318"/>
      <c r="E2206" s="319"/>
      <c r="F2206" s="319"/>
      <c r="G2206" s="319"/>
      <c r="H2206" s="319"/>
      <c r="I2206" s="319"/>
      <c r="J2206" s="351"/>
    </row>
    <row r="2207" spans="1:10" x14ac:dyDescent="0.25">
      <c r="A2207" s="303"/>
      <c r="B2207" s="305"/>
      <c r="C2207" s="305"/>
      <c r="D2207" s="348"/>
      <c r="E2207" s="308"/>
      <c r="F2207" s="308"/>
      <c r="G2207" s="308"/>
      <c r="H2207" s="308"/>
      <c r="I2207" s="308"/>
      <c r="J2207" s="352"/>
    </row>
    <row r="2208" spans="1:10" ht="14.4" thickBot="1" x14ac:dyDescent="0.3">
      <c r="A2208" s="303"/>
      <c r="B2208" s="303"/>
      <c r="C2208" s="303"/>
      <c r="D2208" s="318"/>
      <c r="E2208" s="319"/>
      <c r="F2208" s="319"/>
      <c r="G2208" s="319"/>
      <c r="H2208" s="319"/>
      <c r="I2208" s="319"/>
      <c r="J2208" s="353"/>
    </row>
    <row r="2209" spans="1:10" s="300" customFormat="1" x14ac:dyDescent="0.25">
      <c r="A2209" s="303"/>
      <c r="B2209" s="304"/>
      <c r="C2209" s="305"/>
      <c r="D2209" s="306" t="s">
        <v>463</v>
      </c>
      <c r="E2209" s="307"/>
      <c r="F2209" s="307"/>
      <c r="G2209" s="308"/>
      <c r="H2209" s="308"/>
      <c r="I2209" s="308"/>
      <c r="J2209" s="309"/>
    </row>
    <row r="2210" spans="1:10" s="300" customFormat="1" x14ac:dyDescent="0.25">
      <c r="A2210" s="303"/>
      <c r="B2210" s="310" t="s">
        <v>464</v>
      </c>
      <c r="C2210" s="311" t="s">
        <v>134</v>
      </c>
      <c r="D2210" s="312"/>
      <c r="E2210" s="313"/>
      <c r="F2210" s="313"/>
      <c r="G2210" s="313"/>
      <c r="H2210" s="314"/>
      <c r="I2210" s="313"/>
      <c r="J2210" s="315" t="s">
        <v>465</v>
      </c>
    </row>
    <row r="2211" spans="1:10" s="300" customFormat="1" x14ac:dyDescent="0.25">
      <c r="A2211" s="303"/>
      <c r="B2211" s="316">
        <v>3806406</v>
      </c>
      <c r="C2211" s="317" t="s">
        <v>837</v>
      </c>
      <c r="D2211" s="318"/>
      <c r="E2211" s="319"/>
      <c r="F2211" s="319"/>
      <c r="G2211" s="319"/>
      <c r="H2211" s="320"/>
      <c r="I2211" s="319"/>
      <c r="J2211" s="321" t="s">
        <v>372</v>
      </c>
    </row>
    <row r="2212" spans="1:10" s="300" customFormat="1" x14ac:dyDescent="0.25">
      <c r="A2212" s="303"/>
      <c r="B2212" s="310"/>
      <c r="C2212" s="311"/>
      <c r="D2212" s="312"/>
      <c r="E2212" s="314"/>
      <c r="F2212" s="314" t="s">
        <v>466</v>
      </c>
      <c r="G2212" s="314"/>
      <c r="H2212" s="314" t="s">
        <v>467</v>
      </c>
      <c r="I2212" s="314"/>
      <c r="J2212" s="322" t="s">
        <v>468</v>
      </c>
    </row>
    <row r="2213" spans="1:10" s="300" customFormat="1" x14ac:dyDescent="0.25">
      <c r="A2213" s="303"/>
      <c r="B2213" s="316" t="s">
        <v>464</v>
      </c>
      <c r="C2213" s="317" t="s">
        <v>469</v>
      </c>
      <c r="D2213" s="318"/>
      <c r="E2213" s="323" t="s">
        <v>355</v>
      </c>
      <c r="F2213" s="324" t="s">
        <v>470</v>
      </c>
      <c r="G2213" s="324" t="s">
        <v>471</v>
      </c>
      <c r="H2213" s="324" t="s">
        <v>472</v>
      </c>
      <c r="I2213" s="325" t="s">
        <v>473</v>
      </c>
      <c r="J2213" s="326" t="s">
        <v>474</v>
      </c>
    </row>
    <row r="2214" spans="1:10" s="300" customFormat="1" x14ac:dyDescent="0.25">
      <c r="A2214" s="303"/>
      <c r="B2214" s="337" t="s">
        <v>346</v>
      </c>
      <c r="C2214" s="311"/>
      <c r="D2214" s="312"/>
      <c r="E2214" s="328"/>
      <c r="F2214" s="328"/>
      <c r="G2214" s="328"/>
      <c r="H2214" s="329"/>
      <c r="I2214" s="329"/>
      <c r="J2214" s="315"/>
    </row>
    <row r="2215" spans="1:10" s="300" customFormat="1" x14ac:dyDescent="0.25">
      <c r="A2215" s="303"/>
      <c r="B2215" s="333" t="s">
        <v>346</v>
      </c>
      <c r="C2215" s="317"/>
      <c r="D2215" s="318"/>
      <c r="E2215" s="331"/>
      <c r="F2215" s="331"/>
      <c r="G2215" s="331"/>
      <c r="H2215" s="332"/>
      <c r="I2215" s="332"/>
      <c r="J2215" s="321"/>
    </row>
    <row r="2216" spans="1:10" s="300" customFormat="1" x14ac:dyDescent="0.25">
      <c r="A2216" s="303"/>
      <c r="B2216" s="333" t="s">
        <v>346</v>
      </c>
      <c r="C2216" s="317"/>
      <c r="D2216" s="318"/>
      <c r="E2216" s="331"/>
      <c r="F2216" s="331"/>
      <c r="G2216" s="331"/>
      <c r="H2216" s="332"/>
      <c r="I2216" s="332"/>
      <c r="J2216" s="321"/>
    </row>
    <row r="2217" spans="1:10" s="300" customFormat="1" x14ac:dyDescent="0.25">
      <c r="A2217" s="303"/>
      <c r="B2217" s="333" t="s">
        <v>346</v>
      </c>
      <c r="C2217" s="317"/>
      <c r="D2217" s="318"/>
      <c r="E2217" s="331"/>
      <c r="F2217" s="331"/>
      <c r="G2217" s="331"/>
      <c r="H2217" s="332"/>
      <c r="I2217" s="332"/>
      <c r="J2217" s="321"/>
    </row>
    <row r="2218" spans="1:10" s="300" customFormat="1" x14ac:dyDescent="0.25">
      <c r="A2218" s="303"/>
      <c r="B2218" s="333" t="s">
        <v>346</v>
      </c>
      <c r="C2218" s="317"/>
      <c r="D2218" s="318"/>
      <c r="E2218" s="331"/>
      <c r="F2218" s="331"/>
      <c r="G2218" s="331"/>
      <c r="H2218" s="332"/>
      <c r="I2218" s="332"/>
      <c r="J2218" s="321"/>
    </row>
    <row r="2219" spans="1:10" s="300" customFormat="1" x14ac:dyDescent="0.25">
      <c r="A2219" s="303"/>
      <c r="B2219" s="333" t="s">
        <v>346</v>
      </c>
      <c r="C2219" s="317"/>
      <c r="D2219" s="318"/>
      <c r="E2219" s="331"/>
      <c r="F2219" s="331"/>
      <c r="G2219" s="331"/>
      <c r="H2219" s="332"/>
      <c r="I2219" s="332"/>
      <c r="J2219" s="321"/>
    </row>
    <row r="2220" spans="1:10" s="300" customFormat="1" x14ac:dyDescent="0.25">
      <c r="A2220" s="303"/>
      <c r="B2220" s="333" t="s">
        <v>346</v>
      </c>
      <c r="C2220" s="317"/>
      <c r="D2220" s="318"/>
      <c r="E2220" s="331"/>
      <c r="F2220" s="331"/>
      <c r="G2220" s="331"/>
      <c r="H2220" s="332"/>
      <c r="I2220" s="332"/>
      <c r="J2220" s="321"/>
    </row>
    <row r="2221" spans="1:10" s="300" customFormat="1" x14ac:dyDescent="0.25">
      <c r="A2221" s="303"/>
      <c r="B2221" s="310"/>
      <c r="C2221" s="334"/>
      <c r="D2221" s="312"/>
      <c r="E2221" s="313"/>
      <c r="F2221" s="313"/>
      <c r="G2221" s="313"/>
      <c r="H2221" s="313"/>
      <c r="I2221" s="335" t="s">
        <v>479</v>
      </c>
      <c r="J2221" s="315">
        <f>+SUBTOTAL(9,J2214:J2220)</f>
        <v>0</v>
      </c>
    </row>
    <row r="2222" spans="1:10" s="300" customFormat="1" x14ac:dyDescent="0.25">
      <c r="A2222" s="303"/>
      <c r="B2222" s="310" t="s">
        <v>464</v>
      </c>
      <c r="C2222" s="311" t="s">
        <v>480</v>
      </c>
      <c r="D2222" s="312"/>
      <c r="E2222" s="313"/>
      <c r="F2222" s="313"/>
      <c r="G2222" s="313"/>
      <c r="H2222" s="324" t="s">
        <v>355</v>
      </c>
      <c r="I2222" s="336" t="s">
        <v>481</v>
      </c>
      <c r="J2222" s="322" t="s">
        <v>331</v>
      </c>
    </row>
    <row r="2223" spans="1:10" s="300" customFormat="1" x14ac:dyDescent="0.25">
      <c r="A2223" s="303"/>
      <c r="B2223" s="337" t="s">
        <v>346</v>
      </c>
      <c r="C2223" s="311"/>
      <c r="D2223" s="312"/>
      <c r="E2223" s="313"/>
      <c r="F2223" s="313"/>
      <c r="G2223" s="313"/>
      <c r="H2223" s="314"/>
      <c r="I2223" s="329"/>
      <c r="J2223" s="315"/>
    </row>
    <row r="2224" spans="1:10" s="300" customFormat="1" x14ac:dyDescent="0.25">
      <c r="A2224" s="303"/>
      <c r="B2224" s="333" t="s">
        <v>346</v>
      </c>
      <c r="C2224" s="317"/>
      <c r="D2224" s="318"/>
      <c r="E2224" s="319"/>
      <c r="F2224" s="319"/>
      <c r="G2224" s="319"/>
      <c r="H2224" s="320"/>
      <c r="I2224" s="332"/>
      <c r="J2224" s="321"/>
    </row>
    <row r="2225" spans="1:10" s="300" customFormat="1" x14ac:dyDescent="0.25">
      <c r="A2225" s="303"/>
      <c r="B2225" s="333" t="s">
        <v>346</v>
      </c>
      <c r="C2225" s="317"/>
      <c r="D2225" s="318"/>
      <c r="E2225" s="319"/>
      <c r="F2225" s="319"/>
      <c r="G2225" s="319"/>
      <c r="H2225" s="320"/>
      <c r="I2225" s="332"/>
      <c r="J2225" s="321"/>
    </row>
    <row r="2226" spans="1:10" s="300" customFormat="1" x14ac:dyDescent="0.25">
      <c r="A2226" s="303"/>
      <c r="B2226" s="333" t="s">
        <v>346</v>
      </c>
      <c r="C2226" s="317"/>
      <c r="D2226" s="318"/>
      <c r="E2226" s="319"/>
      <c r="F2226" s="319"/>
      <c r="G2226" s="319"/>
      <c r="H2226" s="320"/>
      <c r="I2226" s="332"/>
      <c r="J2226" s="321"/>
    </row>
    <row r="2227" spans="1:10" s="300" customFormat="1" x14ac:dyDescent="0.25">
      <c r="A2227" s="303"/>
      <c r="B2227" s="333" t="s">
        <v>346</v>
      </c>
      <c r="C2227" s="317"/>
      <c r="D2227" s="318"/>
      <c r="E2227" s="319"/>
      <c r="F2227" s="319"/>
      <c r="G2227" s="319"/>
      <c r="H2227" s="320"/>
      <c r="I2227" s="332"/>
      <c r="J2227" s="321"/>
    </row>
    <row r="2228" spans="1:10" s="300" customFormat="1" x14ac:dyDescent="0.25">
      <c r="A2228" s="303"/>
      <c r="B2228" s="333" t="s">
        <v>346</v>
      </c>
      <c r="C2228" s="317"/>
      <c r="D2228" s="318"/>
      <c r="E2228" s="319"/>
      <c r="F2228" s="319"/>
      <c r="G2228" s="319"/>
      <c r="H2228" s="320"/>
      <c r="I2228" s="332"/>
      <c r="J2228" s="321"/>
    </row>
    <row r="2229" spans="1:10" s="300" customFormat="1" x14ac:dyDescent="0.25">
      <c r="A2229" s="303"/>
      <c r="B2229" s="333" t="s">
        <v>346</v>
      </c>
      <c r="C2229" s="317"/>
      <c r="D2229" s="318"/>
      <c r="E2229" s="319"/>
      <c r="F2229" s="319"/>
      <c r="G2229" s="319"/>
      <c r="H2229" s="320"/>
      <c r="I2229" s="332"/>
      <c r="J2229" s="321"/>
    </row>
    <row r="2230" spans="1:10" s="300" customFormat="1" x14ac:dyDescent="0.25">
      <c r="A2230" s="303"/>
      <c r="B2230" s="310"/>
      <c r="C2230" s="334"/>
      <c r="D2230" s="312"/>
      <c r="E2230" s="313"/>
      <c r="F2230" s="313"/>
      <c r="G2230" s="313"/>
      <c r="H2230" s="313"/>
      <c r="I2230" s="338" t="s">
        <v>484</v>
      </c>
      <c r="J2230" s="315">
        <f>+SUBTOTAL(9,J2223:J2229)</f>
        <v>0</v>
      </c>
    </row>
    <row r="2231" spans="1:10" s="300" customFormat="1" x14ac:dyDescent="0.25">
      <c r="A2231" s="303"/>
      <c r="B2231" s="339"/>
      <c r="C2231" s="334"/>
      <c r="D2231" s="312"/>
      <c r="E2231" s="313"/>
      <c r="F2231" s="313"/>
      <c r="G2231" s="313"/>
      <c r="H2231" s="313"/>
      <c r="I2231" s="338" t="s">
        <v>485</v>
      </c>
      <c r="J2231" s="340">
        <f>+SUBTOTAL(9,J2214:J2230)</f>
        <v>0</v>
      </c>
    </row>
    <row r="2232" spans="1:10" s="300" customFormat="1" x14ac:dyDescent="0.25">
      <c r="A2232" s="303"/>
      <c r="B2232" s="339"/>
      <c r="C2232" s="341" t="s">
        <v>486</v>
      </c>
      <c r="D2232" s="312">
        <v>1</v>
      </c>
      <c r="E2232" s="313"/>
      <c r="F2232" s="313"/>
      <c r="G2232" s="313"/>
      <c r="H2232" s="313"/>
      <c r="I2232" s="338" t="s">
        <v>487</v>
      </c>
      <c r="J2232" s="340">
        <f>+ROUND(J2231/D2232,4)</f>
        <v>0</v>
      </c>
    </row>
    <row r="2233" spans="1:10" s="300" customFormat="1" x14ac:dyDescent="0.25">
      <c r="A2233" s="303"/>
      <c r="B2233" s="310"/>
      <c r="C2233" s="334"/>
      <c r="D2233" s="312"/>
      <c r="E2233" s="313"/>
      <c r="F2233" s="313"/>
      <c r="G2233" s="313"/>
      <c r="H2233" s="338" t="s">
        <v>488</v>
      </c>
      <c r="I2233" s="342">
        <v>0</v>
      </c>
      <c r="J2233" s="315">
        <f>+ROUND(I2233*J2232,4)</f>
        <v>0</v>
      </c>
    </row>
    <row r="2234" spans="1:10" s="300" customFormat="1" x14ac:dyDescent="0.25">
      <c r="A2234" s="303"/>
      <c r="B2234" s="310"/>
      <c r="C2234" s="334"/>
      <c r="D2234" s="312"/>
      <c r="E2234" s="313"/>
      <c r="F2234" s="313"/>
      <c r="G2234" s="313"/>
      <c r="H2234" s="335" t="s">
        <v>489</v>
      </c>
      <c r="I2234" s="343">
        <v>0</v>
      </c>
      <c r="J2234" s="315">
        <f>+ROUND(I2234*J2232,4)</f>
        <v>0</v>
      </c>
    </row>
    <row r="2235" spans="1:10" s="300" customFormat="1" x14ac:dyDescent="0.25">
      <c r="A2235" s="303"/>
      <c r="B2235" s="310" t="s">
        <v>464</v>
      </c>
      <c r="C2235" s="311" t="s">
        <v>490</v>
      </c>
      <c r="D2235" s="312"/>
      <c r="E2235" s="313"/>
      <c r="F2235" s="313"/>
      <c r="G2235" s="314" t="s">
        <v>465</v>
      </c>
      <c r="H2235" s="336" t="s">
        <v>468</v>
      </c>
      <c r="I2235" s="336" t="s">
        <v>491</v>
      </c>
      <c r="J2235" s="322" t="s">
        <v>492</v>
      </c>
    </row>
    <row r="2236" spans="1:10" s="300" customFormat="1" x14ac:dyDescent="0.25">
      <c r="A2236" s="303"/>
      <c r="B2236" s="337" t="s">
        <v>346</v>
      </c>
      <c r="C2236" s="311"/>
      <c r="D2236" s="312"/>
      <c r="E2236" s="313"/>
      <c r="F2236" s="313"/>
      <c r="G2236" s="314"/>
      <c r="H2236" s="329"/>
      <c r="I2236" s="329"/>
      <c r="J2236" s="315"/>
    </row>
    <row r="2237" spans="1:10" s="300" customFormat="1" x14ac:dyDescent="0.25">
      <c r="A2237" s="303"/>
      <c r="B2237" s="333" t="s">
        <v>346</v>
      </c>
      <c r="C2237" s="317"/>
      <c r="D2237" s="318"/>
      <c r="E2237" s="319"/>
      <c r="F2237" s="319"/>
      <c r="G2237" s="320"/>
      <c r="H2237" s="332"/>
      <c r="I2237" s="332"/>
      <c r="J2237" s="321"/>
    </row>
    <row r="2238" spans="1:10" s="300" customFormat="1" x14ac:dyDescent="0.25">
      <c r="A2238" s="303"/>
      <c r="B2238" s="333" t="s">
        <v>346</v>
      </c>
      <c r="C2238" s="317"/>
      <c r="D2238" s="318"/>
      <c r="E2238" s="319"/>
      <c r="F2238" s="319"/>
      <c r="G2238" s="320"/>
      <c r="H2238" s="332"/>
      <c r="I2238" s="332"/>
      <c r="J2238" s="321"/>
    </row>
    <row r="2239" spans="1:10" s="300" customFormat="1" x14ac:dyDescent="0.25">
      <c r="A2239" s="303"/>
      <c r="B2239" s="333" t="s">
        <v>346</v>
      </c>
      <c r="C2239" s="317"/>
      <c r="D2239" s="318"/>
      <c r="E2239" s="319"/>
      <c r="F2239" s="319"/>
      <c r="G2239" s="320"/>
      <c r="H2239" s="332"/>
      <c r="I2239" s="332"/>
      <c r="J2239" s="321"/>
    </row>
    <row r="2240" spans="1:10" s="300" customFormat="1" x14ac:dyDescent="0.25">
      <c r="A2240" s="303"/>
      <c r="B2240" s="333" t="s">
        <v>346</v>
      </c>
      <c r="C2240" s="317"/>
      <c r="D2240" s="318"/>
      <c r="E2240" s="319"/>
      <c r="F2240" s="319"/>
      <c r="G2240" s="320"/>
      <c r="H2240" s="332"/>
      <c r="I2240" s="332"/>
      <c r="J2240" s="321"/>
    </row>
    <row r="2241" spans="1:10" s="300" customFormat="1" x14ac:dyDescent="0.25">
      <c r="A2241" s="303"/>
      <c r="B2241" s="333" t="s">
        <v>346</v>
      </c>
      <c r="C2241" s="317"/>
      <c r="D2241" s="318"/>
      <c r="E2241" s="319"/>
      <c r="F2241" s="319"/>
      <c r="G2241" s="320"/>
      <c r="H2241" s="332"/>
      <c r="I2241" s="332"/>
      <c r="J2241" s="321"/>
    </row>
    <row r="2242" spans="1:10" s="300" customFormat="1" x14ac:dyDescent="0.25">
      <c r="A2242" s="303"/>
      <c r="B2242" s="333" t="s">
        <v>346</v>
      </c>
      <c r="C2242" s="317"/>
      <c r="D2242" s="318"/>
      <c r="E2242" s="319"/>
      <c r="F2242" s="319"/>
      <c r="G2242" s="320"/>
      <c r="H2242" s="332"/>
      <c r="I2242" s="332"/>
      <c r="J2242" s="321"/>
    </row>
    <row r="2243" spans="1:10" s="300" customFormat="1" x14ac:dyDescent="0.25">
      <c r="A2243" s="303"/>
      <c r="B2243" s="310"/>
      <c r="C2243" s="334"/>
      <c r="D2243" s="312"/>
      <c r="E2243" s="313"/>
      <c r="F2243" s="313"/>
      <c r="G2243" s="313"/>
      <c r="H2243" s="343"/>
      <c r="I2243" s="335" t="s">
        <v>498</v>
      </c>
      <c r="J2243" s="315">
        <f>+SUBTOTAL(9,J2236:J2242)</f>
        <v>0</v>
      </c>
    </row>
    <row r="2244" spans="1:10" s="300" customFormat="1" x14ac:dyDescent="0.25">
      <c r="A2244" s="303"/>
      <c r="B2244" s="310" t="s">
        <v>464</v>
      </c>
      <c r="C2244" s="311" t="s">
        <v>499</v>
      </c>
      <c r="D2244" s="312"/>
      <c r="E2244" s="313"/>
      <c r="F2244" s="313"/>
      <c r="G2244" s="314" t="s">
        <v>465</v>
      </c>
      <c r="H2244" s="336" t="s">
        <v>468</v>
      </c>
      <c r="I2244" s="336" t="s">
        <v>491</v>
      </c>
      <c r="J2244" s="322" t="s">
        <v>492</v>
      </c>
    </row>
    <row r="2245" spans="1:10" s="300" customFormat="1" x14ac:dyDescent="0.25">
      <c r="A2245" s="303"/>
      <c r="B2245" s="337">
        <v>307084</v>
      </c>
      <c r="C2245" s="311" t="s">
        <v>840</v>
      </c>
      <c r="D2245" s="312"/>
      <c r="E2245" s="313"/>
      <c r="F2245" s="313"/>
      <c r="G2245" s="314" t="s">
        <v>372</v>
      </c>
      <c r="H2245" s="329">
        <v>26</v>
      </c>
      <c r="I2245" s="329">
        <v>1</v>
      </c>
      <c r="J2245" s="315">
        <f>+ROUND(H2245*I2245,4)</f>
        <v>26</v>
      </c>
    </row>
    <row r="2246" spans="1:10" s="300" customFormat="1" x14ac:dyDescent="0.25">
      <c r="A2246" s="303"/>
      <c r="B2246" s="333">
        <v>307737</v>
      </c>
      <c r="C2246" s="317" t="s">
        <v>1024</v>
      </c>
      <c r="D2246" s="318"/>
      <c r="E2246" s="319"/>
      <c r="F2246" s="319"/>
      <c r="G2246" s="320" t="s">
        <v>372</v>
      </c>
      <c r="H2246" s="332">
        <v>1206.8</v>
      </c>
      <c r="I2246" s="332">
        <v>1</v>
      </c>
      <c r="J2246" s="321">
        <f>+ROUND(H2246*I2246,4)</f>
        <v>1206.8</v>
      </c>
    </row>
    <row r="2247" spans="1:10" s="300" customFormat="1" x14ac:dyDescent="0.25">
      <c r="A2247" s="303"/>
      <c r="B2247" s="333">
        <v>1108056</v>
      </c>
      <c r="C2247" s="317" t="s">
        <v>1025</v>
      </c>
      <c r="D2247" s="318"/>
      <c r="E2247" s="319"/>
      <c r="F2247" s="319"/>
      <c r="G2247" s="320" t="s">
        <v>365</v>
      </c>
      <c r="H2247" s="332">
        <v>2104.2800000000002</v>
      </c>
      <c r="I2247" s="332">
        <v>7.4999999999999997E-2</v>
      </c>
      <c r="J2247" s="321">
        <f>+ROUND(H2247*I2247,4)</f>
        <v>157.821</v>
      </c>
    </row>
    <row r="2248" spans="1:10" s="300" customFormat="1" x14ac:dyDescent="0.25">
      <c r="A2248" s="303"/>
      <c r="B2248" s="333">
        <v>1600989</v>
      </c>
      <c r="C2248" s="317" t="s">
        <v>841</v>
      </c>
      <c r="D2248" s="318"/>
      <c r="E2248" s="319"/>
      <c r="F2248" s="319"/>
      <c r="G2248" s="320" t="s">
        <v>365</v>
      </c>
      <c r="H2248" s="332">
        <v>319.5</v>
      </c>
      <c r="I2248" s="332">
        <v>7.4999999999999997E-2</v>
      </c>
      <c r="J2248" s="321">
        <f>+ROUND(H2248*I2248,4)</f>
        <v>23.962499999999999</v>
      </c>
    </row>
    <row r="2249" spans="1:10" s="300" customFormat="1" x14ac:dyDescent="0.25">
      <c r="A2249" s="303"/>
      <c r="B2249" s="333"/>
      <c r="C2249" s="317"/>
      <c r="D2249" s="318"/>
      <c r="E2249" s="319"/>
      <c r="F2249" s="319"/>
      <c r="G2249" s="320"/>
      <c r="H2249" s="332"/>
      <c r="I2249" s="332"/>
      <c r="J2249" s="321"/>
    </row>
    <row r="2250" spans="1:10" s="300" customFormat="1" x14ac:dyDescent="0.25">
      <c r="A2250" s="303"/>
      <c r="B2250" s="310"/>
      <c r="C2250" s="334"/>
      <c r="D2250" s="312"/>
      <c r="E2250" s="313"/>
      <c r="F2250" s="313"/>
      <c r="G2250" s="313"/>
      <c r="H2250" s="343"/>
      <c r="I2250" s="335" t="s">
        <v>501</v>
      </c>
      <c r="J2250" s="315">
        <f>+SUBTOTAL(9,J2245:J2249)</f>
        <v>1414.5835</v>
      </c>
    </row>
    <row r="2251" spans="1:10" s="300" customFormat="1" x14ac:dyDescent="0.25">
      <c r="A2251" s="303"/>
      <c r="B2251" s="310" t="s">
        <v>464</v>
      </c>
      <c r="C2251" s="311" t="s">
        <v>502</v>
      </c>
      <c r="D2251" s="312"/>
      <c r="E2251" s="313"/>
      <c r="F2251" s="314" t="s">
        <v>464</v>
      </c>
      <c r="G2251" s="324" t="s">
        <v>503</v>
      </c>
      <c r="H2251" s="329" t="s">
        <v>465</v>
      </c>
      <c r="I2251" s="336" t="s">
        <v>468</v>
      </c>
      <c r="J2251" s="322" t="s">
        <v>492</v>
      </c>
    </row>
    <row r="2252" spans="1:10" s="300" customFormat="1" x14ac:dyDescent="0.25">
      <c r="A2252" s="303"/>
      <c r="B2252" s="337" t="s">
        <v>346</v>
      </c>
      <c r="C2252" s="311"/>
      <c r="D2252" s="312"/>
      <c r="E2252" s="313"/>
      <c r="F2252" s="314"/>
      <c r="G2252" s="314"/>
      <c r="H2252" s="329"/>
      <c r="I2252" s="329"/>
      <c r="J2252" s="315"/>
    </row>
    <row r="2253" spans="1:10" s="300" customFormat="1" x14ac:dyDescent="0.25">
      <c r="A2253" s="303"/>
      <c r="B2253" s="333" t="s">
        <v>346</v>
      </c>
      <c r="C2253" s="317"/>
      <c r="D2253" s="318"/>
      <c r="E2253" s="319"/>
      <c r="F2253" s="320"/>
      <c r="G2253" s="320"/>
      <c r="H2253" s="332"/>
      <c r="I2253" s="332"/>
      <c r="J2253" s="321"/>
    </row>
    <row r="2254" spans="1:10" s="300" customFormat="1" x14ac:dyDescent="0.25">
      <c r="A2254" s="303"/>
      <c r="B2254" s="333" t="s">
        <v>346</v>
      </c>
      <c r="C2254" s="317"/>
      <c r="D2254" s="318"/>
      <c r="E2254" s="319"/>
      <c r="F2254" s="320"/>
      <c r="G2254" s="320"/>
      <c r="H2254" s="332"/>
      <c r="I2254" s="332"/>
      <c r="J2254" s="321"/>
    </row>
    <row r="2255" spans="1:10" s="300" customFormat="1" x14ac:dyDescent="0.25">
      <c r="A2255" s="303"/>
      <c r="B2255" s="333" t="s">
        <v>346</v>
      </c>
      <c r="C2255" s="317"/>
      <c r="D2255" s="318"/>
      <c r="E2255" s="319"/>
      <c r="F2255" s="320"/>
      <c r="G2255" s="320"/>
      <c r="H2255" s="332"/>
      <c r="I2255" s="332"/>
      <c r="J2255" s="321"/>
    </row>
    <row r="2256" spans="1:10" s="300" customFormat="1" x14ac:dyDescent="0.25">
      <c r="A2256" s="303"/>
      <c r="B2256" s="333" t="s">
        <v>346</v>
      </c>
      <c r="C2256" s="317"/>
      <c r="D2256" s="318"/>
      <c r="E2256" s="319"/>
      <c r="F2256" s="320"/>
      <c r="G2256" s="320"/>
      <c r="H2256" s="332"/>
      <c r="I2256" s="332"/>
      <c r="J2256" s="321"/>
    </row>
    <row r="2257" spans="1:10" s="300" customFormat="1" x14ac:dyDescent="0.25">
      <c r="A2257" s="303"/>
      <c r="B2257" s="310"/>
      <c r="C2257" s="334"/>
      <c r="D2257" s="312"/>
      <c r="E2257" s="313"/>
      <c r="F2257" s="313"/>
      <c r="G2257" s="313"/>
      <c r="H2257" s="343"/>
      <c r="I2257" s="338" t="s">
        <v>507</v>
      </c>
      <c r="J2257" s="315">
        <f>+SUBTOTAL(9,J2252:J2256)</f>
        <v>0</v>
      </c>
    </row>
    <row r="2258" spans="1:10" s="300" customFormat="1" x14ac:dyDescent="0.25">
      <c r="A2258" s="303"/>
      <c r="B2258" s="310" t="s">
        <v>464</v>
      </c>
      <c r="C2258" s="311" t="s">
        <v>508</v>
      </c>
      <c r="D2258" s="345" t="s">
        <v>509</v>
      </c>
      <c r="E2258" s="324" t="s">
        <v>873</v>
      </c>
      <c r="F2258" s="324" t="s">
        <v>874</v>
      </c>
      <c r="G2258" s="324" t="s">
        <v>875</v>
      </c>
      <c r="H2258" s="336" t="s">
        <v>468</v>
      </c>
      <c r="I2258" s="324" t="s">
        <v>491</v>
      </c>
      <c r="J2258" s="322" t="s">
        <v>492</v>
      </c>
    </row>
    <row r="2259" spans="1:10" s="300" customFormat="1" x14ac:dyDescent="0.25">
      <c r="A2259" s="303"/>
      <c r="B2259" s="337" t="s">
        <v>346</v>
      </c>
      <c r="C2259" s="311"/>
      <c r="D2259" s="345"/>
      <c r="E2259" s="314"/>
      <c r="F2259" s="314"/>
      <c r="G2259" s="314"/>
      <c r="H2259" s="329"/>
      <c r="I2259" s="314"/>
      <c r="J2259" s="315"/>
    </row>
    <row r="2260" spans="1:10" s="300" customFormat="1" x14ac:dyDescent="0.25">
      <c r="A2260" s="303"/>
      <c r="B2260" s="333" t="s">
        <v>346</v>
      </c>
      <c r="C2260" s="317"/>
      <c r="D2260" s="346"/>
      <c r="E2260" s="320"/>
      <c r="F2260" s="320"/>
      <c r="G2260" s="320"/>
      <c r="H2260" s="332"/>
      <c r="I2260" s="320"/>
      <c r="J2260" s="321"/>
    </row>
    <row r="2261" spans="1:10" s="300" customFormat="1" x14ac:dyDescent="0.25">
      <c r="A2261" s="303"/>
      <c r="B2261" s="333" t="s">
        <v>346</v>
      </c>
      <c r="C2261" s="317"/>
      <c r="D2261" s="346"/>
      <c r="E2261" s="320"/>
      <c r="F2261" s="320"/>
      <c r="G2261" s="320"/>
      <c r="H2261" s="332"/>
      <c r="I2261" s="320"/>
      <c r="J2261" s="321"/>
    </row>
    <row r="2262" spans="1:10" s="300" customFormat="1" x14ac:dyDescent="0.25">
      <c r="A2262" s="303"/>
      <c r="B2262" s="333" t="s">
        <v>346</v>
      </c>
      <c r="C2262" s="317"/>
      <c r="D2262" s="346"/>
      <c r="E2262" s="320"/>
      <c r="F2262" s="320"/>
      <c r="G2262" s="320"/>
      <c r="H2262" s="332"/>
      <c r="I2262" s="320"/>
      <c r="J2262" s="321"/>
    </row>
    <row r="2263" spans="1:10" s="300" customFormat="1" x14ac:dyDescent="0.25">
      <c r="A2263" s="303"/>
      <c r="B2263" s="333" t="s">
        <v>346</v>
      </c>
      <c r="C2263" s="317"/>
      <c r="D2263" s="346"/>
      <c r="E2263" s="320"/>
      <c r="F2263" s="320"/>
      <c r="G2263" s="320"/>
      <c r="H2263" s="332"/>
      <c r="I2263" s="320"/>
      <c r="J2263" s="321"/>
    </row>
    <row r="2264" spans="1:10" s="300" customFormat="1" x14ac:dyDescent="0.25">
      <c r="A2264" s="303"/>
      <c r="B2264" s="333" t="s">
        <v>346</v>
      </c>
      <c r="C2264" s="317"/>
      <c r="D2264" s="346"/>
      <c r="E2264" s="320"/>
      <c r="F2264" s="320"/>
      <c r="G2264" s="320"/>
      <c r="H2264" s="332"/>
      <c r="I2264" s="320"/>
      <c r="J2264" s="321"/>
    </row>
    <row r="2265" spans="1:10" s="300" customFormat="1" x14ac:dyDescent="0.25">
      <c r="A2265" s="303"/>
      <c r="B2265" s="333" t="s">
        <v>346</v>
      </c>
      <c r="C2265" s="317"/>
      <c r="D2265" s="346"/>
      <c r="E2265" s="320"/>
      <c r="F2265" s="320"/>
      <c r="G2265" s="320"/>
      <c r="H2265" s="332"/>
      <c r="I2265" s="320"/>
      <c r="J2265" s="321"/>
    </row>
    <row r="2266" spans="1:10" s="300" customFormat="1" x14ac:dyDescent="0.25">
      <c r="A2266" s="303"/>
      <c r="B2266" s="310"/>
      <c r="C2266" s="334"/>
      <c r="D2266" s="312"/>
      <c r="E2266" s="313"/>
      <c r="F2266" s="313"/>
      <c r="G2266" s="313"/>
      <c r="H2266" s="313"/>
      <c r="I2266" s="338" t="s">
        <v>513</v>
      </c>
      <c r="J2266" s="315">
        <f>+SUBTOTAL(9,J2259:J2265)</f>
        <v>0</v>
      </c>
    </row>
    <row r="2267" spans="1:10" s="300" customFormat="1" x14ac:dyDescent="0.25">
      <c r="A2267" s="303"/>
      <c r="B2267" s="310" t="s">
        <v>514</v>
      </c>
      <c r="C2267" s="334"/>
      <c r="D2267" s="312"/>
      <c r="E2267" s="313"/>
      <c r="F2267" s="313"/>
      <c r="G2267" s="313"/>
      <c r="H2267" s="313"/>
      <c r="I2267" s="313"/>
      <c r="J2267" s="315">
        <f>+SUBTOTAL(9,J2232:J2265)</f>
        <v>1414.5835</v>
      </c>
    </row>
    <row r="2268" spans="1:10" s="300" customFormat="1" x14ac:dyDescent="0.25">
      <c r="A2268" s="303"/>
      <c r="B2268" s="310" t="s">
        <v>515</v>
      </c>
      <c r="C2268" s="334"/>
      <c r="D2268" s="312">
        <v>0</v>
      </c>
      <c r="E2268" s="313"/>
      <c r="F2268" s="313"/>
      <c r="G2268" s="313"/>
      <c r="H2268" s="313"/>
      <c r="I2268" s="313"/>
      <c r="J2268" s="315">
        <f>+ROUND(J2267*D2268/100,4)</f>
        <v>0</v>
      </c>
    </row>
    <row r="2269" spans="1:10" s="300" customFormat="1" ht="14.4" thickBot="1" x14ac:dyDescent="0.3">
      <c r="A2269" s="303"/>
      <c r="B2269" s="310" t="s">
        <v>516</v>
      </c>
      <c r="C2269" s="334"/>
      <c r="D2269" s="312"/>
      <c r="E2269" s="313"/>
      <c r="F2269" s="313"/>
      <c r="G2269" s="313"/>
      <c r="H2269" s="313"/>
      <c r="I2269" s="313"/>
      <c r="J2269" s="347">
        <f>+ROUND(J2267+J2268,2)</f>
        <v>1414.58</v>
      </c>
    </row>
    <row r="2270" spans="1:10" s="300" customFormat="1" x14ac:dyDescent="0.25">
      <c r="A2270" s="303"/>
      <c r="B2270" s="304"/>
      <c r="C2270" s="305"/>
      <c r="D2270" s="348"/>
      <c r="E2270" s="308"/>
      <c r="F2270" s="308"/>
      <c r="G2270" s="308"/>
      <c r="H2270" s="308"/>
      <c r="I2270" s="308"/>
      <c r="J2270" s="309"/>
    </row>
    <row r="2271" spans="1:10" s="300" customFormat="1" x14ac:dyDescent="0.25">
      <c r="A2271" s="303"/>
      <c r="B2271" s="316"/>
      <c r="C2271" s="303"/>
      <c r="D2271" s="318"/>
      <c r="E2271" s="319"/>
      <c r="F2271" s="319"/>
      <c r="G2271" s="319"/>
      <c r="H2271" s="319"/>
      <c r="I2271" s="319"/>
      <c r="J2271" s="349"/>
    </row>
    <row r="2272" spans="1:10" s="300" customFormat="1" x14ac:dyDescent="0.25">
      <c r="A2272" s="303"/>
      <c r="B2272" s="316"/>
      <c r="C2272" s="303"/>
      <c r="D2272" s="318"/>
      <c r="E2272" s="319"/>
      <c r="F2272" s="319"/>
      <c r="G2272" s="319"/>
      <c r="H2272" s="319"/>
      <c r="I2272" s="319"/>
      <c r="J2272" s="349"/>
    </row>
    <row r="2273" spans="1:10" s="300" customFormat="1" ht="14.4" thickBot="1" x14ac:dyDescent="0.3">
      <c r="A2273" s="303"/>
      <c r="B2273" s="350"/>
      <c r="C2273" s="303"/>
      <c r="D2273" s="318"/>
      <c r="E2273" s="319"/>
      <c r="F2273" s="319"/>
      <c r="G2273" s="319"/>
      <c r="H2273" s="319"/>
      <c r="I2273" s="319"/>
      <c r="J2273" s="351"/>
    </row>
    <row r="2274" spans="1:10" s="300" customFormat="1" x14ac:dyDescent="0.25">
      <c r="A2274" s="303"/>
      <c r="B2274" s="305"/>
      <c r="C2274" s="305"/>
      <c r="D2274" s="348"/>
      <c r="E2274" s="308"/>
      <c r="F2274" s="308"/>
      <c r="G2274" s="308"/>
      <c r="H2274" s="308"/>
      <c r="I2274" s="308"/>
      <c r="J2274" s="352"/>
    </row>
    <row r="2275" spans="1:10" s="300" customFormat="1" ht="14.4" thickBot="1" x14ac:dyDescent="0.3">
      <c r="A2275" s="303"/>
      <c r="B2275" s="303"/>
      <c r="C2275" s="303"/>
      <c r="D2275" s="318"/>
      <c r="E2275" s="319"/>
      <c r="F2275" s="319"/>
      <c r="G2275" s="319"/>
      <c r="H2275" s="319"/>
      <c r="I2275" s="319"/>
      <c r="J2275" s="353"/>
    </row>
    <row r="2276" spans="1:10" s="300" customFormat="1" x14ac:dyDescent="0.25">
      <c r="A2276" s="303"/>
      <c r="B2276" s="304"/>
      <c r="C2276" s="305"/>
      <c r="D2276" s="306" t="s">
        <v>463</v>
      </c>
      <c r="E2276" s="307"/>
      <c r="F2276" s="307"/>
      <c r="G2276" s="308"/>
      <c r="H2276" s="308"/>
      <c r="I2276" s="308"/>
      <c r="J2276" s="309"/>
    </row>
    <row r="2277" spans="1:10" s="300" customFormat="1" x14ac:dyDescent="0.25">
      <c r="A2277" s="303"/>
      <c r="B2277" s="310" t="s">
        <v>464</v>
      </c>
      <c r="C2277" s="311" t="s">
        <v>134</v>
      </c>
      <c r="D2277" s="312"/>
      <c r="E2277" s="313"/>
      <c r="F2277" s="313"/>
      <c r="G2277" s="313"/>
      <c r="H2277" s="314"/>
      <c r="I2277" s="313"/>
      <c r="J2277" s="315" t="s">
        <v>465</v>
      </c>
    </row>
    <row r="2278" spans="1:10" s="300" customFormat="1" x14ac:dyDescent="0.25">
      <c r="A2278" s="303"/>
      <c r="B2278" s="316">
        <v>307084</v>
      </c>
      <c r="C2278" s="317" t="s">
        <v>842</v>
      </c>
      <c r="D2278" s="318"/>
      <c r="E2278" s="319"/>
      <c r="F2278" s="319"/>
      <c r="G2278" s="319"/>
      <c r="H2278" s="320"/>
      <c r="I2278" s="319"/>
      <c r="J2278" s="321" t="s">
        <v>372</v>
      </c>
    </row>
    <row r="2279" spans="1:10" s="300" customFormat="1" x14ac:dyDescent="0.25">
      <c r="A2279" s="303"/>
      <c r="B2279" s="310"/>
      <c r="C2279" s="311"/>
      <c r="D2279" s="312"/>
      <c r="E2279" s="314"/>
      <c r="F2279" s="314" t="s">
        <v>466</v>
      </c>
      <c r="G2279" s="314"/>
      <c r="H2279" s="314" t="s">
        <v>467</v>
      </c>
      <c r="I2279" s="314"/>
      <c r="J2279" s="322" t="s">
        <v>468</v>
      </c>
    </row>
    <row r="2280" spans="1:10" s="300" customFormat="1" x14ac:dyDescent="0.25">
      <c r="A2280" s="303"/>
      <c r="B2280" s="316" t="s">
        <v>464</v>
      </c>
      <c r="C2280" s="317" t="s">
        <v>469</v>
      </c>
      <c r="D2280" s="318"/>
      <c r="E2280" s="323" t="s">
        <v>355</v>
      </c>
      <c r="F2280" s="324" t="s">
        <v>470</v>
      </c>
      <c r="G2280" s="324" t="s">
        <v>471</v>
      </c>
      <c r="H2280" s="324" t="s">
        <v>472</v>
      </c>
      <c r="I2280" s="325" t="s">
        <v>473</v>
      </c>
      <c r="J2280" s="326" t="s">
        <v>474</v>
      </c>
    </row>
    <row r="2281" spans="1:10" s="300" customFormat="1" x14ac:dyDescent="0.25">
      <c r="A2281" s="303"/>
      <c r="B2281" s="327" t="s">
        <v>618</v>
      </c>
      <c r="C2281" s="311" t="s">
        <v>619</v>
      </c>
      <c r="D2281" s="312"/>
      <c r="E2281" s="328">
        <v>0.60241</v>
      </c>
      <c r="F2281" s="328">
        <v>1</v>
      </c>
      <c r="G2281" s="328">
        <v>0</v>
      </c>
      <c r="H2281" s="329">
        <v>3.6429</v>
      </c>
      <c r="I2281" s="329">
        <v>0.19370000000000001</v>
      </c>
      <c r="J2281" s="315">
        <f>+ROUND(E2281* ((F2281*H2281) + (G2281*I2281)),4)</f>
        <v>2.1945000000000001</v>
      </c>
    </row>
    <row r="2282" spans="1:10" s="300" customFormat="1" x14ac:dyDescent="0.25">
      <c r="A2282" s="303"/>
      <c r="B2282" s="330" t="s">
        <v>477</v>
      </c>
      <c r="C2282" s="317" t="s">
        <v>478</v>
      </c>
      <c r="D2282" s="318"/>
      <c r="E2282" s="331">
        <v>6.0240000000000002E-2</v>
      </c>
      <c r="F2282" s="331">
        <v>1</v>
      </c>
      <c r="G2282" s="331">
        <v>0</v>
      </c>
      <c r="H2282" s="332">
        <v>21.3766</v>
      </c>
      <c r="I2282" s="332">
        <v>1.5183</v>
      </c>
      <c r="J2282" s="321">
        <f>+ROUND(E2282* ((F2282*H2282) + (G2282*I2282)),4)</f>
        <v>1.2877000000000001</v>
      </c>
    </row>
    <row r="2283" spans="1:10" s="300" customFormat="1" x14ac:dyDescent="0.25">
      <c r="A2283" s="303"/>
      <c r="B2283" s="330" t="s">
        <v>659</v>
      </c>
      <c r="C2283" s="317" t="s">
        <v>660</v>
      </c>
      <c r="D2283" s="318"/>
      <c r="E2283" s="331">
        <v>0.60241</v>
      </c>
      <c r="F2283" s="331">
        <v>1</v>
      </c>
      <c r="G2283" s="331">
        <v>0</v>
      </c>
      <c r="H2283" s="332">
        <v>0.79079999999999995</v>
      </c>
      <c r="I2283" s="332">
        <v>0.43190000000000001</v>
      </c>
      <c r="J2283" s="321">
        <f>+ROUND(E2283* ((F2283*H2283) + (G2283*I2283)),4)</f>
        <v>0.47639999999999999</v>
      </c>
    </row>
    <row r="2284" spans="1:10" s="300" customFormat="1" x14ac:dyDescent="0.25">
      <c r="A2284" s="303"/>
      <c r="B2284" s="333" t="s">
        <v>346</v>
      </c>
      <c r="C2284" s="317"/>
      <c r="D2284" s="318"/>
      <c r="E2284" s="331"/>
      <c r="F2284" s="331"/>
      <c r="G2284" s="331"/>
      <c r="H2284" s="332"/>
      <c r="I2284" s="332"/>
      <c r="J2284" s="321"/>
    </row>
    <row r="2285" spans="1:10" s="300" customFormat="1" x14ac:dyDescent="0.25">
      <c r="A2285" s="303"/>
      <c r="B2285" s="333" t="s">
        <v>346</v>
      </c>
      <c r="C2285" s="317"/>
      <c r="D2285" s="318"/>
      <c r="E2285" s="331"/>
      <c r="F2285" s="331"/>
      <c r="G2285" s="331"/>
      <c r="H2285" s="332"/>
      <c r="I2285" s="332"/>
      <c r="J2285" s="321"/>
    </row>
    <row r="2286" spans="1:10" s="300" customFormat="1" x14ac:dyDescent="0.25">
      <c r="A2286" s="303"/>
      <c r="B2286" s="333" t="s">
        <v>346</v>
      </c>
      <c r="C2286" s="317"/>
      <c r="D2286" s="318"/>
      <c r="E2286" s="331"/>
      <c r="F2286" s="331"/>
      <c r="G2286" s="331"/>
      <c r="H2286" s="332"/>
      <c r="I2286" s="332"/>
      <c r="J2286" s="321"/>
    </row>
    <row r="2287" spans="1:10" s="300" customFormat="1" x14ac:dyDescent="0.25">
      <c r="A2287" s="303"/>
      <c r="B2287" s="333" t="s">
        <v>346</v>
      </c>
      <c r="C2287" s="317"/>
      <c r="D2287" s="318"/>
      <c r="E2287" s="331"/>
      <c r="F2287" s="331"/>
      <c r="G2287" s="331"/>
      <c r="H2287" s="332"/>
      <c r="I2287" s="332"/>
      <c r="J2287" s="321"/>
    </row>
    <row r="2288" spans="1:10" s="300" customFormat="1" x14ac:dyDescent="0.25">
      <c r="A2288" s="303"/>
      <c r="B2288" s="310"/>
      <c r="C2288" s="334"/>
      <c r="D2288" s="312"/>
      <c r="E2288" s="313"/>
      <c r="F2288" s="313"/>
      <c r="G2288" s="313"/>
      <c r="H2288" s="313"/>
      <c r="I2288" s="335" t="s">
        <v>479</v>
      </c>
      <c r="J2288" s="315">
        <f>+SUBTOTAL(9,J2281:J2287)</f>
        <v>3.9586000000000001</v>
      </c>
    </row>
    <row r="2289" spans="1:10" s="300" customFormat="1" x14ac:dyDescent="0.25">
      <c r="A2289" s="303"/>
      <c r="B2289" s="310" t="s">
        <v>464</v>
      </c>
      <c r="C2289" s="311" t="s">
        <v>480</v>
      </c>
      <c r="D2289" s="312"/>
      <c r="E2289" s="313"/>
      <c r="F2289" s="313"/>
      <c r="G2289" s="313"/>
      <c r="H2289" s="324" t="s">
        <v>355</v>
      </c>
      <c r="I2289" s="336" t="s">
        <v>481</v>
      </c>
      <c r="J2289" s="322" t="s">
        <v>331</v>
      </c>
    </row>
    <row r="2290" spans="1:10" s="300" customFormat="1" x14ac:dyDescent="0.25">
      <c r="A2290" s="303"/>
      <c r="B2290" s="337" t="s">
        <v>620</v>
      </c>
      <c r="C2290" s="311" t="s">
        <v>621</v>
      </c>
      <c r="D2290" s="312"/>
      <c r="E2290" s="313"/>
      <c r="F2290" s="313"/>
      <c r="G2290" s="313"/>
      <c r="H2290" s="314">
        <v>1</v>
      </c>
      <c r="I2290" s="329">
        <v>21.433599999999998</v>
      </c>
      <c r="J2290" s="315">
        <f>+ROUND(H2290*I2290,4)</f>
        <v>21.433599999999998</v>
      </c>
    </row>
    <row r="2291" spans="1:10" s="300" customFormat="1" x14ac:dyDescent="0.25">
      <c r="A2291" s="303"/>
      <c r="B2291" s="333" t="s">
        <v>482</v>
      </c>
      <c r="C2291" s="317" t="s">
        <v>483</v>
      </c>
      <c r="D2291" s="318"/>
      <c r="E2291" s="319"/>
      <c r="F2291" s="319"/>
      <c r="G2291" s="319"/>
      <c r="H2291" s="320">
        <v>2</v>
      </c>
      <c r="I2291" s="332">
        <v>17.768000000000001</v>
      </c>
      <c r="J2291" s="321">
        <f>+ROUND(H2291*I2291,4)</f>
        <v>35.536000000000001</v>
      </c>
    </row>
    <row r="2292" spans="1:10" s="300" customFormat="1" x14ac:dyDescent="0.25">
      <c r="A2292" s="303"/>
      <c r="B2292" s="333" t="s">
        <v>346</v>
      </c>
      <c r="C2292" s="317"/>
      <c r="D2292" s="318"/>
      <c r="E2292" s="319"/>
      <c r="F2292" s="319"/>
      <c r="G2292" s="319"/>
      <c r="H2292" s="320"/>
      <c r="I2292" s="332"/>
      <c r="J2292" s="321"/>
    </row>
    <row r="2293" spans="1:10" s="300" customFormat="1" x14ac:dyDescent="0.25">
      <c r="A2293" s="303"/>
      <c r="B2293" s="333" t="s">
        <v>346</v>
      </c>
      <c r="C2293" s="317"/>
      <c r="D2293" s="318"/>
      <c r="E2293" s="319"/>
      <c r="F2293" s="319"/>
      <c r="G2293" s="319"/>
      <c r="H2293" s="320"/>
      <c r="I2293" s="332"/>
      <c r="J2293" s="321"/>
    </row>
    <row r="2294" spans="1:10" s="300" customFormat="1" x14ac:dyDescent="0.25">
      <c r="A2294" s="303"/>
      <c r="B2294" s="333" t="s">
        <v>346</v>
      </c>
      <c r="C2294" s="317"/>
      <c r="D2294" s="318"/>
      <c r="E2294" s="319"/>
      <c r="F2294" s="319"/>
      <c r="G2294" s="319"/>
      <c r="H2294" s="320"/>
      <c r="I2294" s="332"/>
      <c r="J2294" s="321"/>
    </row>
    <row r="2295" spans="1:10" s="300" customFormat="1" x14ac:dyDescent="0.25">
      <c r="A2295" s="303"/>
      <c r="B2295" s="333" t="s">
        <v>346</v>
      </c>
      <c r="C2295" s="317"/>
      <c r="D2295" s="318"/>
      <c r="E2295" s="319"/>
      <c r="F2295" s="319"/>
      <c r="G2295" s="319"/>
      <c r="H2295" s="320"/>
      <c r="I2295" s="332"/>
      <c r="J2295" s="321"/>
    </row>
    <row r="2296" spans="1:10" s="300" customFormat="1" x14ac:dyDescent="0.25">
      <c r="A2296" s="303"/>
      <c r="B2296" s="333" t="s">
        <v>346</v>
      </c>
      <c r="C2296" s="317"/>
      <c r="D2296" s="318"/>
      <c r="E2296" s="319"/>
      <c r="F2296" s="319"/>
      <c r="G2296" s="319"/>
      <c r="H2296" s="320"/>
      <c r="I2296" s="332"/>
      <c r="J2296" s="321"/>
    </row>
    <row r="2297" spans="1:10" s="300" customFormat="1" x14ac:dyDescent="0.25">
      <c r="A2297" s="303"/>
      <c r="B2297" s="310"/>
      <c r="C2297" s="334"/>
      <c r="D2297" s="312"/>
      <c r="E2297" s="313"/>
      <c r="F2297" s="313"/>
      <c r="G2297" s="313"/>
      <c r="H2297" s="313"/>
      <c r="I2297" s="338" t="s">
        <v>484</v>
      </c>
      <c r="J2297" s="315">
        <f>+SUBTOTAL(9,J2290:J2296)</f>
        <v>56.9696</v>
      </c>
    </row>
    <row r="2298" spans="1:10" s="300" customFormat="1" x14ac:dyDescent="0.25">
      <c r="A2298" s="303"/>
      <c r="B2298" s="339"/>
      <c r="C2298" s="334"/>
      <c r="D2298" s="312"/>
      <c r="E2298" s="313"/>
      <c r="F2298" s="313"/>
      <c r="G2298" s="313"/>
      <c r="H2298" s="313"/>
      <c r="I2298" s="338" t="s">
        <v>485</v>
      </c>
      <c r="J2298" s="340">
        <f>+SUBTOTAL(9,J2281:J2297)</f>
        <v>60.928200000000004</v>
      </c>
    </row>
    <row r="2299" spans="1:10" s="300" customFormat="1" x14ac:dyDescent="0.25">
      <c r="A2299" s="303"/>
      <c r="B2299" s="339"/>
      <c r="C2299" s="341" t="s">
        <v>486</v>
      </c>
      <c r="D2299" s="312">
        <v>5</v>
      </c>
      <c r="E2299" s="313"/>
      <c r="F2299" s="313"/>
      <c r="G2299" s="313"/>
      <c r="H2299" s="313"/>
      <c r="I2299" s="338" t="s">
        <v>487</v>
      </c>
      <c r="J2299" s="340">
        <f>+ROUND(J2298/D2299,4)</f>
        <v>12.185600000000001</v>
      </c>
    </row>
    <row r="2300" spans="1:10" s="300" customFormat="1" x14ac:dyDescent="0.25">
      <c r="A2300" s="303"/>
      <c r="B2300" s="310"/>
      <c r="C2300" s="334"/>
      <c r="D2300" s="312"/>
      <c r="E2300" s="313"/>
      <c r="F2300" s="313"/>
      <c r="G2300" s="313"/>
      <c r="H2300" s="338" t="s">
        <v>488</v>
      </c>
      <c r="I2300" s="342">
        <v>0</v>
      </c>
      <c r="J2300" s="315">
        <f>+ROUND(I2300*J2299,4)</f>
        <v>0</v>
      </c>
    </row>
    <row r="2301" spans="1:10" s="300" customFormat="1" x14ac:dyDescent="0.25">
      <c r="A2301" s="303"/>
      <c r="B2301" s="310"/>
      <c r="C2301" s="334"/>
      <c r="D2301" s="312"/>
      <c r="E2301" s="313"/>
      <c r="F2301" s="313"/>
      <c r="G2301" s="313"/>
      <c r="H2301" s="335" t="s">
        <v>489</v>
      </c>
      <c r="I2301" s="343">
        <v>0</v>
      </c>
      <c r="J2301" s="315">
        <f>+ROUND(I2301*J2299,4)</f>
        <v>0</v>
      </c>
    </row>
    <row r="2302" spans="1:10" s="300" customFormat="1" x14ac:dyDescent="0.25">
      <c r="A2302" s="303"/>
      <c r="B2302" s="310" t="s">
        <v>464</v>
      </c>
      <c r="C2302" s="311" t="s">
        <v>490</v>
      </c>
      <c r="D2302" s="312"/>
      <c r="E2302" s="313"/>
      <c r="F2302" s="313"/>
      <c r="G2302" s="314" t="s">
        <v>465</v>
      </c>
      <c r="H2302" s="336" t="s">
        <v>468</v>
      </c>
      <c r="I2302" s="336" t="s">
        <v>491</v>
      </c>
      <c r="J2302" s="322" t="s">
        <v>492</v>
      </c>
    </row>
    <row r="2303" spans="1:10" s="300" customFormat="1" x14ac:dyDescent="0.25">
      <c r="A2303" s="303"/>
      <c r="B2303" s="337" t="s">
        <v>811</v>
      </c>
      <c r="C2303" s="311" t="s">
        <v>812</v>
      </c>
      <c r="D2303" s="312"/>
      <c r="E2303" s="313"/>
      <c r="F2303" s="313"/>
      <c r="G2303" s="314" t="s">
        <v>560</v>
      </c>
      <c r="H2303" s="329">
        <v>4.0429000000000004</v>
      </c>
      <c r="I2303" s="329">
        <v>2.4</v>
      </c>
      <c r="J2303" s="315">
        <f>+ROUND(H2303*I2303,4)</f>
        <v>9.7029999999999994</v>
      </c>
    </row>
    <row r="2304" spans="1:10" s="300" customFormat="1" x14ac:dyDescent="0.25">
      <c r="A2304" s="303"/>
      <c r="B2304" s="333" t="s">
        <v>493</v>
      </c>
      <c r="C2304" s="317" t="s">
        <v>494</v>
      </c>
      <c r="D2304" s="318"/>
      <c r="E2304" s="319"/>
      <c r="F2304" s="319"/>
      <c r="G2304" s="320" t="s">
        <v>433</v>
      </c>
      <c r="H2304" s="332">
        <v>348.2038</v>
      </c>
      <c r="I2304" s="332">
        <v>6.6699999999999997E-3</v>
      </c>
      <c r="J2304" s="321">
        <f>+ROUND(H2304*I2304,4)</f>
        <v>2.3224999999999998</v>
      </c>
    </row>
    <row r="2305" spans="1:10" s="300" customFormat="1" x14ac:dyDescent="0.25">
      <c r="A2305" s="303"/>
      <c r="B2305" s="333" t="s">
        <v>605</v>
      </c>
      <c r="C2305" s="317" t="s">
        <v>606</v>
      </c>
      <c r="D2305" s="318"/>
      <c r="E2305" s="319"/>
      <c r="F2305" s="319"/>
      <c r="G2305" s="320" t="s">
        <v>433</v>
      </c>
      <c r="H2305" s="332">
        <v>239.453</v>
      </c>
      <c r="I2305" s="332">
        <v>6.6699999999999997E-3</v>
      </c>
      <c r="J2305" s="321">
        <f>+ROUND(H2305*I2305,4)</f>
        <v>1.5972</v>
      </c>
    </row>
    <row r="2306" spans="1:10" s="300" customFormat="1" x14ac:dyDescent="0.25">
      <c r="A2306" s="303"/>
      <c r="B2306" s="333" t="s">
        <v>346</v>
      </c>
      <c r="C2306" s="317"/>
      <c r="D2306" s="318"/>
      <c r="E2306" s="319"/>
      <c r="F2306" s="319"/>
      <c r="G2306" s="320"/>
      <c r="H2306" s="332"/>
      <c r="I2306" s="332"/>
      <c r="J2306" s="321"/>
    </row>
    <row r="2307" spans="1:10" s="300" customFormat="1" x14ac:dyDescent="0.25">
      <c r="A2307" s="303"/>
      <c r="B2307" s="333" t="s">
        <v>346</v>
      </c>
      <c r="C2307" s="317"/>
      <c r="D2307" s="318"/>
      <c r="E2307" s="319"/>
      <c r="F2307" s="319"/>
      <c r="G2307" s="320"/>
      <c r="H2307" s="332"/>
      <c r="I2307" s="332"/>
      <c r="J2307" s="321"/>
    </row>
    <row r="2308" spans="1:10" s="300" customFormat="1" x14ac:dyDescent="0.25">
      <c r="A2308" s="303"/>
      <c r="B2308" s="333" t="s">
        <v>346</v>
      </c>
      <c r="C2308" s="317"/>
      <c r="D2308" s="318"/>
      <c r="E2308" s="319"/>
      <c r="F2308" s="319"/>
      <c r="G2308" s="320"/>
      <c r="H2308" s="332"/>
      <c r="I2308" s="332"/>
      <c r="J2308" s="321"/>
    </row>
    <row r="2309" spans="1:10" s="300" customFormat="1" x14ac:dyDescent="0.25">
      <c r="A2309" s="303"/>
      <c r="B2309" s="333" t="s">
        <v>346</v>
      </c>
      <c r="C2309" s="317"/>
      <c r="D2309" s="318"/>
      <c r="E2309" s="319"/>
      <c r="F2309" s="319"/>
      <c r="G2309" s="320"/>
      <c r="H2309" s="332"/>
      <c r="I2309" s="332"/>
      <c r="J2309" s="321"/>
    </row>
    <row r="2310" spans="1:10" s="300" customFormat="1" x14ac:dyDescent="0.25">
      <c r="A2310" s="303"/>
      <c r="B2310" s="310"/>
      <c r="C2310" s="334"/>
      <c r="D2310" s="312"/>
      <c r="E2310" s="313"/>
      <c r="F2310" s="313"/>
      <c r="G2310" s="313"/>
      <c r="H2310" s="343"/>
      <c r="I2310" s="335" t="s">
        <v>498</v>
      </c>
      <c r="J2310" s="315">
        <f>+SUBTOTAL(9,J2303:J2309)</f>
        <v>13.622699999999998</v>
      </c>
    </row>
    <row r="2311" spans="1:10" s="300" customFormat="1" x14ac:dyDescent="0.25">
      <c r="A2311" s="303"/>
      <c r="B2311" s="310" t="s">
        <v>464</v>
      </c>
      <c r="C2311" s="311" t="s">
        <v>499</v>
      </c>
      <c r="D2311" s="312"/>
      <c r="E2311" s="313"/>
      <c r="F2311" s="313"/>
      <c r="G2311" s="314" t="s">
        <v>465</v>
      </c>
      <c r="H2311" s="336" t="s">
        <v>468</v>
      </c>
      <c r="I2311" s="336" t="s">
        <v>491</v>
      </c>
      <c r="J2311" s="322" t="s">
        <v>492</v>
      </c>
    </row>
    <row r="2312" spans="1:10" s="300" customFormat="1" x14ac:dyDescent="0.25">
      <c r="A2312" s="303"/>
      <c r="B2312" s="337"/>
      <c r="C2312" s="311"/>
      <c r="D2312" s="312"/>
      <c r="E2312" s="313"/>
      <c r="F2312" s="313"/>
      <c r="G2312" s="314"/>
      <c r="H2312" s="329"/>
      <c r="I2312" s="329"/>
      <c r="J2312" s="315"/>
    </row>
    <row r="2313" spans="1:10" s="300" customFormat="1" x14ac:dyDescent="0.25">
      <c r="A2313" s="303"/>
      <c r="B2313" s="333"/>
      <c r="C2313" s="317"/>
      <c r="D2313" s="318"/>
      <c r="E2313" s="319"/>
      <c r="F2313" s="319"/>
      <c r="G2313" s="320"/>
      <c r="H2313" s="332"/>
      <c r="I2313" s="332"/>
      <c r="J2313" s="321"/>
    </row>
    <row r="2314" spans="1:10" s="300" customFormat="1" x14ac:dyDescent="0.25">
      <c r="A2314" s="303"/>
      <c r="B2314" s="333"/>
      <c r="C2314" s="317"/>
      <c r="D2314" s="318"/>
      <c r="E2314" s="319"/>
      <c r="F2314" s="319"/>
      <c r="G2314" s="320"/>
      <c r="H2314" s="332"/>
      <c r="I2314" s="332"/>
      <c r="J2314" s="321"/>
    </row>
    <row r="2315" spans="1:10" s="300" customFormat="1" x14ac:dyDescent="0.25">
      <c r="A2315" s="303"/>
      <c r="B2315" s="333"/>
      <c r="C2315" s="317"/>
      <c r="D2315" s="318"/>
      <c r="E2315" s="319"/>
      <c r="F2315" s="319"/>
      <c r="G2315" s="320"/>
      <c r="H2315" s="332"/>
      <c r="I2315" s="332"/>
      <c r="J2315" s="321"/>
    </row>
    <row r="2316" spans="1:10" s="300" customFormat="1" x14ac:dyDescent="0.25">
      <c r="A2316" s="303"/>
      <c r="B2316" s="333"/>
      <c r="C2316" s="317"/>
      <c r="D2316" s="318"/>
      <c r="E2316" s="319"/>
      <c r="F2316" s="319"/>
      <c r="G2316" s="320"/>
      <c r="H2316" s="332"/>
      <c r="I2316" s="332"/>
      <c r="J2316" s="321"/>
    </row>
    <row r="2317" spans="1:10" s="300" customFormat="1" x14ac:dyDescent="0.25">
      <c r="A2317" s="303"/>
      <c r="B2317" s="310"/>
      <c r="C2317" s="334"/>
      <c r="D2317" s="312"/>
      <c r="E2317" s="313"/>
      <c r="F2317" s="313"/>
      <c r="G2317" s="313"/>
      <c r="H2317" s="343"/>
      <c r="I2317" s="335" t="s">
        <v>501</v>
      </c>
      <c r="J2317" s="315">
        <f>+SUBTOTAL(9,J2312:J2316)</f>
        <v>0</v>
      </c>
    </row>
    <row r="2318" spans="1:10" s="300" customFormat="1" x14ac:dyDescent="0.25">
      <c r="A2318" s="303"/>
      <c r="B2318" s="310" t="s">
        <v>464</v>
      </c>
      <c r="C2318" s="311" t="s">
        <v>502</v>
      </c>
      <c r="D2318" s="312"/>
      <c r="E2318" s="313"/>
      <c r="F2318" s="314" t="s">
        <v>464</v>
      </c>
      <c r="G2318" s="324" t="s">
        <v>503</v>
      </c>
      <c r="H2318" s="329" t="s">
        <v>465</v>
      </c>
      <c r="I2318" s="336" t="s">
        <v>468</v>
      </c>
      <c r="J2318" s="322" t="s">
        <v>492</v>
      </c>
    </row>
    <row r="2319" spans="1:10" s="300" customFormat="1" x14ac:dyDescent="0.25">
      <c r="A2319" s="303"/>
      <c r="B2319" s="337" t="s">
        <v>843</v>
      </c>
      <c r="C2319" s="311" t="s">
        <v>844</v>
      </c>
      <c r="D2319" s="312"/>
      <c r="E2319" s="313"/>
      <c r="F2319" s="344" t="s">
        <v>632</v>
      </c>
      <c r="G2319" s="314">
        <v>2.3999999999999998E-3</v>
      </c>
      <c r="H2319" s="329" t="s">
        <v>370</v>
      </c>
      <c r="I2319" s="329">
        <v>26.18</v>
      </c>
      <c r="J2319" s="315">
        <f>+ROUND(G2319*I2319,4)</f>
        <v>6.2799999999999995E-2</v>
      </c>
    </row>
    <row r="2320" spans="1:10" s="300" customFormat="1" x14ac:dyDescent="0.25">
      <c r="A2320" s="303"/>
      <c r="B2320" s="333" t="s">
        <v>346</v>
      </c>
      <c r="C2320" s="317"/>
      <c r="D2320" s="318"/>
      <c r="E2320" s="319"/>
      <c r="F2320" s="320"/>
      <c r="G2320" s="320"/>
      <c r="H2320" s="332"/>
      <c r="I2320" s="332"/>
      <c r="J2320" s="321"/>
    </row>
    <row r="2321" spans="1:10" s="300" customFormat="1" x14ac:dyDescent="0.25">
      <c r="A2321" s="303"/>
      <c r="B2321" s="333" t="s">
        <v>346</v>
      </c>
      <c r="C2321" s="317"/>
      <c r="D2321" s="318"/>
      <c r="E2321" s="319"/>
      <c r="F2321" s="320"/>
      <c r="G2321" s="320"/>
      <c r="H2321" s="332"/>
      <c r="I2321" s="332"/>
      <c r="J2321" s="321"/>
    </row>
    <row r="2322" spans="1:10" s="300" customFormat="1" x14ac:dyDescent="0.25">
      <c r="A2322" s="303"/>
      <c r="B2322" s="333" t="s">
        <v>346</v>
      </c>
      <c r="C2322" s="317"/>
      <c r="D2322" s="318"/>
      <c r="E2322" s="319"/>
      <c r="F2322" s="320"/>
      <c r="G2322" s="320"/>
      <c r="H2322" s="332"/>
      <c r="I2322" s="332"/>
      <c r="J2322" s="321"/>
    </row>
    <row r="2323" spans="1:10" s="300" customFormat="1" x14ac:dyDescent="0.25">
      <c r="A2323" s="303"/>
      <c r="B2323" s="333" t="s">
        <v>346</v>
      </c>
      <c r="C2323" s="317"/>
      <c r="D2323" s="318"/>
      <c r="E2323" s="319"/>
      <c r="F2323" s="320"/>
      <c r="G2323" s="320"/>
      <c r="H2323" s="332"/>
      <c r="I2323" s="332"/>
      <c r="J2323" s="321"/>
    </row>
    <row r="2324" spans="1:10" s="300" customFormat="1" x14ac:dyDescent="0.25">
      <c r="A2324" s="303"/>
      <c r="B2324" s="310"/>
      <c r="C2324" s="334"/>
      <c r="D2324" s="312"/>
      <c r="E2324" s="313"/>
      <c r="F2324" s="313"/>
      <c r="G2324" s="313"/>
      <c r="H2324" s="343"/>
      <c r="I2324" s="338" t="s">
        <v>507</v>
      </c>
      <c r="J2324" s="315">
        <f>+SUBTOTAL(9,J2319:J2323)</f>
        <v>6.2799999999999995E-2</v>
      </c>
    </row>
    <row r="2325" spans="1:10" s="300" customFormat="1" x14ac:dyDescent="0.25">
      <c r="A2325" s="303"/>
      <c r="B2325" s="310" t="s">
        <v>464</v>
      </c>
      <c r="C2325" s="311" t="s">
        <v>508</v>
      </c>
      <c r="D2325" s="345" t="s">
        <v>509</v>
      </c>
      <c r="E2325" s="324" t="s">
        <v>873</v>
      </c>
      <c r="F2325" s="324" t="s">
        <v>874</v>
      </c>
      <c r="G2325" s="324" t="s">
        <v>875</v>
      </c>
      <c r="H2325" s="336" t="s">
        <v>468</v>
      </c>
      <c r="I2325" s="324" t="s">
        <v>491</v>
      </c>
      <c r="J2325" s="322" t="s">
        <v>492</v>
      </c>
    </row>
    <row r="2326" spans="1:10" s="300" customFormat="1" x14ac:dyDescent="0.25">
      <c r="A2326" s="303"/>
      <c r="B2326" s="337" t="s">
        <v>845</v>
      </c>
      <c r="C2326" s="311" t="s">
        <v>846</v>
      </c>
      <c r="D2326" s="345" t="s">
        <v>510</v>
      </c>
      <c r="E2326" s="314">
        <v>0</v>
      </c>
      <c r="F2326" s="314">
        <v>0</v>
      </c>
      <c r="G2326" s="314">
        <v>100.45</v>
      </c>
      <c r="H2326" s="329">
        <v>0.55000000000000004</v>
      </c>
      <c r="I2326" s="314">
        <v>2.3999999999999998E-3</v>
      </c>
      <c r="J2326" s="315">
        <f>+ROUND((E2326+F2326+G2326)*H2326*I2326,4)</f>
        <v>0.1326</v>
      </c>
    </row>
    <row r="2327" spans="1:10" s="300" customFormat="1" x14ac:dyDescent="0.25">
      <c r="A2327" s="303"/>
      <c r="B2327" s="333" t="s">
        <v>346</v>
      </c>
      <c r="C2327" s="317"/>
      <c r="D2327" s="346"/>
      <c r="E2327" s="320"/>
      <c r="F2327" s="320"/>
      <c r="G2327" s="320"/>
      <c r="H2327" s="332"/>
      <c r="I2327" s="320"/>
      <c r="J2327" s="321"/>
    </row>
    <row r="2328" spans="1:10" s="300" customFormat="1" x14ac:dyDescent="0.25">
      <c r="A2328" s="303"/>
      <c r="B2328" s="333" t="s">
        <v>346</v>
      </c>
      <c r="C2328" s="317"/>
      <c r="D2328" s="346"/>
      <c r="E2328" s="320"/>
      <c r="F2328" s="320"/>
      <c r="G2328" s="320"/>
      <c r="H2328" s="332"/>
      <c r="I2328" s="320"/>
      <c r="J2328" s="321"/>
    </row>
    <row r="2329" spans="1:10" s="300" customFormat="1" x14ac:dyDescent="0.25">
      <c r="A2329" s="303"/>
      <c r="B2329" s="333" t="s">
        <v>346</v>
      </c>
      <c r="C2329" s="317"/>
      <c r="D2329" s="346"/>
      <c r="E2329" s="320"/>
      <c r="F2329" s="320"/>
      <c r="G2329" s="320"/>
      <c r="H2329" s="332"/>
      <c r="I2329" s="320"/>
      <c r="J2329" s="321"/>
    </row>
    <row r="2330" spans="1:10" s="300" customFormat="1" x14ac:dyDescent="0.25">
      <c r="A2330" s="303"/>
      <c r="B2330" s="333" t="s">
        <v>346</v>
      </c>
      <c r="C2330" s="317"/>
      <c r="D2330" s="346"/>
      <c r="E2330" s="320"/>
      <c r="F2330" s="320"/>
      <c r="G2330" s="320"/>
      <c r="H2330" s="332"/>
      <c r="I2330" s="320"/>
      <c r="J2330" s="321"/>
    </row>
    <row r="2331" spans="1:10" s="300" customFormat="1" x14ac:dyDescent="0.25">
      <c r="A2331" s="303"/>
      <c r="B2331" s="333" t="s">
        <v>346</v>
      </c>
      <c r="C2331" s="317"/>
      <c r="D2331" s="346"/>
      <c r="E2331" s="320"/>
      <c r="F2331" s="320"/>
      <c r="G2331" s="320"/>
      <c r="H2331" s="332"/>
      <c r="I2331" s="320"/>
      <c r="J2331" s="321"/>
    </row>
    <row r="2332" spans="1:10" s="300" customFormat="1" x14ac:dyDescent="0.25">
      <c r="A2332" s="303"/>
      <c r="B2332" s="333" t="s">
        <v>346</v>
      </c>
      <c r="C2332" s="317"/>
      <c r="D2332" s="346"/>
      <c r="E2332" s="320"/>
      <c r="F2332" s="320"/>
      <c r="G2332" s="320"/>
      <c r="H2332" s="332"/>
      <c r="I2332" s="320"/>
      <c r="J2332" s="321"/>
    </row>
    <row r="2333" spans="1:10" s="300" customFormat="1" x14ac:dyDescent="0.25">
      <c r="A2333" s="303"/>
      <c r="B2333" s="310"/>
      <c r="C2333" s="334"/>
      <c r="D2333" s="312"/>
      <c r="E2333" s="313"/>
      <c r="F2333" s="313"/>
      <c r="G2333" s="313"/>
      <c r="H2333" s="313"/>
      <c r="I2333" s="338" t="s">
        <v>513</v>
      </c>
      <c r="J2333" s="315">
        <f>+SUBTOTAL(9,J2326:J2332)</f>
        <v>0.1326</v>
      </c>
    </row>
    <row r="2334" spans="1:10" s="300" customFormat="1" x14ac:dyDescent="0.25">
      <c r="A2334" s="303"/>
      <c r="B2334" s="310" t="s">
        <v>514</v>
      </c>
      <c r="C2334" s="334"/>
      <c r="D2334" s="312"/>
      <c r="E2334" s="313"/>
      <c r="F2334" s="313"/>
      <c r="G2334" s="313"/>
      <c r="H2334" s="313"/>
      <c r="I2334" s="313"/>
      <c r="J2334" s="315">
        <f>+SUBTOTAL(9,J2299:J2332)</f>
        <v>26.003700000000002</v>
      </c>
    </row>
    <row r="2335" spans="1:10" s="300" customFormat="1" x14ac:dyDescent="0.25">
      <c r="A2335" s="303"/>
      <c r="B2335" s="310" t="s">
        <v>515</v>
      </c>
      <c r="C2335" s="334"/>
      <c r="D2335" s="312">
        <v>0</v>
      </c>
      <c r="E2335" s="313"/>
      <c r="F2335" s="313"/>
      <c r="G2335" s="313"/>
      <c r="H2335" s="313"/>
      <c r="I2335" s="313"/>
      <c r="J2335" s="315">
        <f>+ROUND(J2334*D2335/100,4)</f>
        <v>0</v>
      </c>
    </row>
    <row r="2336" spans="1:10" s="300" customFormat="1" ht="14.4" thickBot="1" x14ac:dyDescent="0.3">
      <c r="A2336" s="303"/>
      <c r="B2336" s="310" t="s">
        <v>516</v>
      </c>
      <c r="C2336" s="334"/>
      <c r="D2336" s="312"/>
      <c r="E2336" s="313"/>
      <c r="F2336" s="313"/>
      <c r="G2336" s="313"/>
      <c r="H2336" s="313"/>
      <c r="I2336" s="313"/>
      <c r="J2336" s="347">
        <f>+ROUND(J2334+J2335,2)</f>
        <v>26</v>
      </c>
    </row>
    <row r="2337" spans="1:10" s="300" customFormat="1" x14ac:dyDescent="0.25">
      <c r="A2337" s="303"/>
      <c r="B2337" s="304"/>
      <c r="C2337" s="305"/>
      <c r="D2337" s="348"/>
      <c r="E2337" s="308"/>
      <c r="F2337" s="308"/>
      <c r="G2337" s="308"/>
      <c r="H2337" s="308"/>
      <c r="I2337" s="308"/>
      <c r="J2337" s="309"/>
    </row>
    <row r="2338" spans="1:10" s="300" customFormat="1" x14ac:dyDescent="0.25">
      <c r="A2338" s="303"/>
      <c r="B2338" s="316"/>
      <c r="C2338" s="303"/>
      <c r="D2338" s="318"/>
      <c r="E2338" s="319"/>
      <c r="F2338" s="319"/>
      <c r="G2338" s="319"/>
      <c r="H2338" s="319"/>
      <c r="I2338" s="319"/>
      <c r="J2338" s="349"/>
    </row>
    <row r="2339" spans="1:10" s="300" customFormat="1" x14ac:dyDescent="0.25">
      <c r="A2339" s="303"/>
      <c r="B2339" s="316"/>
      <c r="C2339" s="303"/>
      <c r="D2339" s="318"/>
      <c r="E2339" s="319"/>
      <c r="F2339" s="319"/>
      <c r="G2339" s="319"/>
      <c r="H2339" s="319"/>
      <c r="I2339" s="319"/>
      <c r="J2339" s="349"/>
    </row>
    <row r="2340" spans="1:10" s="300" customFormat="1" ht="14.4" thickBot="1" x14ac:dyDescent="0.3">
      <c r="A2340" s="303"/>
      <c r="B2340" s="350"/>
      <c r="C2340" s="303"/>
      <c r="D2340" s="318"/>
      <c r="E2340" s="319"/>
      <c r="F2340" s="319"/>
      <c r="G2340" s="319"/>
      <c r="H2340" s="319"/>
      <c r="I2340" s="319"/>
      <c r="J2340" s="351"/>
    </row>
    <row r="2341" spans="1:10" s="300" customFormat="1" x14ac:dyDescent="0.25">
      <c r="A2341" s="303"/>
      <c r="B2341" s="305"/>
      <c r="C2341" s="305"/>
      <c r="D2341" s="348"/>
      <c r="E2341" s="308"/>
      <c r="F2341" s="308"/>
      <c r="G2341" s="308"/>
      <c r="H2341" s="308"/>
      <c r="I2341" s="308"/>
      <c r="J2341" s="352"/>
    </row>
    <row r="2342" spans="1:10" s="300" customFormat="1" ht="14.4" thickBot="1" x14ac:dyDescent="0.3">
      <c r="A2342" s="303"/>
      <c r="B2342" s="303"/>
      <c r="C2342" s="303"/>
      <c r="D2342" s="318"/>
      <c r="E2342" s="319"/>
      <c r="F2342" s="319"/>
      <c r="G2342" s="319"/>
      <c r="H2342" s="319"/>
      <c r="I2342" s="319"/>
      <c r="J2342" s="353"/>
    </row>
    <row r="2343" spans="1:10" s="300" customFormat="1" x14ac:dyDescent="0.25">
      <c r="A2343" s="303"/>
      <c r="B2343" s="304"/>
      <c r="C2343" s="305"/>
      <c r="D2343" s="306" t="s">
        <v>463</v>
      </c>
      <c r="E2343" s="307"/>
      <c r="F2343" s="307"/>
      <c r="G2343" s="308"/>
      <c r="H2343" s="308"/>
      <c r="I2343" s="308"/>
      <c r="J2343" s="309"/>
    </row>
    <row r="2344" spans="1:10" s="300" customFormat="1" x14ac:dyDescent="0.25">
      <c r="A2344" s="303"/>
      <c r="B2344" s="310" t="s">
        <v>464</v>
      </c>
      <c r="C2344" s="311" t="s">
        <v>134</v>
      </c>
      <c r="D2344" s="312"/>
      <c r="E2344" s="313"/>
      <c r="F2344" s="313"/>
      <c r="G2344" s="313"/>
      <c r="H2344" s="314"/>
      <c r="I2344" s="313"/>
      <c r="J2344" s="315" t="s">
        <v>465</v>
      </c>
    </row>
    <row r="2345" spans="1:10" s="300" customFormat="1" x14ac:dyDescent="0.25">
      <c r="A2345" s="303"/>
      <c r="B2345" s="316">
        <v>307737</v>
      </c>
      <c r="C2345" s="317" t="s">
        <v>1026</v>
      </c>
      <c r="D2345" s="318"/>
      <c r="E2345" s="319"/>
      <c r="F2345" s="319"/>
      <c r="G2345" s="319"/>
      <c r="H2345" s="320"/>
      <c r="I2345" s="319"/>
      <c r="J2345" s="321" t="s">
        <v>372</v>
      </c>
    </row>
    <row r="2346" spans="1:10" s="300" customFormat="1" x14ac:dyDescent="0.25">
      <c r="A2346" s="303"/>
      <c r="B2346" s="310"/>
      <c r="C2346" s="311"/>
      <c r="D2346" s="312"/>
      <c r="E2346" s="314"/>
      <c r="F2346" s="314" t="s">
        <v>466</v>
      </c>
      <c r="G2346" s="314"/>
      <c r="H2346" s="314" t="s">
        <v>467</v>
      </c>
      <c r="I2346" s="314"/>
      <c r="J2346" s="322" t="s">
        <v>468</v>
      </c>
    </row>
    <row r="2347" spans="1:10" s="300" customFormat="1" x14ac:dyDescent="0.25">
      <c r="A2347" s="303"/>
      <c r="B2347" s="316" t="s">
        <v>464</v>
      </c>
      <c r="C2347" s="317" t="s">
        <v>469</v>
      </c>
      <c r="D2347" s="318"/>
      <c r="E2347" s="323" t="s">
        <v>355</v>
      </c>
      <c r="F2347" s="324" t="s">
        <v>470</v>
      </c>
      <c r="G2347" s="324" t="s">
        <v>471</v>
      </c>
      <c r="H2347" s="324" t="s">
        <v>472</v>
      </c>
      <c r="I2347" s="325" t="s">
        <v>473</v>
      </c>
      <c r="J2347" s="326" t="s">
        <v>474</v>
      </c>
    </row>
    <row r="2348" spans="1:10" s="300" customFormat="1" x14ac:dyDescent="0.25">
      <c r="A2348" s="303"/>
      <c r="B2348" s="337" t="s">
        <v>346</v>
      </c>
      <c r="C2348" s="311"/>
      <c r="D2348" s="312"/>
      <c r="E2348" s="328"/>
      <c r="F2348" s="328"/>
      <c r="G2348" s="328"/>
      <c r="H2348" s="329"/>
      <c r="I2348" s="329"/>
      <c r="J2348" s="315"/>
    </row>
    <row r="2349" spans="1:10" s="300" customFormat="1" x14ac:dyDescent="0.25">
      <c r="A2349" s="303"/>
      <c r="B2349" s="333" t="s">
        <v>346</v>
      </c>
      <c r="C2349" s="317"/>
      <c r="D2349" s="318"/>
      <c r="E2349" s="331"/>
      <c r="F2349" s="331"/>
      <c r="G2349" s="331"/>
      <c r="H2349" s="332"/>
      <c r="I2349" s="332"/>
      <c r="J2349" s="321"/>
    </row>
    <row r="2350" spans="1:10" s="300" customFormat="1" x14ac:dyDescent="0.25">
      <c r="A2350" s="303"/>
      <c r="B2350" s="333" t="s">
        <v>346</v>
      </c>
      <c r="C2350" s="317"/>
      <c r="D2350" s="318"/>
      <c r="E2350" s="331"/>
      <c r="F2350" s="331"/>
      <c r="G2350" s="331"/>
      <c r="H2350" s="332"/>
      <c r="I2350" s="332"/>
      <c r="J2350" s="321"/>
    </row>
    <row r="2351" spans="1:10" s="300" customFormat="1" x14ac:dyDescent="0.25">
      <c r="A2351" s="303"/>
      <c r="B2351" s="333" t="s">
        <v>346</v>
      </c>
      <c r="C2351" s="317"/>
      <c r="D2351" s="318"/>
      <c r="E2351" s="331"/>
      <c r="F2351" s="331"/>
      <c r="G2351" s="331"/>
      <c r="H2351" s="332"/>
      <c r="I2351" s="332"/>
      <c r="J2351" s="321"/>
    </row>
    <row r="2352" spans="1:10" s="300" customFormat="1" x14ac:dyDescent="0.25">
      <c r="A2352" s="303"/>
      <c r="B2352" s="333" t="s">
        <v>346</v>
      </c>
      <c r="C2352" s="317"/>
      <c r="D2352" s="318"/>
      <c r="E2352" s="331"/>
      <c r="F2352" s="331"/>
      <c r="G2352" s="331"/>
      <c r="H2352" s="332"/>
      <c r="I2352" s="332"/>
      <c r="J2352" s="321"/>
    </row>
    <row r="2353" spans="1:10" s="300" customFormat="1" x14ac:dyDescent="0.25">
      <c r="A2353" s="303"/>
      <c r="B2353" s="333" t="s">
        <v>346</v>
      </c>
      <c r="C2353" s="317"/>
      <c r="D2353" s="318"/>
      <c r="E2353" s="331"/>
      <c r="F2353" s="331"/>
      <c r="G2353" s="331"/>
      <c r="H2353" s="332"/>
      <c r="I2353" s="332"/>
      <c r="J2353" s="321"/>
    </row>
    <row r="2354" spans="1:10" s="300" customFormat="1" x14ac:dyDescent="0.25">
      <c r="A2354" s="303"/>
      <c r="B2354" s="333" t="s">
        <v>346</v>
      </c>
      <c r="C2354" s="317"/>
      <c r="D2354" s="318"/>
      <c r="E2354" s="331"/>
      <c r="F2354" s="331"/>
      <c r="G2354" s="331"/>
      <c r="H2354" s="332"/>
      <c r="I2354" s="332"/>
      <c r="J2354" s="321"/>
    </row>
    <row r="2355" spans="1:10" s="300" customFormat="1" x14ac:dyDescent="0.25">
      <c r="A2355" s="303"/>
      <c r="B2355" s="310"/>
      <c r="C2355" s="334"/>
      <c r="D2355" s="312"/>
      <c r="E2355" s="313"/>
      <c r="F2355" s="313"/>
      <c r="G2355" s="313"/>
      <c r="H2355" s="313"/>
      <c r="I2355" s="335" t="s">
        <v>479</v>
      </c>
      <c r="J2355" s="315">
        <f>+SUBTOTAL(9,J2348:J2354)</f>
        <v>0</v>
      </c>
    </row>
    <row r="2356" spans="1:10" s="300" customFormat="1" x14ac:dyDescent="0.25">
      <c r="A2356" s="303"/>
      <c r="B2356" s="310" t="s">
        <v>464</v>
      </c>
      <c r="C2356" s="311" t="s">
        <v>480</v>
      </c>
      <c r="D2356" s="312"/>
      <c r="E2356" s="313"/>
      <c r="F2356" s="313"/>
      <c r="G2356" s="313"/>
      <c r="H2356" s="324" t="s">
        <v>355</v>
      </c>
      <c r="I2356" s="336" t="s">
        <v>481</v>
      </c>
      <c r="J2356" s="322" t="s">
        <v>331</v>
      </c>
    </row>
    <row r="2357" spans="1:10" s="300" customFormat="1" x14ac:dyDescent="0.25">
      <c r="A2357" s="303"/>
      <c r="B2357" s="337" t="s">
        <v>620</v>
      </c>
      <c r="C2357" s="311" t="s">
        <v>621</v>
      </c>
      <c r="D2357" s="312"/>
      <c r="E2357" s="313"/>
      <c r="F2357" s="313"/>
      <c r="G2357" s="313"/>
      <c r="H2357" s="314">
        <v>1</v>
      </c>
      <c r="I2357" s="329">
        <v>21.433599999999998</v>
      </c>
      <c r="J2357" s="315">
        <f>+ROUND(H2357*I2357,4)</f>
        <v>21.433599999999998</v>
      </c>
    </row>
    <row r="2358" spans="1:10" s="300" customFormat="1" x14ac:dyDescent="0.25">
      <c r="A2358" s="303"/>
      <c r="B2358" s="333" t="s">
        <v>482</v>
      </c>
      <c r="C2358" s="317" t="s">
        <v>483</v>
      </c>
      <c r="D2358" s="318"/>
      <c r="E2358" s="319"/>
      <c r="F2358" s="319"/>
      <c r="G2358" s="319"/>
      <c r="H2358" s="320">
        <v>1</v>
      </c>
      <c r="I2358" s="332">
        <v>17.768000000000001</v>
      </c>
      <c r="J2358" s="321">
        <f>+ROUND(H2358*I2358,4)</f>
        <v>17.768000000000001</v>
      </c>
    </row>
    <row r="2359" spans="1:10" s="300" customFormat="1" x14ac:dyDescent="0.25">
      <c r="A2359" s="303"/>
      <c r="B2359" s="333" t="s">
        <v>346</v>
      </c>
      <c r="C2359" s="317"/>
      <c r="D2359" s="318"/>
      <c r="E2359" s="319"/>
      <c r="F2359" s="319"/>
      <c r="G2359" s="319"/>
      <c r="H2359" s="320"/>
      <c r="I2359" s="332"/>
      <c r="J2359" s="321"/>
    </row>
    <row r="2360" spans="1:10" s="300" customFormat="1" x14ac:dyDescent="0.25">
      <c r="A2360" s="303"/>
      <c r="B2360" s="333" t="s">
        <v>346</v>
      </c>
      <c r="C2360" s="317"/>
      <c r="D2360" s="318"/>
      <c r="E2360" s="319"/>
      <c r="F2360" s="319"/>
      <c r="G2360" s="319"/>
      <c r="H2360" s="320"/>
      <c r="I2360" s="332"/>
      <c r="J2360" s="321"/>
    </row>
    <row r="2361" spans="1:10" s="300" customFormat="1" x14ac:dyDescent="0.25">
      <c r="A2361" s="303"/>
      <c r="B2361" s="333" t="s">
        <v>346</v>
      </c>
      <c r="C2361" s="317"/>
      <c r="D2361" s="318"/>
      <c r="E2361" s="319"/>
      <c r="F2361" s="319"/>
      <c r="G2361" s="319"/>
      <c r="H2361" s="320"/>
      <c r="I2361" s="332"/>
      <c r="J2361" s="321"/>
    </row>
    <row r="2362" spans="1:10" s="300" customFormat="1" x14ac:dyDescent="0.25">
      <c r="A2362" s="303"/>
      <c r="B2362" s="333" t="s">
        <v>346</v>
      </c>
      <c r="C2362" s="317"/>
      <c r="D2362" s="318"/>
      <c r="E2362" s="319"/>
      <c r="F2362" s="319"/>
      <c r="G2362" s="319"/>
      <c r="H2362" s="320"/>
      <c r="I2362" s="332"/>
      <c r="J2362" s="321"/>
    </row>
    <row r="2363" spans="1:10" s="300" customFormat="1" x14ac:dyDescent="0.25">
      <c r="A2363" s="303"/>
      <c r="B2363" s="333" t="s">
        <v>346</v>
      </c>
      <c r="C2363" s="317"/>
      <c r="D2363" s="318"/>
      <c r="E2363" s="319"/>
      <c r="F2363" s="319"/>
      <c r="G2363" s="319"/>
      <c r="H2363" s="320"/>
      <c r="I2363" s="332"/>
      <c r="J2363" s="321"/>
    </row>
    <row r="2364" spans="1:10" s="300" customFormat="1" x14ac:dyDescent="0.25">
      <c r="A2364" s="303"/>
      <c r="B2364" s="310"/>
      <c r="C2364" s="334"/>
      <c r="D2364" s="312"/>
      <c r="E2364" s="313"/>
      <c r="F2364" s="313"/>
      <c r="G2364" s="313"/>
      <c r="H2364" s="313"/>
      <c r="I2364" s="338" t="s">
        <v>484</v>
      </c>
      <c r="J2364" s="315">
        <f>+SUBTOTAL(9,J2357:J2363)</f>
        <v>39.201599999999999</v>
      </c>
    </row>
    <row r="2365" spans="1:10" s="300" customFormat="1" x14ac:dyDescent="0.25">
      <c r="A2365" s="303"/>
      <c r="B2365" s="339"/>
      <c r="C2365" s="334"/>
      <c r="D2365" s="312"/>
      <c r="E2365" s="313"/>
      <c r="F2365" s="313"/>
      <c r="G2365" s="313"/>
      <c r="H2365" s="313"/>
      <c r="I2365" s="338" t="s">
        <v>485</v>
      </c>
      <c r="J2365" s="340">
        <f>+SUBTOTAL(9,J2348:J2364)</f>
        <v>39.201599999999999</v>
      </c>
    </row>
    <row r="2366" spans="1:10" s="300" customFormat="1" x14ac:dyDescent="0.25">
      <c r="A2366" s="303"/>
      <c r="B2366" s="339"/>
      <c r="C2366" s="341" t="s">
        <v>486</v>
      </c>
      <c r="D2366" s="312">
        <v>1.7</v>
      </c>
      <c r="E2366" s="313"/>
      <c r="F2366" s="313"/>
      <c r="G2366" s="313"/>
      <c r="H2366" s="313"/>
      <c r="I2366" s="338" t="s">
        <v>487</v>
      </c>
      <c r="J2366" s="340">
        <f>+ROUND(J2365/D2366,4)</f>
        <v>23.059799999999999</v>
      </c>
    </row>
    <row r="2367" spans="1:10" s="300" customFormat="1" x14ac:dyDescent="0.25">
      <c r="A2367" s="303"/>
      <c r="B2367" s="310"/>
      <c r="C2367" s="334"/>
      <c r="D2367" s="312"/>
      <c r="E2367" s="313"/>
      <c r="F2367" s="313"/>
      <c r="G2367" s="313"/>
      <c r="H2367" s="338" t="s">
        <v>488</v>
      </c>
      <c r="I2367" s="342">
        <v>0</v>
      </c>
      <c r="J2367" s="315">
        <f>+ROUND(I2367*J2366,4)</f>
        <v>0</v>
      </c>
    </row>
    <row r="2368" spans="1:10" s="300" customFormat="1" x14ac:dyDescent="0.25">
      <c r="A2368" s="303"/>
      <c r="B2368" s="310"/>
      <c r="C2368" s="334"/>
      <c r="D2368" s="312"/>
      <c r="E2368" s="313"/>
      <c r="F2368" s="313"/>
      <c r="G2368" s="313"/>
      <c r="H2368" s="335" t="s">
        <v>489</v>
      </c>
      <c r="I2368" s="343">
        <v>0</v>
      </c>
      <c r="J2368" s="315">
        <f>+ROUND(I2368*J2366,4)</f>
        <v>0</v>
      </c>
    </row>
    <row r="2369" spans="1:10" s="300" customFormat="1" x14ac:dyDescent="0.25">
      <c r="A2369" s="303"/>
      <c r="B2369" s="310" t="s">
        <v>464</v>
      </c>
      <c r="C2369" s="311" t="s">
        <v>490</v>
      </c>
      <c r="D2369" s="312"/>
      <c r="E2369" s="313"/>
      <c r="F2369" s="313"/>
      <c r="G2369" s="314" t="s">
        <v>465</v>
      </c>
      <c r="H2369" s="336" t="s">
        <v>468</v>
      </c>
      <c r="I2369" s="336" t="s">
        <v>491</v>
      </c>
      <c r="J2369" s="322" t="s">
        <v>492</v>
      </c>
    </row>
    <row r="2370" spans="1:10" s="300" customFormat="1" x14ac:dyDescent="0.25">
      <c r="A2370" s="303"/>
      <c r="B2370" s="337" t="s">
        <v>1027</v>
      </c>
      <c r="C2370" s="311" t="s">
        <v>1028</v>
      </c>
      <c r="D2370" s="312"/>
      <c r="E2370" s="313"/>
      <c r="F2370" s="313"/>
      <c r="G2370" s="314" t="s">
        <v>560</v>
      </c>
      <c r="H2370" s="329">
        <v>108.2206</v>
      </c>
      <c r="I2370" s="329">
        <v>1.248</v>
      </c>
      <c r="J2370" s="315">
        <f>+ROUND(H2370*I2370,4)</f>
        <v>135.05930000000001</v>
      </c>
    </row>
    <row r="2371" spans="1:10" s="300" customFormat="1" x14ac:dyDescent="0.25">
      <c r="A2371" s="303"/>
      <c r="B2371" s="333" t="s">
        <v>1029</v>
      </c>
      <c r="C2371" s="317" t="s">
        <v>1030</v>
      </c>
      <c r="D2371" s="318"/>
      <c r="E2371" s="319"/>
      <c r="F2371" s="319"/>
      <c r="G2371" s="320" t="s">
        <v>372</v>
      </c>
      <c r="H2371" s="332">
        <v>1048.3543999999999</v>
      </c>
      <c r="I2371" s="332">
        <v>1</v>
      </c>
      <c r="J2371" s="321">
        <f>+ROUND(H2371*I2371,4)</f>
        <v>1048.3543999999999</v>
      </c>
    </row>
    <row r="2372" spans="1:10" s="300" customFormat="1" x14ac:dyDescent="0.25">
      <c r="A2372" s="303"/>
      <c r="B2372" s="333" t="s">
        <v>346</v>
      </c>
      <c r="C2372" s="317"/>
      <c r="D2372" s="318"/>
      <c r="E2372" s="319"/>
      <c r="F2372" s="319"/>
      <c r="G2372" s="320"/>
      <c r="H2372" s="332"/>
      <c r="I2372" s="332"/>
      <c r="J2372" s="321"/>
    </row>
    <row r="2373" spans="1:10" s="300" customFormat="1" x14ac:dyDescent="0.25">
      <c r="A2373" s="303"/>
      <c r="B2373" s="333" t="s">
        <v>346</v>
      </c>
      <c r="C2373" s="317"/>
      <c r="D2373" s="318"/>
      <c r="E2373" s="319"/>
      <c r="F2373" s="319"/>
      <c r="G2373" s="320"/>
      <c r="H2373" s="332"/>
      <c r="I2373" s="332"/>
      <c r="J2373" s="321"/>
    </row>
    <row r="2374" spans="1:10" s="300" customFormat="1" x14ac:dyDescent="0.25">
      <c r="A2374" s="303"/>
      <c r="B2374" s="333" t="s">
        <v>346</v>
      </c>
      <c r="C2374" s="317"/>
      <c r="D2374" s="318"/>
      <c r="E2374" s="319"/>
      <c r="F2374" s="319"/>
      <c r="G2374" s="320"/>
      <c r="H2374" s="332"/>
      <c r="I2374" s="332"/>
      <c r="J2374" s="321"/>
    </row>
    <row r="2375" spans="1:10" s="300" customFormat="1" x14ac:dyDescent="0.25">
      <c r="A2375" s="303"/>
      <c r="B2375" s="333" t="s">
        <v>346</v>
      </c>
      <c r="C2375" s="317"/>
      <c r="D2375" s="318"/>
      <c r="E2375" s="319"/>
      <c r="F2375" s="319"/>
      <c r="G2375" s="320"/>
      <c r="H2375" s="332"/>
      <c r="I2375" s="332"/>
      <c r="J2375" s="321"/>
    </row>
    <row r="2376" spans="1:10" s="300" customFormat="1" x14ac:dyDescent="0.25">
      <c r="A2376" s="303"/>
      <c r="B2376" s="333" t="s">
        <v>346</v>
      </c>
      <c r="C2376" s="317"/>
      <c r="D2376" s="318"/>
      <c r="E2376" s="319"/>
      <c r="F2376" s="319"/>
      <c r="G2376" s="320"/>
      <c r="H2376" s="332"/>
      <c r="I2376" s="332"/>
      <c r="J2376" s="321"/>
    </row>
    <row r="2377" spans="1:10" s="300" customFormat="1" x14ac:dyDescent="0.25">
      <c r="A2377" s="303"/>
      <c r="B2377" s="310"/>
      <c r="C2377" s="334"/>
      <c r="D2377" s="312"/>
      <c r="E2377" s="313"/>
      <c r="F2377" s="313"/>
      <c r="G2377" s="313"/>
      <c r="H2377" s="343"/>
      <c r="I2377" s="335" t="s">
        <v>498</v>
      </c>
      <c r="J2377" s="315">
        <f>+SUBTOTAL(9,J2370:J2376)</f>
        <v>1183.4137000000001</v>
      </c>
    </row>
    <row r="2378" spans="1:10" s="300" customFormat="1" x14ac:dyDescent="0.25">
      <c r="A2378" s="303"/>
      <c r="B2378" s="310" t="s">
        <v>464</v>
      </c>
      <c r="C2378" s="311" t="s">
        <v>499</v>
      </c>
      <c r="D2378" s="312"/>
      <c r="E2378" s="313"/>
      <c r="F2378" s="313"/>
      <c r="G2378" s="314" t="s">
        <v>465</v>
      </c>
      <c r="H2378" s="336" t="s">
        <v>468</v>
      </c>
      <c r="I2378" s="336" t="s">
        <v>491</v>
      </c>
      <c r="J2378" s="322" t="s">
        <v>492</v>
      </c>
    </row>
    <row r="2379" spans="1:10" s="300" customFormat="1" x14ac:dyDescent="0.25">
      <c r="A2379" s="303"/>
      <c r="B2379" s="337"/>
      <c r="C2379" s="311"/>
      <c r="D2379" s="312"/>
      <c r="E2379" s="313"/>
      <c r="F2379" s="313"/>
      <c r="G2379" s="314"/>
      <c r="H2379" s="329"/>
      <c r="I2379" s="329"/>
      <c r="J2379" s="315"/>
    </row>
    <row r="2380" spans="1:10" s="300" customFormat="1" x14ac:dyDescent="0.25">
      <c r="A2380" s="303"/>
      <c r="B2380" s="333"/>
      <c r="C2380" s="317"/>
      <c r="D2380" s="318"/>
      <c r="E2380" s="319"/>
      <c r="F2380" s="319"/>
      <c r="G2380" s="320"/>
      <c r="H2380" s="332"/>
      <c r="I2380" s="332"/>
      <c r="J2380" s="321"/>
    </row>
    <row r="2381" spans="1:10" s="300" customFormat="1" x14ac:dyDescent="0.25">
      <c r="A2381" s="303"/>
      <c r="B2381" s="333"/>
      <c r="C2381" s="317"/>
      <c r="D2381" s="318"/>
      <c r="E2381" s="319"/>
      <c r="F2381" s="319"/>
      <c r="G2381" s="320"/>
      <c r="H2381" s="332"/>
      <c r="I2381" s="332"/>
      <c r="J2381" s="321"/>
    </row>
    <row r="2382" spans="1:10" s="300" customFormat="1" x14ac:dyDescent="0.25">
      <c r="A2382" s="303"/>
      <c r="B2382" s="333"/>
      <c r="C2382" s="317"/>
      <c r="D2382" s="318"/>
      <c r="E2382" s="319"/>
      <c r="F2382" s="319"/>
      <c r="G2382" s="320"/>
      <c r="H2382" s="332"/>
      <c r="I2382" s="332"/>
      <c r="J2382" s="321"/>
    </row>
    <row r="2383" spans="1:10" s="300" customFormat="1" x14ac:dyDescent="0.25">
      <c r="A2383" s="303"/>
      <c r="B2383" s="333"/>
      <c r="C2383" s="317"/>
      <c r="D2383" s="318"/>
      <c r="E2383" s="319"/>
      <c r="F2383" s="319"/>
      <c r="G2383" s="320"/>
      <c r="H2383" s="332"/>
      <c r="I2383" s="332"/>
      <c r="J2383" s="321"/>
    </row>
    <row r="2384" spans="1:10" s="300" customFormat="1" x14ac:dyDescent="0.25">
      <c r="A2384" s="303"/>
      <c r="B2384" s="310"/>
      <c r="C2384" s="334"/>
      <c r="D2384" s="312"/>
      <c r="E2384" s="313"/>
      <c r="F2384" s="313"/>
      <c r="G2384" s="313"/>
      <c r="H2384" s="343"/>
      <c r="I2384" s="335" t="s">
        <v>501</v>
      </c>
      <c r="J2384" s="315">
        <f>+SUBTOTAL(9,J2379:J2383)</f>
        <v>0</v>
      </c>
    </row>
    <row r="2385" spans="1:10" s="300" customFormat="1" x14ac:dyDescent="0.25">
      <c r="A2385" s="303"/>
      <c r="B2385" s="310" t="s">
        <v>464</v>
      </c>
      <c r="C2385" s="311" t="s">
        <v>502</v>
      </c>
      <c r="D2385" s="312"/>
      <c r="E2385" s="313"/>
      <c r="F2385" s="314" t="s">
        <v>464</v>
      </c>
      <c r="G2385" s="324" t="s">
        <v>503</v>
      </c>
      <c r="H2385" s="329" t="s">
        <v>465</v>
      </c>
      <c r="I2385" s="336" t="s">
        <v>468</v>
      </c>
      <c r="J2385" s="322" t="s">
        <v>492</v>
      </c>
    </row>
    <row r="2386" spans="1:10" s="300" customFormat="1" x14ac:dyDescent="0.25">
      <c r="A2386" s="303"/>
      <c r="B2386" s="337" t="s">
        <v>1031</v>
      </c>
      <c r="C2386" s="311" t="s">
        <v>1032</v>
      </c>
      <c r="D2386" s="312"/>
      <c r="E2386" s="313"/>
      <c r="F2386" s="344" t="s">
        <v>632</v>
      </c>
      <c r="G2386" s="314">
        <v>1.25E-3</v>
      </c>
      <c r="H2386" s="329" t="s">
        <v>370</v>
      </c>
      <c r="I2386" s="329">
        <v>26.18</v>
      </c>
      <c r="J2386" s="315">
        <f>+ROUND(G2386*I2386,4)</f>
        <v>3.27E-2</v>
      </c>
    </row>
    <row r="2387" spans="1:10" s="300" customFormat="1" x14ac:dyDescent="0.25">
      <c r="A2387" s="303"/>
      <c r="B2387" s="333" t="s">
        <v>1033</v>
      </c>
      <c r="C2387" s="317" t="s">
        <v>1034</v>
      </c>
      <c r="D2387" s="318"/>
      <c r="E2387" s="319"/>
      <c r="F2387" s="354" t="s">
        <v>632</v>
      </c>
      <c r="G2387" s="320">
        <v>2.8E-3</v>
      </c>
      <c r="H2387" s="332" t="s">
        <v>370</v>
      </c>
      <c r="I2387" s="332">
        <v>26.18</v>
      </c>
      <c r="J2387" s="321">
        <f>+ROUND(G2387*I2387,4)</f>
        <v>7.3300000000000004E-2</v>
      </c>
    </row>
    <row r="2388" spans="1:10" s="300" customFormat="1" x14ac:dyDescent="0.25">
      <c r="A2388" s="303"/>
      <c r="B2388" s="333" t="s">
        <v>346</v>
      </c>
      <c r="C2388" s="317"/>
      <c r="D2388" s="318"/>
      <c r="E2388" s="319"/>
      <c r="F2388" s="320"/>
      <c r="G2388" s="320"/>
      <c r="H2388" s="332"/>
      <c r="I2388" s="332"/>
      <c r="J2388" s="321"/>
    </row>
    <row r="2389" spans="1:10" s="300" customFormat="1" x14ac:dyDescent="0.25">
      <c r="A2389" s="303"/>
      <c r="B2389" s="333" t="s">
        <v>346</v>
      </c>
      <c r="C2389" s="317"/>
      <c r="D2389" s="318"/>
      <c r="E2389" s="319"/>
      <c r="F2389" s="320"/>
      <c r="G2389" s="320"/>
      <c r="H2389" s="332"/>
      <c r="I2389" s="332"/>
      <c r="J2389" s="321"/>
    </row>
    <row r="2390" spans="1:10" s="300" customFormat="1" x14ac:dyDescent="0.25">
      <c r="A2390" s="303"/>
      <c r="B2390" s="333" t="s">
        <v>346</v>
      </c>
      <c r="C2390" s="317"/>
      <c r="D2390" s="318"/>
      <c r="E2390" s="319"/>
      <c r="F2390" s="320"/>
      <c r="G2390" s="320"/>
      <c r="H2390" s="332"/>
      <c r="I2390" s="332"/>
      <c r="J2390" s="321"/>
    </row>
    <row r="2391" spans="1:10" s="300" customFormat="1" x14ac:dyDescent="0.25">
      <c r="A2391" s="303"/>
      <c r="B2391" s="310"/>
      <c r="C2391" s="334"/>
      <c r="D2391" s="312"/>
      <c r="E2391" s="313"/>
      <c r="F2391" s="313"/>
      <c r="G2391" s="313"/>
      <c r="H2391" s="343"/>
      <c r="I2391" s="338" t="s">
        <v>507</v>
      </c>
      <c r="J2391" s="315">
        <f>+SUBTOTAL(9,J2386:J2390)</f>
        <v>0.10600000000000001</v>
      </c>
    </row>
    <row r="2392" spans="1:10" s="300" customFormat="1" x14ac:dyDescent="0.25">
      <c r="A2392" s="303"/>
      <c r="B2392" s="310" t="s">
        <v>464</v>
      </c>
      <c r="C2392" s="311" t="s">
        <v>508</v>
      </c>
      <c r="D2392" s="345" t="s">
        <v>509</v>
      </c>
      <c r="E2392" s="324" t="s">
        <v>873</v>
      </c>
      <c r="F2392" s="324" t="s">
        <v>874</v>
      </c>
      <c r="G2392" s="324" t="s">
        <v>875</v>
      </c>
      <c r="H2392" s="336" t="s">
        <v>468</v>
      </c>
      <c r="I2392" s="324" t="s">
        <v>491</v>
      </c>
      <c r="J2392" s="322" t="s">
        <v>492</v>
      </c>
    </row>
    <row r="2393" spans="1:10" s="300" customFormat="1" x14ac:dyDescent="0.25">
      <c r="A2393" s="303"/>
      <c r="B2393" s="337" t="s">
        <v>1035</v>
      </c>
      <c r="C2393" s="311" t="s">
        <v>1036</v>
      </c>
      <c r="D2393" s="345" t="s">
        <v>510</v>
      </c>
      <c r="E2393" s="314">
        <v>0</v>
      </c>
      <c r="F2393" s="314">
        <v>0</v>
      </c>
      <c r="G2393" s="314">
        <v>100.45</v>
      </c>
      <c r="H2393" s="329">
        <v>0.55000000000000004</v>
      </c>
      <c r="I2393" s="314">
        <v>1.25E-3</v>
      </c>
      <c r="J2393" s="315">
        <f>+ROUND((E2393+F2393+G2393)*H2393*I2393,4)</f>
        <v>6.9099999999999995E-2</v>
      </c>
    </row>
    <row r="2394" spans="1:10" s="300" customFormat="1" x14ac:dyDescent="0.25">
      <c r="A2394" s="303"/>
      <c r="B2394" s="333" t="s">
        <v>1037</v>
      </c>
      <c r="C2394" s="317" t="s">
        <v>1038</v>
      </c>
      <c r="D2394" s="346" t="s">
        <v>510</v>
      </c>
      <c r="E2394" s="320">
        <v>0</v>
      </c>
      <c r="F2394" s="320">
        <v>0</v>
      </c>
      <c r="G2394" s="320">
        <v>100.45</v>
      </c>
      <c r="H2394" s="332">
        <v>0.55000000000000004</v>
      </c>
      <c r="I2394" s="320">
        <v>2.8E-3</v>
      </c>
      <c r="J2394" s="321">
        <f>+ROUND((E2394+F2394+G2394)*H2394*I2394,4)</f>
        <v>0.1547</v>
      </c>
    </row>
    <row r="2395" spans="1:10" s="300" customFormat="1" x14ac:dyDescent="0.25">
      <c r="A2395" s="303"/>
      <c r="B2395" s="333" t="s">
        <v>346</v>
      </c>
      <c r="C2395" s="317"/>
      <c r="D2395" s="346"/>
      <c r="E2395" s="320"/>
      <c r="F2395" s="320"/>
      <c r="G2395" s="320"/>
      <c r="H2395" s="332"/>
      <c r="I2395" s="320"/>
      <c r="J2395" s="321"/>
    </row>
    <row r="2396" spans="1:10" s="300" customFormat="1" x14ac:dyDescent="0.25">
      <c r="A2396" s="303"/>
      <c r="B2396" s="333" t="s">
        <v>346</v>
      </c>
      <c r="C2396" s="317"/>
      <c r="D2396" s="346"/>
      <c r="E2396" s="320"/>
      <c r="F2396" s="320"/>
      <c r="G2396" s="320"/>
      <c r="H2396" s="332"/>
      <c r="I2396" s="320"/>
      <c r="J2396" s="321"/>
    </row>
    <row r="2397" spans="1:10" s="300" customFormat="1" x14ac:dyDescent="0.25">
      <c r="A2397" s="303"/>
      <c r="B2397" s="333" t="s">
        <v>346</v>
      </c>
      <c r="C2397" s="317"/>
      <c r="D2397" s="346"/>
      <c r="E2397" s="320"/>
      <c r="F2397" s="320"/>
      <c r="G2397" s="320"/>
      <c r="H2397" s="332"/>
      <c r="I2397" s="320"/>
      <c r="J2397" s="321"/>
    </row>
    <row r="2398" spans="1:10" s="300" customFormat="1" x14ac:dyDescent="0.25">
      <c r="A2398" s="303"/>
      <c r="B2398" s="333" t="s">
        <v>346</v>
      </c>
      <c r="C2398" s="317"/>
      <c r="D2398" s="346"/>
      <c r="E2398" s="320"/>
      <c r="F2398" s="320"/>
      <c r="G2398" s="320"/>
      <c r="H2398" s="332"/>
      <c r="I2398" s="320"/>
      <c r="J2398" s="321"/>
    </row>
    <row r="2399" spans="1:10" s="300" customFormat="1" x14ac:dyDescent="0.25">
      <c r="A2399" s="303"/>
      <c r="B2399" s="333" t="s">
        <v>346</v>
      </c>
      <c r="C2399" s="317"/>
      <c r="D2399" s="346"/>
      <c r="E2399" s="320"/>
      <c r="F2399" s="320"/>
      <c r="G2399" s="320"/>
      <c r="H2399" s="332"/>
      <c r="I2399" s="320"/>
      <c r="J2399" s="321"/>
    </row>
    <row r="2400" spans="1:10" s="300" customFormat="1" x14ac:dyDescent="0.25">
      <c r="A2400" s="303"/>
      <c r="B2400" s="310"/>
      <c r="C2400" s="334"/>
      <c r="D2400" s="312"/>
      <c r="E2400" s="313"/>
      <c r="F2400" s="313"/>
      <c r="G2400" s="313"/>
      <c r="H2400" s="313"/>
      <c r="I2400" s="338" t="s">
        <v>513</v>
      </c>
      <c r="J2400" s="315">
        <f>+SUBTOTAL(9,J2393:J2399)</f>
        <v>0.2238</v>
      </c>
    </row>
    <row r="2401" spans="1:10" s="300" customFormat="1" x14ac:dyDescent="0.25">
      <c r="A2401" s="303"/>
      <c r="B2401" s="310" t="s">
        <v>514</v>
      </c>
      <c r="C2401" s="334"/>
      <c r="D2401" s="312"/>
      <c r="E2401" s="313"/>
      <c r="F2401" s="313"/>
      <c r="G2401" s="313"/>
      <c r="H2401" s="313"/>
      <c r="I2401" s="313"/>
      <c r="J2401" s="315">
        <f>+SUBTOTAL(9,J2366:J2399)</f>
        <v>1206.8033</v>
      </c>
    </row>
    <row r="2402" spans="1:10" s="300" customFormat="1" x14ac:dyDescent="0.25">
      <c r="A2402" s="303"/>
      <c r="B2402" s="310" t="s">
        <v>515</v>
      </c>
      <c r="C2402" s="334"/>
      <c r="D2402" s="312">
        <v>0</v>
      </c>
      <c r="E2402" s="313"/>
      <c r="F2402" s="313"/>
      <c r="G2402" s="313"/>
      <c r="H2402" s="313"/>
      <c r="I2402" s="313"/>
      <c r="J2402" s="315">
        <f>+ROUND(J2401*D2402/100,4)</f>
        <v>0</v>
      </c>
    </row>
    <row r="2403" spans="1:10" s="300" customFormat="1" ht="14.4" thickBot="1" x14ac:dyDescent="0.3">
      <c r="A2403" s="303"/>
      <c r="B2403" s="310" t="s">
        <v>516</v>
      </c>
      <c r="C2403" s="334"/>
      <c r="D2403" s="312"/>
      <c r="E2403" s="313"/>
      <c r="F2403" s="313"/>
      <c r="G2403" s="313"/>
      <c r="H2403" s="313"/>
      <c r="I2403" s="313"/>
      <c r="J2403" s="347">
        <f>+ROUND(J2401+J2402,2)</f>
        <v>1206.8</v>
      </c>
    </row>
    <row r="2404" spans="1:10" s="300" customFormat="1" x14ac:dyDescent="0.25">
      <c r="A2404" s="303"/>
      <c r="B2404" s="304"/>
      <c r="C2404" s="305"/>
      <c r="D2404" s="348"/>
      <c r="E2404" s="308"/>
      <c r="F2404" s="308"/>
      <c r="G2404" s="308"/>
      <c r="H2404" s="308"/>
      <c r="I2404" s="308"/>
      <c r="J2404" s="309"/>
    </row>
    <row r="2405" spans="1:10" s="300" customFormat="1" x14ac:dyDescent="0.25">
      <c r="A2405" s="303"/>
      <c r="B2405" s="316"/>
      <c r="C2405" s="303"/>
      <c r="D2405" s="318"/>
      <c r="E2405" s="319"/>
      <c r="F2405" s="319"/>
      <c r="G2405" s="319"/>
      <c r="H2405" s="319"/>
      <c r="I2405" s="319"/>
      <c r="J2405" s="349"/>
    </row>
    <row r="2406" spans="1:10" s="300" customFormat="1" x14ac:dyDescent="0.25">
      <c r="A2406" s="303"/>
      <c r="B2406" s="316"/>
      <c r="C2406" s="303"/>
      <c r="D2406" s="318"/>
      <c r="E2406" s="319"/>
      <c r="F2406" s="319"/>
      <c r="G2406" s="319"/>
      <c r="H2406" s="319"/>
      <c r="I2406" s="319"/>
      <c r="J2406" s="349"/>
    </row>
    <row r="2407" spans="1:10" s="300" customFormat="1" ht="14.4" thickBot="1" x14ac:dyDescent="0.3">
      <c r="A2407" s="303"/>
      <c r="B2407" s="350"/>
      <c r="C2407" s="303"/>
      <c r="D2407" s="318"/>
      <c r="E2407" s="319"/>
      <c r="F2407" s="319"/>
      <c r="G2407" s="319"/>
      <c r="H2407" s="319"/>
      <c r="I2407" s="319"/>
      <c r="J2407" s="351"/>
    </row>
    <row r="2408" spans="1:10" s="300" customFormat="1" x14ac:dyDescent="0.25">
      <c r="A2408" s="303"/>
      <c r="B2408" s="305"/>
      <c r="C2408" s="305"/>
      <c r="D2408" s="348"/>
      <c r="E2408" s="308"/>
      <c r="F2408" s="308"/>
      <c r="G2408" s="308"/>
      <c r="H2408" s="308"/>
      <c r="I2408" s="308"/>
      <c r="J2408" s="352"/>
    </row>
    <row r="2409" spans="1:10" s="300" customFormat="1" ht="14.4" thickBot="1" x14ac:dyDescent="0.3">
      <c r="A2409" s="303"/>
      <c r="B2409" s="303"/>
      <c r="C2409" s="303"/>
      <c r="D2409" s="318"/>
      <c r="E2409" s="319"/>
      <c r="F2409" s="319"/>
      <c r="G2409" s="319"/>
      <c r="H2409" s="319"/>
      <c r="I2409" s="319"/>
      <c r="J2409" s="353"/>
    </row>
    <row r="2410" spans="1:10" s="300" customFormat="1" x14ac:dyDescent="0.25">
      <c r="A2410" s="303"/>
      <c r="B2410" s="304"/>
      <c r="C2410" s="305"/>
      <c r="D2410" s="306" t="s">
        <v>463</v>
      </c>
      <c r="E2410" s="307"/>
      <c r="F2410" s="307"/>
      <c r="G2410" s="308"/>
      <c r="H2410" s="308"/>
      <c r="I2410" s="308"/>
      <c r="J2410" s="309"/>
    </row>
    <row r="2411" spans="1:10" s="300" customFormat="1" x14ac:dyDescent="0.25">
      <c r="A2411" s="303"/>
      <c r="B2411" s="310" t="s">
        <v>464</v>
      </c>
      <c r="C2411" s="311" t="s">
        <v>134</v>
      </c>
      <c r="D2411" s="312"/>
      <c r="E2411" s="313"/>
      <c r="F2411" s="313"/>
      <c r="G2411" s="313"/>
      <c r="H2411" s="314"/>
      <c r="I2411" s="313"/>
      <c r="J2411" s="315" t="s">
        <v>465</v>
      </c>
    </row>
    <row r="2412" spans="1:10" s="300" customFormat="1" x14ac:dyDescent="0.25">
      <c r="A2412" s="303"/>
      <c r="B2412" s="316">
        <v>1108056</v>
      </c>
      <c r="C2412" s="317" t="s">
        <v>1039</v>
      </c>
      <c r="D2412" s="318"/>
      <c r="E2412" s="319"/>
      <c r="F2412" s="319"/>
      <c r="G2412" s="319"/>
      <c r="H2412" s="320"/>
      <c r="I2412" s="319"/>
      <c r="J2412" s="321" t="s">
        <v>365</v>
      </c>
    </row>
    <row r="2413" spans="1:10" s="300" customFormat="1" x14ac:dyDescent="0.25">
      <c r="A2413" s="303"/>
      <c r="B2413" s="310"/>
      <c r="C2413" s="311"/>
      <c r="D2413" s="312"/>
      <c r="E2413" s="314"/>
      <c r="F2413" s="314" t="s">
        <v>466</v>
      </c>
      <c r="G2413" s="314"/>
      <c r="H2413" s="314" t="s">
        <v>467</v>
      </c>
      <c r="I2413" s="314"/>
      <c r="J2413" s="322" t="s">
        <v>468</v>
      </c>
    </row>
    <row r="2414" spans="1:10" s="300" customFormat="1" x14ac:dyDescent="0.25">
      <c r="A2414" s="303"/>
      <c r="B2414" s="316" t="s">
        <v>464</v>
      </c>
      <c r="C2414" s="317" t="s">
        <v>469</v>
      </c>
      <c r="D2414" s="318"/>
      <c r="E2414" s="323" t="s">
        <v>355</v>
      </c>
      <c r="F2414" s="324" t="s">
        <v>470</v>
      </c>
      <c r="G2414" s="324" t="s">
        <v>471</v>
      </c>
      <c r="H2414" s="324" t="s">
        <v>472</v>
      </c>
      <c r="I2414" s="325" t="s">
        <v>473</v>
      </c>
      <c r="J2414" s="326" t="s">
        <v>474</v>
      </c>
    </row>
    <row r="2415" spans="1:10" s="300" customFormat="1" x14ac:dyDescent="0.25">
      <c r="A2415" s="303"/>
      <c r="B2415" s="327" t="s">
        <v>614</v>
      </c>
      <c r="C2415" s="311" t="s">
        <v>615</v>
      </c>
      <c r="D2415" s="312"/>
      <c r="E2415" s="328">
        <v>2</v>
      </c>
      <c r="F2415" s="328">
        <v>0.17</v>
      </c>
      <c r="G2415" s="328">
        <v>0.83</v>
      </c>
      <c r="H2415" s="329">
        <v>1.0651999999999999</v>
      </c>
      <c r="I2415" s="329">
        <v>0.72250000000000003</v>
      </c>
      <c r="J2415" s="315">
        <f>+ROUND(E2415* ((F2415*H2415) + (G2415*I2415)),4)</f>
        <v>1.5615000000000001</v>
      </c>
    </row>
    <row r="2416" spans="1:10" s="300" customFormat="1" x14ac:dyDescent="0.25">
      <c r="A2416" s="303"/>
      <c r="B2416" s="330" t="s">
        <v>595</v>
      </c>
      <c r="C2416" s="317" t="s">
        <v>596</v>
      </c>
      <c r="D2416" s="318"/>
      <c r="E2416" s="331">
        <v>1</v>
      </c>
      <c r="F2416" s="331">
        <v>0.19</v>
      </c>
      <c r="G2416" s="331">
        <v>0.81</v>
      </c>
      <c r="H2416" s="332">
        <v>0.44979999999999998</v>
      </c>
      <c r="I2416" s="332">
        <v>0.30509999999999998</v>
      </c>
      <c r="J2416" s="321">
        <f>+ROUND(E2416* ((F2416*H2416) + (G2416*I2416)),4)</f>
        <v>0.33260000000000001</v>
      </c>
    </row>
    <row r="2417" spans="1:10" s="300" customFormat="1" x14ac:dyDescent="0.25">
      <c r="A2417" s="303"/>
      <c r="B2417" s="330" t="s">
        <v>1040</v>
      </c>
      <c r="C2417" s="317" t="s">
        <v>1041</v>
      </c>
      <c r="D2417" s="318"/>
      <c r="E2417" s="331">
        <v>1</v>
      </c>
      <c r="F2417" s="331">
        <v>1</v>
      </c>
      <c r="G2417" s="331">
        <v>0</v>
      </c>
      <c r="H2417" s="332">
        <v>25.444800000000001</v>
      </c>
      <c r="I2417" s="332">
        <v>21.5886</v>
      </c>
      <c r="J2417" s="321">
        <f>+ROUND(E2417* ((F2417*H2417) + (G2417*I2417)),4)</f>
        <v>25.444800000000001</v>
      </c>
    </row>
    <row r="2418" spans="1:10" s="300" customFormat="1" x14ac:dyDescent="0.25">
      <c r="A2418" s="303"/>
      <c r="B2418" s="333" t="s">
        <v>346</v>
      </c>
      <c r="C2418" s="317"/>
      <c r="D2418" s="318"/>
      <c r="E2418" s="331"/>
      <c r="F2418" s="331"/>
      <c r="G2418" s="331"/>
      <c r="H2418" s="332"/>
      <c r="I2418" s="332"/>
      <c r="J2418" s="321"/>
    </row>
    <row r="2419" spans="1:10" s="300" customFormat="1" x14ac:dyDescent="0.25">
      <c r="A2419" s="303"/>
      <c r="B2419" s="333" t="s">
        <v>346</v>
      </c>
      <c r="C2419" s="317"/>
      <c r="D2419" s="318"/>
      <c r="E2419" s="331"/>
      <c r="F2419" s="331"/>
      <c r="G2419" s="331"/>
      <c r="H2419" s="332"/>
      <c r="I2419" s="332"/>
      <c r="J2419" s="321"/>
    </row>
    <row r="2420" spans="1:10" s="300" customFormat="1" x14ac:dyDescent="0.25">
      <c r="A2420" s="303"/>
      <c r="B2420" s="333" t="s">
        <v>346</v>
      </c>
      <c r="C2420" s="317"/>
      <c r="D2420" s="318"/>
      <c r="E2420" s="331"/>
      <c r="F2420" s="331"/>
      <c r="G2420" s="331"/>
      <c r="H2420" s="332"/>
      <c r="I2420" s="332"/>
      <c r="J2420" s="321"/>
    </row>
    <row r="2421" spans="1:10" s="300" customFormat="1" x14ac:dyDescent="0.25">
      <c r="A2421" s="303"/>
      <c r="B2421" s="333" t="s">
        <v>346</v>
      </c>
      <c r="C2421" s="317"/>
      <c r="D2421" s="318"/>
      <c r="E2421" s="331"/>
      <c r="F2421" s="331"/>
      <c r="G2421" s="331"/>
      <c r="H2421" s="332"/>
      <c r="I2421" s="332"/>
      <c r="J2421" s="321"/>
    </row>
    <row r="2422" spans="1:10" s="300" customFormat="1" x14ac:dyDescent="0.25">
      <c r="A2422" s="303"/>
      <c r="B2422" s="310"/>
      <c r="C2422" s="334"/>
      <c r="D2422" s="312"/>
      <c r="E2422" s="313"/>
      <c r="F2422" s="313"/>
      <c r="G2422" s="313"/>
      <c r="H2422" s="313"/>
      <c r="I2422" s="335" t="s">
        <v>479</v>
      </c>
      <c r="J2422" s="315">
        <f>+SUBTOTAL(9,J2415:J2421)</f>
        <v>27.338900000000002</v>
      </c>
    </row>
    <row r="2423" spans="1:10" s="300" customFormat="1" x14ac:dyDescent="0.25">
      <c r="A2423" s="303"/>
      <c r="B2423" s="310" t="s">
        <v>464</v>
      </c>
      <c r="C2423" s="311" t="s">
        <v>480</v>
      </c>
      <c r="D2423" s="312"/>
      <c r="E2423" s="313"/>
      <c r="F2423" s="313"/>
      <c r="G2423" s="313"/>
      <c r="H2423" s="324" t="s">
        <v>355</v>
      </c>
      <c r="I2423" s="336" t="s">
        <v>481</v>
      </c>
      <c r="J2423" s="322" t="s">
        <v>331</v>
      </c>
    </row>
    <row r="2424" spans="1:10" s="300" customFormat="1" x14ac:dyDescent="0.25">
      <c r="A2424" s="303"/>
      <c r="B2424" s="337" t="s">
        <v>620</v>
      </c>
      <c r="C2424" s="311" t="s">
        <v>621</v>
      </c>
      <c r="D2424" s="312"/>
      <c r="E2424" s="313"/>
      <c r="F2424" s="313"/>
      <c r="G2424" s="313"/>
      <c r="H2424" s="314">
        <v>1</v>
      </c>
      <c r="I2424" s="329">
        <v>21.433599999999998</v>
      </c>
      <c r="J2424" s="315">
        <f>+ROUND(H2424*I2424,4)</f>
        <v>21.433599999999998</v>
      </c>
    </row>
    <row r="2425" spans="1:10" s="300" customFormat="1" x14ac:dyDescent="0.25">
      <c r="A2425" s="303"/>
      <c r="B2425" s="333" t="s">
        <v>482</v>
      </c>
      <c r="C2425" s="317" t="s">
        <v>483</v>
      </c>
      <c r="D2425" s="318"/>
      <c r="E2425" s="319"/>
      <c r="F2425" s="319"/>
      <c r="G2425" s="319"/>
      <c r="H2425" s="320">
        <v>5</v>
      </c>
      <c r="I2425" s="332">
        <v>17.768000000000001</v>
      </c>
      <c r="J2425" s="321">
        <f>+ROUND(H2425*I2425,4)</f>
        <v>88.84</v>
      </c>
    </row>
    <row r="2426" spans="1:10" s="300" customFormat="1" x14ac:dyDescent="0.25">
      <c r="A2426" s="303"/>
      <c r="B2426" s="333" t="s">
        <v>346</v>
      </c>
      <c r="C2426" s="317"/>
      <c r="D2426" s="318"/>
      <c r="E2426" s="319"/>
      <c r="F2426" s="319"/>
      <c r="G2426" s="319"/>
      <c r="H2426" s="320"/>
      <c r="I2426" s="332"/>
      <c r="J2426" s="321"/>
    </row>
    <row r="2427" spans="1:10" s="300" customFormat="1" x14ac:dyDescent="0.25">
      <c r="A2427" s="303"/>
      <c r="B2427" s="333" t="s">
        <v>346</v>
      </c>
      <c r="C2427" s="317"/>
      <c r="D2427" s="318"/>
      <c r="E2427" s="319"/>
      <c r="F2427" s="319"/>
      <c r="G2427" s="319"/>
      <c r="H2427" s="320"/>
      <c r="I2427" s="332"/>
      <c r="J2427" s="321"/>
    </row>
    <row r="2428" spans="1:10" s="300" customFormat="1" x14ac:dyDescent="0.25">
      <c r="A2428" s="303"/>
      <c r="B2428" s="333" t="s">
        <v>346</v>
      </c>
      <c r="C2428" s="317"/>
      <c r="D2428" s="318"/>
      <c r="E2428" s="319"/>
      <c r="F2428" s="319"/>
      <c r="G2428" s="319"/>
      <c r="H2428" s="320"/>
      <c r="I2428" s="332"/>
      <c r="J2428" s="321"/>
    </row>
    <row r="2429" spans="1:10" s="300" customFormat="1" x14ac:dyDescent="0.25">
      <c r="A2429" s="303"/>
      <c r="B2429" s="333" t="s">
        <v>346</v>
      </c>
      <c r="C2429" s="317"/>
      <c r="D2429" s="318"/>
      <c r="E2429" s="319"/>
      <c r="F2429" s="319"/>
      <c r="G2429" s="319"/>
      <c r="H2429" s="320"/>
      <c r="I2429" s="332"/>
      <c r="J2429" s="321"/>
    </row>
    <row r="2430" spans="1:10" s="300" customFormat="1" x14ac:dyDescent="0.25">
      <c r="A2430" s="303"/>
      <c r="B2430" s="333" t="s">
        <v>346</v>
      </c>
      <c r="C2430" s="317"/>
      <c r="D2430" s="318"/>
      <c r="E2430" s="319"/>
      <c r="F2430" s="319"/>
      <c r="G2430" s="319"/>
      <c r="H2430" s="320"/>
      <c r="I2430" s="332"/>
      <c r="J2430" s="321"/>
    </row>
    <row r="2431" spans="1:10" s="300" customFormat="1" x14ac:dyDescent="0.25">
      <c r="A2431" s="303"/>
      <c r="B2431" s="310"/>
      <c r="C2431" s="334"/>
      <c r="D2431" s="312"/>
      <c r="E2431" s="313"/>
      <c r="F2431" s="313"/>
      <c r="G2431" s="313"/>
      <c r="H2431" s="313"/>
      <c r="I2431" s="338" t="s">
        <v>484</v>
      </c>
      <c r="J2431" s="315">
        <f>+SUBTOTAL(9,J2424:J2430)</f>
        <v>110.2736</v>
      </c>
    </row>
    <row r="2432" spans="1:10" s="300" customFormat="1" x14ac:dyDescent="0.25">
      <c r="A2432" s="303"/>
      <c r="B2432" s="339"/>
      <c r="C2432" s="334"/>
      <c r="D2432" s="312"/>
      <c r="E2432" s="313"/>
      <c r="F2432" s="313"/>
      <c r="G2432" s="313"/>
      <c r="H2432" s="313"/>
      <c r="I2432" s="338" t="s">
        <v>485</v>
      </c>
      <c r="J2432" s="340">
        <f>+SUBTOTAL(9,J2415:J2431)</f>
        <v>137.61250000000001</v>
      </c>
    </row>
    <row r="2433" spans="1:10" s="300" customFormat="1" x14ac:dyDescent="0.25">
      <c r="A2433" s="303"/>
      <c r="B2433" s="339"/>
      <c r="C2433" s="341" t="s">
        <v>486</v>
      </c>
      <c r="D2433" s="312">
        <v>1.2575799999999999</v>
      </c>
      <c r="E2433" s="313"/>
      <c r="F2433" s="313"/>
      <c r="G2433" s="313"/>
      <c r="H2433" s="313"/>
      <c r="I2433" s="338" t="s">
        <v>487</v>
      </c>
      <c r="J2433" s="340">
        <f>+ROUND(J2432/D2433,4)</f>
        <v>109.4264</v>
      </c>
    </row>
    <row r="2434" spans="1:10" s="300" customFormat="1" x14ac:dyDescent="0.25">
      <c r="A2434" s="303"/>
      <c r="B2434" s="310"/>
      <c r="C2434" s="334"/>
      <c r="D2434" s="312"/>
      <c r="E2434" s="313"/>
      <c r="F2434" s="313"/>
      <c r="G2434" s="313"/>
      <c r="H2434" s="338" t="s">
        <v>488</v>
      </c>
      <c r="I2434" s="342">
        <v>0</v>
      </c>
      <c r="J2434" s="315">
        <f>+ROUND(I2434*J2433,4)</f>
        <v>0</v>
      </c>
    </row>
    <row r="2435" spans="1:10" s="300" customFormat="1" x14ac:dyDescent="0.25">
      <c r="A2435" s="303"/>
      <c r="B2435" s="310"/>
      <c r="C2435" s="334"/>
      <c r="D2435" s="312"/>
      <c r="E2435" s="313"/>
      <c r="F2435" s="313"/>
      <c r="G2435" s="313"/>
      <c r="H2435" s="335" t="s">
        <v>489</v>
      </c>
      <c r="I2435" s="343">
        <v>0</v>
      </c>
      <c r="J2435" s="315">
        <f>+ROUND(I2435*J2433,4)</f>
        <v>0</v>
      </c>
    </row>
    <row r="2436" spans="1:10" s="300" customFormat="1" x14ac:dyDescent="0.25">
      <c r="A2436" s="303"/>
      <c r="B2436" s="310" t="s">
        <v>464</v>
      </c>
      <c r="C2436" s="311" t="s">
        <v>490</v>
      </c>
      <c r="D2436" s="312"/>
      <c r="E2436" s="313"/>
      <c r="F2436" s="313"/>
      <c r="G2436" s="314" t="s">
        <v>465</v>
      </c>
      <c r="H2436" s="336" t="s">
        <v>468</v>
      </c>
      <c r="I2436" s="336" t="s">
        <v>491</v>
      </c>
      <c r="J2436" s="322" t="s">
        <v>492</v>
      </c>
    </row>
    <row r="2437" spans="1:10" s="300" customFormat="1" x14ac:dyDescent="0.25">
      <c r="A2437" s="303"/>
      <c r="B2437" s="337" t="s">
        <v>1042</v>
      </c>
      <c r="C2437" s="311" t="s">
        <v>1043</v>
      </c>
      <c r="D2437" s="312"/>
      <c r="E2437" s="313"/>
      <c r="F2437" s="313"/>
      <c r="G2437" s="314" t="s">
        <v>560</v>
      </c>
      <c r="H2437" s="329">
        <v>1.1003000000000001</v>
      </c>
      <c r="I2437" s="329">
        <v>1653.75</v>
      </c>
      <c r="J2437" s="315">
        <f>+ROUND(H2437*I2437,4)</f>
        <v>1819.6211000000001</v>
      </c>
    </row>
    <row r="2438" spans="1:10" s="300" customFormat="1" x14ac:dyDescent="0.25">
      <c r="A2438" s="303"/>
      <c r="B2438" s="333" t="s">
        <v>561</v>
      </c>
      <c r="C2438" s="317" t="s">
        <v>562</v>
      </c>
      <c r="D2438" s="318"/>
      <c r="E2438" s="319"/>
      <c r="F2438" s="319"/>
      <c r="G2438" s="320" t="s">
        <v>365</v>
      </c>
      <c r="H2438" s="332">
        <v>68.72</v>
      </c>
      <c r="I2438" s="332">
        <v>0.2205</v>
      </c>
      <c r="J2438" s="321">
        <f>+ROUND(H2438*I2438,4)</f>
        <v>15.152799999999999</v>
      </c>
    </row>
    <row r="2439" spans="1:10" s="300" customFormat="1" x14ac:dyDescent="0.25">
      <c r="A2439" s="303"/>
      <c r="B2439" s="333" t="s">
        <v>346</v>
      </c>
      <c r="C2439" s="317"/>
      <c r="D2439" s="318"/>
      <c r="E2439" s="319"/>
      <c r="F2439" s="319"/>
      <c r="G2439" s="320"/>
      <c r="H2439" s="332"/>
      <c r="I2439" s="332"/>
      <c r="J2439" s="321"/>
    </row>
    <row r="2440" spans="1:10" s="300" customFormat="1" x14ac:dyDescent="0.25">
      <c r="A2440" s="303"/>
      <c r="B2440" s="333" t="s">
        <v>346</v>
      </c>
      <c r="C2440" s="317"/>
      <c r="D2440" s="318"/>
      <c r="E2440" s="319"/>
      <c r="F2440" s="319"/>
      <c r="G2440" s="320"/>
      <c r="H2440" s="332"/>
      <c r="I2440" s="332"/>
      <c r="J2440" s="321"/>
    </row>
    <row r="2441" spans="1:10" s="300" customFormat="1" x14ac:dyDescent="0.25">
      <c r="A2441" s="303"/>
      <c r="B2441" s="333" t="s">
        <v>346</v>
      </c>
      <c r="C2441" s="317"/>
      <c r="D2441" s="318"/>
      <c r="E2441" s="319"/>
      <c r="F2441" s="319"/>
      <c r="G2441" s="320"/>
      <c r="H2441" s="332"/>
      <c r="I2441" s="332"/>
      <c r="J2441" s="321"/>
    </row>
    <row r="2442" spans="1:10" s="300" customFormat="1" x14ac:dyDescent="0.25">
      <c r="A2442" s="303"/>
      <c r="B2442" s="333" t="s">
        <v>346</v>
      </c>
      <c r="C2442" s="317"/>
      <c r="D2442" s="318"/>
      <c r="E2442" s="319"/>
      <c r="F2442" s="319"/>
      <c r="G2442" s="320"/>
      <c r="H2442" s="332"/>
      <c r="I2442" s="332"/>
      <c r="J2442" s="321"/>
    </row>
    <row r="2443" spans="1:10" s="300" customFormat="1" x14ac:dyDescent="0.25">
      <c r="A2443" s="303"/>
      <c r="B2443" s="333" t="s">
        <v>346</v>
      </c>
      <c r="C2443" s="317"/>
      <c r="D2443" s="318"/>
      <c r="E2443" s="319"/>
      <c r="F2443" s="319"/>
      <c r="G2443" s="320"/>
      <c r="H2443" s="332"/>
      <c r="I2443" s="332"/>
      <c r="J2443" s="321"/>
    </row>
    <row r="2444" spans="1:10" s="300" customFormat="1" x14ac:dyDescent="0.25">
      <c r="A2444" s="303"/>
      <c r="B2444" s="310"/>
      <c r="C2444" s="334"/>
      <c r="D2444" s="312"/>
      <c r="E2444" s="313"/>
      <c r="F2444" s="313"/>
      <c r="G2444" s="313"/>
      <c r="H2444" s="343"/>
      <c r="I2444" s="335" t="s">
        <v>498</v>
      </c>
      <c r="J2444" s="315">
        <f>+SUBTOTAL(9,J2437:J2443)</f>
        <v>1834.7739000000001</v>
      </c>
    </row>
    <row r="2445" spans="1:10" s="300" customFormat="1" x14ac:dyDescent="0.25">
      <c r="A2445" s="303"/>
      <c r="B2445" s="310" t="s">
        <v>464</v>
      </c>
      <c r="C2445" s="311" t="s">
        <v>499</v>
      </c>
      <c r="D2445" s="312"/>
      <c r="E2445" s="313"/>
      <c r="F2445" s="313"/>
      <c r="G2445" s="314" t="s">
        <v>465</v>
      </c>
      <c r="H2445" s="336" t="s">
        <v>468</v>
      </c>
      <c r="I2445" s="336" t="s">
        <v>491</v>
      </c>
      <c r="J2445" s="322" t="s">
        <v>492</v>
      </c>
    </row>
    <row r="2446" spans="1:10" s="300" customFormat="1" x14ac:dyDescent="0.25">
      <c r="A2446" s="303"/>
      <c r="B2446" s="337"/>
      <c r="C2446" s="311"/>
      <c r="D2446" s="312"/>
      <c r="E2446" s="313"/>
      <c r="F2446" s="313"/>
      <c r="G2446" s="314"/>
      <c r="H2446" s="329"/>
      <c r="I2446" s="329"/>
      <c r="J2446" s="315"/>
    </row>
    <row r="2447" spans="1:10" s="300" customFormat="1" x14ac:dyDescent="0.25">
      <c r="A2447" s="303"/>
      <c r="B2447" s="333"/>
      <c r="C2447" s="317"/>
      <c r="D2447" s="318"/>
      <c r="E2447" s="319"/>
      <c r="F2447" s="319"/>
      <c r="G2447" s="320"/>
      <c r="H2447" s="332"/>
      <c r="I2447" s="332"/>
      <c r="J2447" s="321"/>
    </row>
    <row r="2448" spans="1:10" s="300" customFormat="1" x14ac:dyDescent="0.25">
      <c r="A2448" s="303"/>
      <c r="B2448" s="333"/>
      <c r="C2448" s="317"/>
      <c r="D2448" s="318"/>
      <c r="E2448" s="319"/>
      <c r="F2448" s="319"/>
      <c r="G2448" s="320"/>
      <c r="H2448" s="332"/>
      <c r="I2448" s="332"/>
      <c r="J2448" s="321"/>
    </row>
    <row r="2449" spans="1:10" s="300" customFormat="1" x14ac:dyDescent="0.25">
      <c r="A2449" s="303"/>
      <c r="B2449" s="333"/>
      <c r="C2449" s="317"/>
      <c r="D2449" s="318"/>
      <c r="E2449" s="319"/>
      <c r="F2449" s="319"/>
      <c r="G2449" s="320"/>
      <c r="H2449" s="332"/>
      <c r="I2449" s="332"/>
      <c r="J2449" s="321"/>
    </row>
    <row r="2450" spans="1:10" s="300" customFormat="1" x14ac:dyDescent="0.25">
      <c r="A2450" s="303"/>
      <c r="B2450" s="333"/>
      <c r="C2450" s="317"/>
      <c r="D2450" s="318"/>
      <c r="E2450" s="319"/>
      <c r="F2450" s="319"/>
      <c r="G2450" s="320"/>
      <c r="H2450" s="332"/>
      <c r="I2450" s="332"/>
      <c r="J2450" s="321"/>
    </row>
    <row r="2451" spans="1:10" s="300" customFormat="1" x14ac:dyDescent="0.25">
      <c r="A2451" s="303"/>
      <c r="B2451" s="310"/>
      <c r="C2451" s="334"/>
      <c r="D2451" s="312"/>
      <c r="E2451" s="313"/>
      <c r="F2451" s="313"/>
      <c r="G2451" s="313"/>
      <c r="H2451" s="343"/>
      <c r="I2451" s="335" t="s">
        <v>501</v>
      </c>
      <c r="J2451" s="315">
        <f>+SUBTOTAL(9,J2446:J2450)</f>
        <v>0</v>
      </c>
    </row>
    <row r="2452" spans="1:10" s="300" customFormat="1" x14ac:dyDescent="0.25">
      <c r="A2452" s="303"/>
      <c r="B2452" s="310" t="s">
        <v>464</v>
      </c>
      <c r="C2452" s="311" t="s">
        <v>502</v>
      </c>
      <c r="D2452" s="312"/>
      <c r="E2452" s="313"/>
      <c r="F2452" s="314" t="s">
        <v>464</v>
      </c>
      <c r="G2452" s="324" t="s">
        <v>503</v>
      </c>
      <c r="H2452" s="329" t="s">
        <v>465</v>
      </c>
      <c r="I2452" s="336" t="s">
        <v>468</v>
      </c>
      <c r="J2452" s="322" t="s">
        <v>492</v>
      </c>
    </row>
    <row r="2453" spans="1:10" s="300" customFormat="1" x14ac:dyDescent="0.25">
      <c r="A2453" s="303"/>
      <c r="B2453" s="337" t="s">
        <v>1044</v>
      </c>
      <c r="C2453" s="311" t="s">
        <v>1045</v>
      </c>
      <c r="D2453" s="312"/>
      <c r="E2453" s="313"/>
      <c r="F2453" s="344" t="s">
        <v>632</v>
      </c>
      <c r="G2453" s="314">
        <v>1.6537500000000001</v>
      </c>
      <c r="H2453" s="329" t="s">
        <v>370</v>
      </c>
      <c r="I2453" s="329">
        <v>26.18</v>
      </c>
      <c r="J2453" s="315">
        <f>+ROUND(G2453*I2453,4)</f>
        <v>43.295200000000001</v>
      </c>
    </row>
    <row r="2454" spans="1:10" s="300" customFormat="1" x14ac:dyDescent="0.25">
      <c r="A2454" s="303"/>
      <c r="B2454" s="333" t="s">
        <v>575</v>
      </c>
      <c r="C2454" s="317" t="s">
        <v>576</v>
      </c>
      <c r="D2454" s="318"/>
      <c r="E2454" s="319"/>
      <c r="F2454" s="354" t="s">
        <v>567</v>
      </c>
      <c r="G2454" s="320">
        <v>0.33074999999999999</v>
      </c>
      <c r="H2454" s="332" t="s">
        <v>370</v>
      </c>
      <c r="I2454" s="332">
        <v>1.23</v>
      </c>
      <c r="J2454" s="321">
        <f>+ROUND(G2454*I2454,4)</f>
        <v>0.40679999999999999</v>
      </c>
    </row>
    <row r="2455" spans="1:10" s="300" customFormat="1" x14ac:dyDescent="0.25">
      <c r="A2455" s="303"/>
      <c r="B2455" s="333" t="s">
        <v>346</v>
      </c>
      <c r="C2455" s="317"/>
      <c r="D2455" s="318"/>
      <c r="E2455" s="319"/>
      <c r="F2455" s="320"/>
      <c r="G2455" s="320"/>
      <c r="H2455" s="332"/>
      <c r="I2455" s="332"/>
      <c r="J2455" s="321"/>
    </row>
    <row r="2456" spans="1:10" s="300" customFormat="1" x14ac:dyDescent="0.25">
      <c r="A2456" s="303"/>
      <c r="B2456" s="333" t="s">
        <v>346</v>
      </c>
      <c r="C2456" s="317"/>
      <c r="D2456" s="318"/>
      <c r="E2456" s="319"/>
      <c r="F2456" s="320"/>
      <c r="G2456" s="320"/>
      <c r="H2456" s="332"/>
      <c r="I2456" s="332"/>
      <c r="J2456" s="321"/>
    </row>
    <row r="2457" spans="1:10" s="300" customFormat="1" x14ac:dyDescent="0.25">
      <c r="A2457" s="303"/>
      <c r="B2457" s="333" t="s">
        <v>346</v>
      </c>
      <c r="C2457" s="317"/>
      <c r="D2457" s="318"/>
      <c r="E2457" s="319"/>
      <c r="F2457" s="320"/>
      <c r="G2457" s="320"/>
      <c r="H2457" s="332"/>
      <c r="I2457" s="332"/>
      <c r="J2457" s="321"/>
    </row>
    <row r="2458" spans="1:10" s="300" customFormat="1" x14ac:dyDescent="0.25">
      <c r="A2458" s="303"/>
      <c r="B2458" s="310"/>
      <c r="C2458" s="334"/>
      <c r="D2458" s="312"/>
      <c r="E2458" s="313"/>
      <c r="F2458" s="313"/>
      <c r="G2458" s="313"/>
      <c r="H2458" s="343"/>
      <c r="I2458" s="338" t="s">
        <v>507</v>
      </c>
      <c r="J2458" s="315">
        <f>+SUBTOTAL(9,J2453:J2457)</f>
        <v>43.701999999999998</v>
      </c>
    </row>
    <row r="2459" spans="1:10" s="300" customFormat="1" x14ac:dyDescent="0.25">
      <c r="A2459" s="303"/>
      <c r="B2459" s="310" t="s">
        <v>464</v>
      </c>
      <c r="C2459" s="311" t="s">
        <v>508</v>
      </c>
      <c r="D2459" s="345" t="s">
        <v>509</v>
      </c>
      <c r="E2459" s="324" t="s">
        <v>873</v>
      </c>
      <c r="F2459" s="324" t="s">
        <v>874</v>
      </c>
      <c r="G2459" s="324" t="s">
        <v>875</v>
      </c>
      <c r="H2459" s="336" t="s">
        <v>468</v>
      </c>
      <c r="I2459" s="324" t="s">
        <v>491</v>
      </c>
      <c r="J2459" s="322" t="s">
        <v>492</v>
      </c>
    </row>
    <row r="2460" spans="1:10" s="300" customFormat="1" x14ac:dyDescent="0.25">
      <c r="A2460" s="303"/>
      <c r="B2460" s="337" t="s">
        <v>1046</v>
      </c>
      <c r="C2460" s="311" t="s">
        <v>1047</v>
      </c>
      <c r="D2460" s="345" t="s">
        <v>510</v>
      </c>
      <c r="E2460" s="314">
        <v>0</v>
      </c>
      <c r="F2460" s="314">
        <v>0</v>
      </c>
      <c r="G2460" s="314">
        <v>100.45</v>
      </c>
      <c r="H2460" s="329">
        <v>0.55000000000000004</v>
      </c>
      <c r="I2460" s="314">
        <v>1.6537500000000001</v>
      </c>
      <c r="J2460" s="315">
        <f>+ROUND((E2460+F2460+G2460)*H2460*I2460,4)</f>
        <v>91.365600000000001</v>
      </c>
    </row>
    <row r="2461" spans="1:10" s="300" customFormat="1" x14ac:dyDescent="0.25">
      <c r="A2461" s="303"/>
      <c r="B2461" s="333" t="s">
        <v>585</v>
      </c>
      <c r="C2461" s="317" t="s">
        <v>586</v>
      </c>
      <c r="D2461" s="346" t="s">
        <v>510</v>
      </c>
      <c r="E2461" s="320">
        <v>0</v>
      </c>
      <c r="F2461" s="320">
        <v>0</v>
      </c>
      <c r="G2461" s="320">
        <v>137.5</v>
      </c>
      <c r="H2461" s="332">
        <v>0.55000000000000004</v>
      </c>
      <c r="I2461" s="320">
        <v>0.33074999999999999</v>
      </c>
      <c r="J2461" s="321">
        <f>+ROUND((E2461+F2461+G2461)*H2461*I2461,4)</f>
        <v>25.013000000000002</v>
      </c>
    </row>
    <row r="2462" spans="1:10" s="300" customFormat="1" x14ac:dyDescent="0.25">
      <c r="A2462" s="303"/>
      <c r="B2462" s="333" t="s">
        <v>346</v>
      </c>
      <c r="C2462" s="317"/>
      <c r="D2462" s="346"/>
      <c r="E2462" s="320"/>
      <c r="F2462" s="320"/>
      <c r="G2462" s="320"/>
      <c r="H2462" s="332"/>
      <c r="I2462" s="320"/>
      <c r="J2462" s="321"/>
    </row>
    <row r="2463" spans="1:10" s="300" customFormat="1" x14ac:dyDescent="0.25">
      <c r="A2463" s="303"/>
      <c r="B2463" s="333" t="s">
        <v>346</v>
      </c>
      <c r="C2463" s="317"/>
      <c r="D2463" s="346"/>
      <c r="E2463" s="320"/>
      <c r="F2463" s="320"/>
      <c r="G2463" s="320"/>
      <c r="H2463" s="332"/>
      <c r="I2463" s="320"/>
      <c r="J2463" s="321"/>
    </row>
    <row r="2464" spans="1:10" s="300" customFormat="1" x14ac:dyDescent="0.25">
      <c r="A2464" s="303"/>
      <c r="B2464" s="333" t="s">
        <v>346</v>
      </c>
      <c r="C2464" s="317"/>
      <c r="D2464" s="346"/>
      <c r="E2464" s="320"/>
      <c r="F2464" s="320"/>
      <c r="G2464" s="320"/>
      <c r="H2464" s="332"/>
      <c r="I2464" s="320"/>
      <c r="J2464" s="321"/>
    </row>
    <row r="2465" spans="1:10" s="300" customFormat="1" x14ac:dyDescent="0.25">
      <c r="A2465" s="303"/>
      <c r="B2465" s="333" t="s">
        <v>346</v>
      </c>
      <c r="C2465" s="317"/>
      <c r="D2465" s="346"/>
      <c r="E2465" s="320"/>
      <c r="F2465" s="320"/>
      <c r="G2465" s="320"/>
      <c r="H2465" s="332"/>
      <c r="I2465" s="320"/>
      <c r="J2465" s="321"/>
    </row>
    <row r="2466" spans="1:10" s="300" customFormat="1" x14ac:dyDescent="0.25">
      <c r="A2466" s="303"/>
      <c r="B2466" s="333" t="s">
        <v>346</v>
      </c>
      <c r="C2466" s="317"/>
      <c r="D2466" s="346"/>
      <c r="E2466" s="320"/>
      <c r="F2466" s="320"/>
      <c r="G2466" s="320"/>
      <c r="H2466" s="332"/>
      <c r="I2466" s="320"/>
      <c r="J2466" s="321"/>
    </row>
    <row r="2467" spans="1:10" s="300" customFormat="1" x14ac:dyDescent="0.25">
      <c r="A2467" s="303"/>
      <c r="B2467" s="310"/>
      <c r="C2467" s="334"/>
      <c r="D2467" s="312"/>
      <c r="E2467" s="313"/>
      <c r="F2467" s="313"/>
      <c r="G2467" s="313"/>
      <c r="H2467" s="313"/>
      <c r="I2467" s="338" t="s">
        <v>513</v>
      </c>
      <c r="J2467" s="315">
        <f>+SUBTOTAL(9,J2460:J2466)</f>
        <v>116.37860000000001</v>
      </c>
    </row>
    <row r="2468" spans="1:10" s="300" customFormat="1" x14ac:dyDescent="0.25">
      <c r="A2468" s="303"/>
      <c r="B2468" s="310" t="s">
        <v>514</v>
      </c>
      <c r="C2468" s="334"/>
      <c r="D2468" s="312"/>
      <c r="E2468" s="313"/>
      <c r="F2468" s="313"/>
      <c r="G2468" s="313"/>
      <c r="H2468" s="313"/>
      <c r="I2468" s="313"/>
      <c r="J2468" s="315">
        <f>+SUBTOTAL(9,J2433:J2466)</f>
        <v>2104.2809000000002</v>
      </c>
    </row>
    <row r="2469" spans="1:10" s="300" customFormat="1" x14ac:dyDescent="0.25">
      <c r="A2469" s="303"/>
      <c r="B2469" s="310" t="s">
        <v>515</v>
      </c>
      <c r="C2469" s="334"/>
      <c r="D2469" s="312">
        <v>0</v>
      </c>
      <c r="E2469" s="313"/>
      <c r="F2469" s="313"/>
      <c r="G2469" s="313"/>
      <c r="H2469" s="313"/>
      <c r="I2469" s="313"/>
      <c r="J2469" s="315">
        <f>+ROUND(J2468*D2469/100,4)</f>
        <v>0</v>
      </c>
    </row>
    <row r="2470" spans="1:10" s="300" customFormat="1" ht="14.4" thickBot="1" x14ac:dyDescent="0.3">
      <c r="A2470" s="303"/>
      <c r="B2470" s="310" t="s">
        <v>516</v>
      </c>
      <c r="C2470" s="334"/>
      <c r="D2470" s="312"/>
      <c r="E2470" s="313"/>
      <c r="F2470" s="313"/>
      <c r="G2470" s="313"/>
      <c r="H2470" s="313"/>
      <c r="I2470" s="313"/>
      <c r="J2470" s="347">
        <f>+ROUND(J2468+J2469,2)</f>
        <v>2104.2800000000002</v>
      </c>
    </row>
    <row r="2471" spans="1:10" s="300" customFormat="1" x14ac:dyDescent="0.25">
      <c r="A2471" s="303"/>
      <c r="B2471" s="304"/>
      <c r="C2471" s="305"/>
      <c r="D2471" s="348"/>
      <c r="E2471" s="308"/>
      <c r="F2471" s="308"/>
      <c r="G2471" s="308"/>
      <c r="H2471" s="308"/>
      <c r="I2471" s="308"/>
      <c r="J2471" s="309"/>
    </row>
    <row r="2472" spans="1:10" s="300" customFormat="1" x14ac:dyDescent="0.25">
      <c r="A2472" s="303"/>
      <c r="B2472" s="316"/>
      <c r="C2472" s="303"/>
      <c r="D2472" s="318"/>
      <c r="E2472" s="319"/>
      <c r="F2472" s="319"/>
      <c r="G2472" s="319"/>
      <c r="H2472" s="319"/>
      <c r="I2472" s="319"/>
      <c r="J2472" s="349"/>
    </row>
    <row r="2473" spans="1:10" s="300" customFormat="1" x14ac:dyDescent="0.25">
      <c r="A2473" s="303"/>
      <c r="B2473" s="316"/>
      <c r="C2473" s="303"/>
      <c r="D2473" s="318"/>
      <c r="E2473" s="319"/>
      <c r="F2473" s="319"/>
      <c r="G2473" s="319"/>
      <c r="H2473" s="319"/>
      <c r="I2473" s="319"/>
      <c r="J2473" s="349"/>
    </row>
    <row r="2474" spans="1:10" s="300" customFormat="1" ht="14.4" thickBot="1" x14ac:dyDescent="0.3">
      <c r="A2474" s="303"/>
      <c r="B2474" s="350"/>
      <c r="C2474" s="303"/>
      <c r="D2474" s="318"/>
      <c r="E2474" s="319"/>
      <c r="F2474" s="319"/>
      <c r="G2474" s="319"/>
      <c r="H2474" s="319"/>
      <c r="I2474" s="319"/>
      <c r="J2474" s="351"/>
    </row>
    <row r="2475" spans="1:10" s="300" customFormat="1" x14ac:dyDescent="0.25">
      <c r="A2475" s="303"/>
      <c r="B2475" s="305"/>
      <c r="C2475" s="305"/>
      <c r="D2475" s="348"/>
      <c r="E2475" s="308"/>
      <c r="F2475" s="308"/>
      <c r="G2475" s="308"/>
      <c r="H2475" s="308"/>
      <c r="I2475" s="308"/>
      <c r="J2475" s="352"/>
    </row>
    <row r="2476" spans="1:10" s="300" customFormat="1" ht="14.4" thickBot="1" x14ac:dyDescent="0.3">
      <c r="A2476" s="303"/>
      <c r="B2476" s="303"/>
      <c r="C2476" s="303"/>
      <c r="D2476" s="318"/>
      <c r="E2476" s="319"/>
      <c r="F2476" s="319"/>
      <c r="G2476" s="319"/>
      <c r="H2476" s="319"/>
      <c r="I2476" s="319"/>
      <c r="J2476" s="353"/>
    </row>
    <row r="2477" spans="1:10" s="300" customFormat="1" x14ac:dyDescent="0.25">
      <c r="A2477" s="303"/>
      <c r="B2477" s="304"/>
      <c r="C2477" s="305"/>
      <c r="D2477" s="306" t="s">
        <v>463</v>
      </c>
      <c r="E2477" s="307"/>
      <c r="F2477" s="307"/>
      <c r="G2477" s="308"/>
      <c r="H2477" s="308"/>
      <c r="I2477" s="308"/>
      <c r="J2477" s="309"/>
    </row>
    <row r="2478" spans="1:10" s="300" customFormat="1" x14ac:dyDescent="0.25">
      <c r="A2478" s="303"/>
      <c r="B2478" s="310" t="s">
        <v>464</v>
      </c>
      <c r="C2478" s="311" t="s">
        <v>134</v>
      </c>
      <c r="D2478" s="312"/>
      <c r="E2478" s="313"/>
      <c r="F2478" s="313"/>
      <c r="G2478" s="313"/>
      <c r="H2478" s="314"/>
      <c r="I2478" s="313"/>
      <c r="J2478" s="315" t="s">
        <v>465</v>
      </c>
    </row>
    <row r="2479" spans="1:10" s="300" customFormat="1" x14ac:dyDescent="0.25">
      <c r="A2479" s="303"/>
      <c r="B2479" s="316">
        <v>1600989</v>
      </c>
      <c r="C2479" s="317" t="s">
        <v>847</v>
      </c>
      <c r="D2479" s="318"/>
      <c r="E2479" s="319"/>
      <c r="F2479" s="319"/>
      <c r="G2479" s="319"/>
      <c r="H2479" s="320"/>
      <c r="I2479" s="319"/>
      <c r="J2479" s="321" t="s">
        <v>365</v>
      </c>
    </row>
    <row r="2480" spans="1:10" s="300" customFormat="1" x14ac:dyDescent="0.25">
      <c r="A2480" s="303"/>
      <c r="B2480" s="310"/>
      <c r="C2480" s="311"/>
      <c r="D2480" s="312"/>
      <c r="E2480" s="314"/>
      <c r="F2480" s="314" t="s">
        <v>466</v>
      </c>
      <c r="G2480" s="314"/>
      <c r="H2480" s="314" t="s">
        <v>467</v>
      </c>
      <c r="I2480" s="314"/>
      <c r="J2480" s="322" t="s">
        <v>468</v>
      </c>
    </row>
    <row r="2481" spans="1:10" s="300" customFormat="1" x14ac:dyDescent="0.25">
      <c r="A2481" s="303"/>
      <c r="B2481" s="316" t="s">
        <v>464</v>
      </c>
      <c r="C2481" s="317" t="s">
        <v>469</v>
      </c>
      <c r="D2481" s="318"/>
      <c r="E2481" s="323" t="s">
        <v>355</v>
      </c>
      <c r="F2481" s="324" t="s">
        <v>470</v>
      </c>
      <c r="G2481" s="324" t="s">
        <v>471</v>
      </c>
      <c r="H2481" s="324" t="s">
        <v>472</v>
      </c>
      <c r="I2481" s="325" t="s">
        <v>473</v>
      </c>
      <c r="J2481" s="326" t="s">
        <v>474</v>
      </c>
    </row>
    <row r="2482" spans="1:10" s="300" customFormat="1" x14ac:dyDescent="0.25">
      <c r="A2482" s="303"/>
      <c r="B2482" s="327" t="s">
        <v>595</v>
      </c>
      <c r="C2482" s="311" t="s">
        <v>596</v>
      </c>
      <c r="D2482" s="312"/>
      <c r="E2482" s="328">
        <v>0.59458</v>
      </c>
      <c r="F2482" s="328">
        <v>1</v>
      </c>
      <c r="G2482" s="328">
        <v>0</v>
      </c>
      <c r="H2482" s="329">
        <v>0.44979999999999998</v>
      </c>
      <c r="I2482" s="329">
        <v>0.30509999999999998</v>
      </c>
      <c r="J2482" s="315">
        <f>+ROUND(E2482* ((F2482*H2482) + (G2482*I2482)),4)</f>
        <v>0.26740000000000003</v>
      </c>
    </row>
    <row r="2483" spans="1:10" s="300" customFormat="1" x14ac:dyDescent="0.25">
      <c r="A2483" s="303"/>
      <c r="B2483" s="330" t="s">
        <v>599</v>
      </c>
      <c r="C2483" s="317" t="s">
        <v>600</v>
      </c>
      <c r="D2483" s="318"/>
      <c r="E2483" s="331">
        <v>1</v>
      </c>
      <c r="F2483" s="331">
        <v>1</v>
      </c>
      <c r="G2483" s="331">
        <v>0</v>
      </c>
      <c r="H2483" s="332">
        <v>23.244199999999999</v>
      </c>
      <c r="I2483" s="332">
        <v>21.973600000000001</v>
      </c>
      <c r="J2483" s="321">
        <f>+ROUND(E2483* ((F2483*H2483) + (G2483*I2483)),4)</f>
        <v>23.244199999999999</v>
      </c>
    </row>
    <row r="2484" spans="1:10" s="300" customFormat="1" x14ac:dyDescent="0.25">
      <c r="A2484" s="303"/>
      <c r="B2484" s="330" t="s">
        <v>601</v>
      </c>
      <c r="C2484" s="317" t="s">
        <v>990</v>
      </c>
      <c r="D2484" s="318"/>
      <c r="E2484" s="331">
        <v>1</v>
      </c>
      <c r="F2484" s="331">
        <v>1</v>
      </c>
      <c r="G2484" s="331">
        <v>0</v>
      </c>
      <c r="H2484" s="332">
        <v>33.092199999999998</v>
      </c>
      <c r="I2484" s="332">
        <v>7.8098999999999998</v>
      </c>
      <c r="J2484" s="321">
        <f>+ROUND(E2484* ((F2484*H2484) + (G2484*I2484)),4)</f>
        <v>33.092199999999998</v>
      </c>
    </row>
    <row r="2485" spans="1:10" s="300" customFormat="1" x14ac:dyDescent="0.25">
      <c r="A2485" s="303"/>
      <c r="B2485" s="333" t="s">
        <v>346</v>
      </c>
      <c r="C2485" s="317"/>
      <c r="D2485" s="318"/>
      <c r="E2485" s="331"/>
      <c r="F2485" s="331"/>
      <c r="G2485" s="331"/>
      <c r="H2485" s="332"/>
      <c r="I2485" s="332"/>
      <c r="J2485" s="321"/>
    </row>
    <row r="2486" spans="1:10" s="300" customFormat="1" x14ac:dyDescent="0.25">
      <c r="A2486" s="303"/>
      <c r="B2486" s="333" t="s">
        <v>346</v>
      </c>
      <c r="C2486" s="317"/>
      <c r="D2486" s="318"/>
      <c r="E2486" s="331"/>
      <c r="F2486" s="331"/>
      <c r="G2486" s="331"/>
      <c r="H2486" s="332"/>
      <c r="I2486" s="332"/>
      <c r="J2486" s="321"/>
    </row>
    <row r="2487" spans="1:10" s="300" customFormat="1" x14ac:dyDescent="0.25">
      <c r="A2487" s="303"/>
      <c r="B2487" s="333" t="s">
        <v>346</v>
      </c>
      <c r="C2487" s="317"/>
      <c r="D2487" s="318"/>
      <c r="E2487" s="331"/>
      <c r="F2487" s="331"/>
      <c r="G2487" s="331"/>
      <c r="H2487" s="332"/>
      <c r="I2487" s="332"/>
      <c r="J2487" s="321"/>
    </row>
    <row r="2488" spans="1:10" s="300" customFormat="1" x14ac:dyDescent="0.25">
      <c r="A2488" s="303"/>
      <c r="B2488" s="333" t="s">
        <v>346</v>
      </c>
      <c r="C2488" s="317"/>
      <c r="D2488" s="318"/>
      <c r="E2488" s="331"/>
      <c r="F2488" s="331"/>
      <c r="G2488" s="331"/>
      <c r="H2488" s="332"/>
      <c r="I2488" s="332"/>
      <c r="J2488" s="321"/>
    </row>
    <row r="2489" spans="1:10" s="300" customFormat="1" x14ac:dyDescent="0.25">
      <c r="A2489" s="303"/>
      <c r="B2489" s="310"/>
      <c r="C2489" s="334"/>
      <c r="D2489" s="312"/>
      <c r="E2489" s="313"/>
      <c r="F2489" s="313"/>
      <c r="G2489" s="313"/>
      <c r="H2489" s="313"/>
      <c r="I2489" s="335" t="s">
        <v>479</v>
      </c>
      <c r="J2489" s="315">
        <f>+SUBTOTAL(9,J2482:J2488)</f>
        <v>56.603799999999993</v>
      </c>
    </row>
    <row r="2490" spans="1:10" s="300" customFormat="1" x14ac:dyDescent="0.25">
      <c r="A2490" s="303"/>
      <c r="B2490" s="310" t="s">
        <v>464</v>
      </c>
      <c r="C2490" s="311" t="s">
        <v>480</v>
      </c>
      <c r="D2490" s="312"/>
      <c r="E2490" s="313"/>
      <c r="F2490" s="313"/>
      <c r="G2490" s="313"/>
      <c r="H2490" s="324" t="s">
        <v>355</v>
      </c>
      <c r="I2490" s="336" t="s">
        <v>481</v>
      </c>
      <c r="J2490" s="322" t="s">
        <v>331</v>
      </c>
    </row>
    <row r="2491" spans="1:10" s="300" customFormat="1" x14ac:dyDescent="0.25">
      <c r="A2491" s="303"/>
      <c r="B2491" s="337" t="s">
        <v>482</v>
      </c>
      <c r="C2491" s="311" t="s">
        <v>483</v>
      </c>
      <c r="D2491" s="312"/>
      <c r="E2491" s="313"/>
      <c r="F2491" s="313"/>
      <c r="G2491" s="313"/>
      <c r="H2491" s="314">
        <v>0.59458</v>
      </c>
      <c r="I2491" s="329">
        <v>17.768000000000001</v>
      </c>
      <c r="J2491" s="315">
        <f>+ROUND(H2491*I2491,4)</f>
        <v>10.564500000000001</v>
      </c>
    </row>
    <row r="2492" spans="1:10" s="300" customFormat="1" x14ac:dyDescent="0.25">
      <c r="A2492" s="303"/>
      <c r="B2492" s="333" t="s">
        <v>346</v>
      </c>
      <c r="C2492" s="317"/>
      <c r="D2492" s="318"/>
      <c r="E2492" s="319"/>
      <c r="F2492" s="319"/>
      <c r="G2492" s="319"/>
      <c r="H2492" s="320"/>
      <c r="I2492" s="332"/>
      <c r="J2492" s="321"/>
    </row>
    <row r="2493" spans="1:10" s="300" customFormat="1" x14ac:dyDescent="0.25">
      <c r="A2493" s="303"/>
      <c r="B2493" s="333" t="s">
        <v>346</v>
      </c>
      <c r="C2493" s="317"/>
      <c r="D2493" s="318"/>
      <c r="E2493" s="319"/>
      <c r="F2493" s="319"/>
      <c r="G2493" s="319"/>
      <c r="H2493" s="320"/>
      <c r="I2493" s="332"/>
      <c r="J2493" s="321"/>
    </row>
    <row r="2494" spans="1:10" s="300" customFormat="1" x14ac:dyDescent="0.25">
      <c r="A2494" s="303"/>
      <c r="B2494" s="333" t="s">
        <v>346</v>
      </c>
      <c r="C2494" s="317"/>
      <c r="D2494" s="318"/>
      <c r="E2494" s="319"/>
      <c r="F2494" s="319"/>
      <c r="G2494" s="319"/>
      <c r="H2494" s="320"/>
      <c r="I2494" s="332"/>
      <c r="J2494" s="321"/>
    </row>
    <row r="2495" spans="1:10" s="300" customFormat="1" x14ac:dyDescent="0.25">
      <c r="A2495" s="303"/>
      <c r="B2495" s="333" t="s">
        <v>346</v>
      </c>
      <c r="C2495" s="317"/>
      <c r="D2495" s="318"/>
      <c r="E2495" s="319"/>
      <c r="F2495" s="319"/>
      <c r="G2495" s="319"/>
      <c r="H2495" s="320"/>
      <c r="I2495" s="332"/>
      <c r="J2495" s="321"/>
    </row>
    <row r="2496" spans="1:10" s="300" customFormat="1" x14ac:dyDescent="0.25">
      <c r="A2496" s="303"/>
      <c r="B2496" s="333" t="s">
        <v>346</v>
      </c>
      <c r="C2496" s="317"/>
      <c r="D2496" s="318"/>
      <c r="E2496" s="319"/>
      <c r="F2496" s="319"/>
      <c r="G2496" s="319"/>
      <c r="H2496" s="320"/>
      <c r="I2496" s="332"/>
      <c r="J2496" s="321"/>
    </row>
    <row r="2497" spans="1:10" s="300" customFormat="1" x14ac:dyDescent="0.25">
      <c r="A2497" s="303"/>
      <c r="B2497" s="333" t="s">
        <v>346</v>
      </c>
      <c r="C2497" s="317"/>
      <c r="D2497" s="318"/>
      <c r="E2497" s="319"/>
      <c r="F2497" s="319"/>
      <c r="G2497" s="319"/>
      <c r="H2497" s="320"/>
      <c r="I2497" s="332"/>
      <c r="J2497" s="321"/>
    </row>
    <row r="2498" spans="1:10" s="300" customFormat="1" x14ac:dyDescent="0.25">
      <c r="A2498" s="303"/>
      <c r="B2498" s="310"/>
      <c r="C2498" s="334"/>
      <c r="D2498" s="312"/>
      <c r="E2498" s="313"/>
      <c r="F2498" s="313"/>
      <c r="G2498" s="313"/>
      <c r="H2498" s="313"/>
      <c r="I2498" s="338" t="s">
        <v>484</v>
      </c>
      <c r="J2498" s="315">
        <f>+SUBTOTAL(9,J2491:J2497)</f>
        <v>10.564500000000001</v>
      </c>
    </row>
    <row r="2499" spans="1:10" s="300" customFormat="1" x14ac:dyDescent="0.25">
      <c r="A2499" s="303"/>
      <c r="B2499" s="339"/>
      <c r="C2499" s="334"/>
      <c r="D2499" s="312"/>
      <c r="E2499" s="313"/>
      <c r="F2499" s="313"/>
      <c r="G2499" s="313"/>
      <c r="H2499" s="313"/>
      <c r="I2499" s="338" t="s">
        <v>485</v>
      </c>
      <c r="J2499" s="340">
        <f>+SUBTOTAL(9,J2482:J2498)</f>
        <v>67.168299999999988</v>
      </c>
    </row>
    <row r="2500" spans="1:10" s="300" customFormat="1" x14ac:dyDescent="0.25">
      <c r="A2500" s="303"/>
      <c r="B2500" s="339"/>
      <c r="C2500" s="341" t="s">
        <v>486</v>
      </c>
      <c r="D2500" s="312">
        <v>0.46704000000000001</v>
      </c>
      <c r="E2500" s="313"/>
      <c r="F2500" s="313"/>
      <c r="G2500" s="313"/>
      <c r="H2500" s="313"/>
      <c r="I2500" s="338" t="s">
        <v>487</v>
      </c>
      <c r="J2500" s="340">
        <f>+ROUND(J2499/D2500,4)</f>
        <v>143.81700000000001</v>
      </c>
    </row>
    <row r="2501" spans="1:10" s="300" customFormat="1" x14ac:dyDescent="0.25">
      <c r="A2501" s="303"/>
      <c r="B2501" s="310"/>
      <c r="C2501" s="334"/>
      <c r="D2501" s="312"/>
      <c r="E2501" s="313"/>
      <c r="F2501" s="313"/>
      <c r="G2501" s="313"/>
      <c r="H2501" s="338" t="s">
        <v>488</v>
      </c>
      <c r="I2501" s="342">
        <v>0</v>
      </c>
      <c r="J2501" s="315">
        <f>+ROUND(I2501*J2500,4)</f>
        <v>0</v>
      </c>
    </row>
    <row r="2502" spans="1:10" s="300" customFormat="1" x14ac:dyDescent="0.25">
      <c r="A2502" s="303"/>
      <c r="B2502" s="310"/>
      <c r="C2502" s="334"/>
      <c r="D2502" s="312"/>
      <c r="E2502" s="313"/>
      <c r="F2502" s="313"/>
      <c r="G2502" s="313"/>
      <c r="H2502" s="335" t="s">
        <v>489</v>
      </c>
      <c r="I2502" s="343">
        <v>0</v>
      </c>
      <c r="J2502" s="315">
        <f>+ROUND(I2502*J2500,4)</f>
        <v>0</v>
      </c>
    </row>
    <row r="2503" spans="1:10" s="300" customFormat="1" x14ac:dyDescent="0.25">
      <c r="A2503" s="303"/>
      <c r="B2503" s="310" t="s">
        <v>464</v>
      </c>
      <c r="C2503" s="311" t="s">
        <v>490</v>
      </c>
      <c r="D2503" s="312"/>
      <c r="E2503" s="313"/>
      <c r="F2503" s="313"/>
      <c r="G2503" s="314" t="s">
        <v>465</v>
      </c>
      <c r="H2503" s="336" t="s">
        <v>468</v>
      </c>
      <c r="I2503" s="336" t="s">
        <v>491</v>
      </c>
      <c r="J2503" s="322" t="s">
        <v>492</v>
      </c>
    </row>
    <row r="2504" spans="1:10" s="300" customFormat="1" x14ac:dyDescent="0.25">
      <c r="A2504" s="303"/>
      <c r="B2504" s="337" t="s">
        <v>605</v>
      </c>
      <c r="C2504" s="311" t="s">
        <v>606</v>
      </c>
      <c r="D2504" s="312"/>
      <c r="E2504" s="313"/>
      <c r="F2504" s="313"/>
      <c r="G2504" s="314" t="s">
        <v>433</v>
      </c>
      <c r="H2504" s="329">
        <v>239.453</v>
      </c>
      <c r="I2504" s="329">
        <v>0.3</v>
      </c>
      <c r="J2504" s="315">
        <f>+ROUND(H2504*I2504,4)</f>
        <v>71.835899999999995</v>
      </c>
    </row>
    <row r="2505" spans="1:10" s="300" customFormat="1" x14ac:dyDescent="0.25">
      <c r="A2505" s="303"/>
      <c r="B2505" s="333" t="s">
        <v>848</v>
      </c>
      <c r="C2505" s="317" t="s">
        <v>849</v>
      </c>
      <c r="D2505" s="318"/>
      <c r="E2505" s="319"/>
      <c r="F2505" s="319"/>
      <c r="G2505" s="320" t="s">
        <v>365</v>
      </c>
      <c r="H2505" s="332">
        <v>0</v>
      </c>
      <c r="I2505" s="332">
        <v>1</v>
      </c>
      <c r="J2505" s="321">
        <f>+ROUND(H2505*I2505,4)</f>
        <v>0</v>
      </c>
    </row>
    <row r="2506" spans="1:10" s="300" customFormat="1" x14ac:dyDescent="0.25">
      <c r="A2506" s="303"/>
      <c r="B2506" s="333" t="s">
        <v>346</v>
      </c>
      <c r="C2506" s="317"/>
      <c r="D2506" s="318"/>
      <c r="E2506" s="319"/>
      <c r="F2506" s="319"/>
      <c r="G2506" s="320"/>
      <c r="H2506" s="332"/>
      <c r="I2506" s="332"/>
      <c r="J2506" s="321"/>
    </row>
    <row r="2507" spans="1:10" s="300" customFormat="1" x14ac:dyDescent="0.25">
      <c r="A2507" s="303"/>
      <c r="B2507" s="333" t="s">
        <v>346</v>
      </c>
      <c r="C2507" s="317"/>
      <c r="D2507" s="318"/>
      <c r="E2507" s="319"/>
      <c r="F2507" s="319"/>
      <c r="G2507" s="320"/>
      <c r="H2507" s="332"/>
      <c r="I2507" s="332"/>
      <c r="J2507" s="321"/>
    </row>
    <row r="2508" spans="1:10" s="300" customFormat="1" x14ac:dyDescent="0.25">
      <c r="A2508" s="303"/>
      <c r="B2508" s="333" t="s">
        <v>346</v>
      </c>
      <c r="C2508" s="317"/>
      <c r="D2508" s="318"/>
      <c r="E2508" s="319"/>
      <c r="F2508" s="319"/>
      <c r="G2508" s="320"/>
      <c r="H2508" s="332"/>
      <c r="I2508" s="332"/>
      <c r="J2508" s="321"/>
    </row>
    <row r="2509" spans="1:10" s="300" customFormat="1" x14ac:dyDescent="0.25">
      <c r="A2509" s="303"/>
      <c r="B2509" s="333" t="s">
        <v>346</v>
      </c>
      <c r="C2509" s="317"/>
      <c r="D2509" s="318"/>
      <c r="E2509" s="319"/>
      <c r="F2509" s="319"/>
      <c r="G2509" s="320"/>
      <c r="H2509" s="332"/>
      <c r="I2509" s="332"/>
      <c r="J2509" s="321"/>
    </row>
    <row r="2510" spans="1:10" s="300" customFormat="1" x14ac:dyDescent="0.25">
      <c r="A2510" s="303"/>
      <c r="B2510" s="333" t="s">
        <v>346</v>
      </c>
      <c r="C2510" s="317"/>
      <c r="D2510" s="318"/>
      <c r="E2510" s="319"/>
      <c r="F2510" s="319"/>
      <c r="G2510" s="320"/>
      <c r="H2510" s="332"/>
      <c r="I2510" s="332"/>
      <c r="J2510" s="321"/>
    </row>
    <row r="2511" spans="1:10" s="300" customFormat="1" x14ac:dyDescent="0.25">
      <c r="A2511" s="303"/>
      <c r="B2511" s="310"/>
      <c r="C2511" s="334"/>
      <c r="D2511" s="312"/>
      <c r="E2511" s="313"/>
      <c r="F2511" s="313"/>
      <c r="G2511" s="313"/>
      <c r="H2511" s="343"/>
      <c r="I2511" s="335" t="s">
        <v>498</v>
      </c>
      <c r="J2511" s="315">
        <f>+SUBTOTAL(9,J2504:J2510)</f>
        <v>71.835899999999995</v>
      </c>
    </row>
    <row r="2512" spans="1:10" s="300" customFormat="1" x14ac:dyDescent="0.25">
      <c r="A2512" s="303"/>
      <c r="B2512" s="310" t="s">
        <v>464</v>
      </c>
      <c r="C2512" s="311" t="s">
        <v>499</v>
      </c>
      <c r="D2512" s="312"/>
      <c r="E2512" s="313"/>
      <c r="F2512" s="313"/>
      <c r="G2512" s="314" t="s">
        <v>465</v>
      </c>
      <c r="H2512" s="336" t="s">
        <v>468</v>
      </c>
      <c r="I2512" s="336" t="s">
        <v>491</v>
      </c>
      <c r="J2512" s="322" t="s">
        <v>492</v>
      </c>
    </row>
    <row r="2513" spans="1:10" s="300" customFormat="1" x14ac:dyDescent="0.25">
      <c r="A2513" s="303"/>
      <c r="B2513" s="337"/>
      <c r="C2513" s="311"/>
      <c r="D2513" s="312"/>
      <c r="E2513" s="313"/>
      <c r="F2513" s="313"/>
      <c r="G2513" s="314"/>
      <c r="H2513" s="329"/>
      <c r="I2513" s="329"/>
      <c r="J2513" s="315"/>
    </row>
    <row r="2514" spans="1:10" s="300" customFormat="1" x14ac:dyDescent="0.25">
      <c r="A2514" s="303"/>
      <c r="B2514" s="333"/>
      <c r="C2514" s="317"/>
      <c r="D2514" s="318"/>
      <c r="E2514" s="319"/>
      <c r="F2514" s="319"/>
      <c r="G2514" s="320"/>
      <c r="H2514" s="332"/>
      <c r="I2514" s="332"/>
      <c r="J2514" s="321"/>
    </row>
    <row r="2515" spans="1:10" s="300" customFormat="1" x14ac:dyDescent="0.25">
      <c r="A2515" s="303"/>
      <c r="B2515" s="333"/>
      <c r="C2515" s="317"/>
      <c r="D2515" s="318"/>
      <c r="E2515" s="319"/>
      <c r="F2515" s="319"/>
      <c r="G2515" s="320"/>
      <c r="H2515" s="332"/>
      <c r="I2515" s="332"/>
      <c r="J2515" s="321"/>
    </row>
    <row r="2516" spans="1:10" s="300" customFormat="1" x14ac:dyDescent="0.25">
      <c r="A2516" s="303"/>
      <c r="B2516" s="333"/>
      <c r="C2516" s="317"/>
      <c r="D2516" s="318"/>
      <c r="E2516" s="319"/>
      <c r="F2516" s="319"/>
      <c r="G2516" s="320"/>
      <c r="H2516" s="332"/>
      <c r="I2516" s="332"/>
      <c r="J2516" s="321"/>
    </row>
    <row r="2517" spans="1:10" s="300" customFormat="1" x14ac:dyDescent="0.25">
      <c r="A2517" s="303"/>
      <c r="B2517" s="333"/>
      <c r="C2517" s="317"/>
      <c r="D2517" s="318"/>
      <c r="E2517" s="319"/>
      <c r="F2517" s="319"/>
      <c r="G2517" s="320"/>
      <c r="H2517" s="332"/>
      <c r="I2517" s="332"/>
      <c r="J2517" s="321"/>
    </row>
    <row r="2518" spans="1:10" s="300" customFormat="1" x14ac:dyDescent="0.25">
      <c r="A2518" s="303"/>
      <c r="B2518" s="310"/>
      <c r="C2518" s="334"/>
      <c r="D2518" s="312"/>
      <c r="E2518" s="313"/>
      <c r="F2518" s="313"/>
      <c r="G2518" s="313"/>
      <c r="H2518" s="343"/>
      <c r="I2518" s="335" t="s">
        <v>501</v>
      </c>
      <c r="J2518" s="315">
        <f>+SUBTOTAL(9,J2513:J2517)</f>
        <v>0</v>
      </c>
    </row>
    <row r="2519" spans="1:10" s="300" customFormat="1" x14ac:dyDescent="0.25">
      <c r="A2519" s="303"/>
      <c r="B2519" s="310" t="s">
        <v>464</v>
      </c>
      <c r="C2519" s="311" t="s">
        <v>502</v>
      </c>
      <c r="D2519" s="312"/>
      <c r="E2519" s="313"/>
      <c r="F2519" s="314" t="s">
        <v>464</v>
      </c>
      <c r="G2519" s="324" t="s">
        <v>503</v>
      </c>
      <c r="H2519" s="329" t="s">
        <v>465</v>
      </c>
      <c r="I2519" s="336" t="s">
        <v>468</v>
      </c>
      <c r="J2519" s="322" t="s">
        <v>492</v>
      </c>
    </row>
    <row r="2520" spans="1:10" s="300" customFormat="1" x14ac:dyDescent="0.25">
      <c r="A2520" s="303"/>
      <c r="B2520" s="337" t="s">
        <v>850</v>
      </c>
      <c r="C2520" s="311" t="s">
        <v>851</v>
      </c>
      <c r="D2520" s="312"/>
      <c r="E2520" s="313"/>
      <c r="F2520" s="344" t="s">
        <v>506</v>
      </c>
      <c r="G2520" s="314">
        <v>2.4</v>
      </c>
      <c r="H2520" s="329" t="s">
        <v>370</v>
      </c>
      <c r="I2520" s="329">
        <v>27.2</v>
      </c>
      <c r="J2520" s="315">
        <f>+ROUND(G2520*I2520,4)</f>
        <v>65.28</v>
      </c>
    </row>
    <row r="2521" spans="1:10" s="300" customFormat="1" x14ac:dyDescent="0.25">
      <c r="A2521" s="303"/>
      <c r="B2521" s="333" t="s">
        <v>346</v>
      </c>
      <c r="C2521" s="317"/>
      <c r="D2521" s="318"/>
      <c r="E2521" s="319"/>
      <c r="F2521" s="320"/>
      <c r="G2521" s="320"/>
      <c r="H2521" s="332"/>
      <c r="I2521" s="332"/>
      <c r="J2521" s="321"/>
    </row>
    <row r="2522" spans="1:10" s="300" customFormat="1" x14ac:dyDescent="0.25">
      <c r="A2522" s="303"/>
      <c r="B2522" s="333" t="s">
        <v>346</v>
      </c>
      <c r="C2522" s="317"/>
      <c r="D2522" s="318"/>
      <c r="E2522" s="319"/>
      <c r="F2522" s="320"/>
      <c r="G2522" s="320"/>
      <c r="H2522" s="332"/>
      <c r="I2522" s="332"/>
      <c r="J2522" s="321"/>
    </row>
    <row r="2523" spans="1:10" s="300" customFormat="1" x14ac:dyDescent="0.25">
      <c r="A2523" s="303"/>
      <c r="B2523" s="333" t="s">
        <v>346</v>
      </c>
      <c r="C2523" s="317"/>
      <c r="D2523" s="318"/>
      <c r="E2523" s="319"/>
      <c r="F2523" s="320"/>
      <c r="G2523" s="320"/>
      <c r="H2523" s="332"/>
      <c r="I2523" s="332"/>
      <c r="J2523" s="321"/>
    </row>
    <row r="2524" spans="1:10" s="300" customFormat="1" x14ac:dyDescent="0.25">
      <c r="A2524" s="303"/>
      <c r="B2524" s="333" t="s">
        <v>346</v>
      </c>
      <c r="C2524" s="317"/>
      <c r="D2524" s="318"/>
      <c r="E2524" s="319"/>
      <c r="F2524" s="320"/>
      <c r="G2524" s="320"/>
      <c r="H2524" s="332"/>
      <c r="I2524" s="332"/>
      <c r="J2524" s="321"/>
    </row>
    <row r="2525" spans="1:10" s="300" customFormat="1" x14ac:dyDescent="0.25">
      <c r="A2525" s="303"/>
      <c r="B2525" s="310"/>
      <c r="C2525" s="334"/>
      <c r="D2525" s="312"/>
      <c r="E2525" s="313"/>
      <c r="F2525" s="313"/>
      <c r="G2525" s="313"/>
      <c r="H2525" s="343"/>
      <c r="I2525" s="338" t="s">
        <v>507</v>
      </c>
      <c r="J2525" s="315">
        <f>+SUBTOTAL(9,J2520:J2524)</f>
        <v>65.28</v>
      </c>
    </row>
    <row r="2526" spans="1:10" s="300" customFormat="1" x14ac:dyDescent="0.25">
      <c r="A2526" s="303"/>
      <c r="B2526" s="310" t="s">
        <v>464</v>
      </c>
      <c r="C2526" s="311" t="s">
        <v>508</v>
      </c>
      <c r="D2526" s="345" t="s">
        <v>509</v>
      </c>
      <c r="E2526" s="324" t="s">
        <v>873</v>
      </c>
      <c r="F2526" s="324" t="s">
        <v>874</v>
      </c>
      <c r="G2526" s="324" t="s">
        <v>875</v>
      </c>
      <c r="H2526" s="336" t="s">
        <v>468</v>
      </c>
      <c r="I2526" s="324" t="s">
        <v>491</v>
      </c>
      <c r="J2526" s="322" t="s">
        <v>492</v>
      </c>
    </row>
    <row r="2527" spans="1:10" s="300" customFormat="1" x14ac:dyDescent="0.25">
      <c r="A2527" s="303"/>
      <c r="B2527" s="337" t="s">
        <v>852</v>
      </c>
      <c r="C2527" s="311" t="s">
        <v>853</v>
      </c>
      <c r="D2527" s="345" t="s">
        <v>510</v>
      </c>
      <c r="E2527" s="314">
        <v>0</v>
      </c>
      <c r="F2527" s="314">
        <v>0</v>
      </c>
      <c r="G2527" s="314">
        <v>25.11</v>
      </c>
      <c r="H2527" s="329">
        <v>0.64</v>
      </c>
      <c r="I2527" s="314">
        <v>2.4</v>
      </c>
      <c r="J2527" s="315">
        <f>+ROUND((E2527+F2527+G2527)*H2527*I2527,4)</f>
        <v>38.569000000000003</v>
      </c>
    </row>
    <row r="2528" spans="1:10" s="300" customFormat="1" x14ac:dyDescent="0.25">
      <c r="A2528" s="303"/>
      <c r="B2528" s="333" t="s">
        <v>346</v>
      </c>
      <c r="C2528" s="317"/>
      <c r="D2528" s="346"/>
      <c r="E2528" s="320"/>
      <c r="F2528" s="320"/>
      <c r="G2528" s="320"/>
      <c r="H2528" s="332"/>
      <c r="I2528" s="320"/>
      <c r="J2528" s="321"/>
    </row>
    <row r="2529" spans="1:10" s="300" customFormat="1" x14ac:dyDescent="0.25">
      <c r="A2529" s="303"/>
      <c r="B2529" s="333" t="s">
        <v>346</v>
      </c>
      <c r="C2529" s="317"/>
      <c r="D2529" s="346"/>
      <c r="E2529" s="320"/>
      <c r="F2529" s="320"/>
      <c r="G2529" s="320"/>
      <c r="H2529" s="332"/>
      <c r="I2529" s="320"/>
      <c r="J2529" s="321"/>
    </row>
    <row r="2530" spans="1:10" s="300" customFormat="1" x14ac:dyDescent="0.25">
      <c r="A2530" s="303"/>
      <c r="B2530" s="333" t="s">
        <v>346</v>
      </c>
      <c r="C2530" s="317"/>
      <c r="D2530" s="346"/>
      <c r="E2530" s="320"/>
      <c r="F2530" s="320"/>
      <c r="G2530" s="320"/>
      <c r="H2530" s="332"/>
      <c r="I2530" s="320"/>
      <c r="J2530" s="321"/>
    </row>
    <row r="2531" spans="1:10" s="300" customFormat="1" x14ac:dyDescent="0.25">
      <c r="A2531" s="303"/>
      <c r="B2531" s="333" t="s">
        <v>346</v>
      </c>
      <c r="C2531" s="317"/>
      <c r="D2531" s="346"/>
      <c r="E2531" s="320"/>
      <c r="F2531" s="320"/>
      <c r="G2531" s="320"/>
      <c r="H2531" s="332"/>
      <c r="I2531" s="320"/>
      <c r="J2531" s="321"/>
    </row>
    <row r="2532" spans="1:10" s="300" customFormat="1" x14ac:dyDescent="0.25">
      <c r="A2532" s="303"/>
      <c r="B2532" s="333" t="s">
        <v>346</v>
      </c>
      <c r="C2532" s="317"/>
      <c r="D2532" s="346"/>
      <c r="E2532" s="320"/>
      <c r="F2532" s="320"/>
      <c r="G2532" s="320"/>
      <c r="H2532" s="332"/>
      <c r="I2532" s="320"/>
      <c r="J2532" s="321"/>
    </row>
    <row r="2533" spans="1:10" s="300" customFormat="1" x14ac:dyDescent="0.25">
      <c r="A2533" s="303"/>
      <c r="B2533" s="333" t="s">
        <v>346</v>
      </c>
      <c r="C2533" s="317"/>
      <c r="D2533" s="346"/>
      <c r="E2533" s="320"/>
      <c r="F2533" s="320"/>
      <c r="G2533" s="320"/>
      <c r="H2533" s="332"/>
      <c r="I2533" s="320"/>
      <c r="J2533" s="321"/>
    </row>
    <row r="2534" spans="1:10" s="300" customFormat="1" x14ac:dyDescent="0.25">
      <c r="A2534" s="303"/>
      <c r="B2534" s="310"/>
      <c r="C2534" s="334"/>
      <c r="D2534" s="312"/>
      <c r="E2534" s="313"/>
      <c r="F2534" s="313"/>
      <c r="G2534" s="313"/>
      <c r="H2534" s="313"/>
      <c r="I2534" s="338" t="s">
        <v>513</v>
      </c>
      <c r="J2534" s="315">
        <f>+SUBTOTAL(9,J2527:J2533)</f>
        <v>38.569000000000003</v>
      </c>
    </row>
    <row r="2535" spans="1:10" s="300" customFormat="1" x14ac:dyDescent="0.25">
      <c r="A2535" s="303"/>
      <c r="B2535" s="310" t="s">
        <v>514</v>
      </c>
      <c r="C2535" s="334"/>
      <c r="D2535" s="312"/>
      <c r="E2535" s="313"/>
      <c r="F2535" s="313"/>
      <c r="G2535" s="313"/>
      <c r="H2535" s="313"/>
      <c r="I2535" s="313"/>
      <c r="J2535" s="315">
        <f>+SUBTOTAL(9,J2500:J2533)</f>
        <v>319.50190000000003</v>
      </c>
    </row>
    <row r="2536" spans="1:10" s="300" customFormat="1" x14ac:dyDescent="0.25">
      <c r="A2536" s="303"/>
      <c r="B2536" s="310" t="s">
        <v>515</v>
      </c>
      <c r="C2536" s="334"/>
      <c r="D2536" s="312">
        <v>0</v>
      </c>
      <c r="E2536" s="313"/>
      <c r="F2536" s="313"/>
      <c r="G2536" s="313"/>
      <c r="H2536" s="313"/>
      <c r="I2536" s="313"/>
      <c r="J2536" s="315">
        <f>+ROUND(J2535*D2536/100,4)</f>
        <v>0</v>
      </c>
    </row>
    <row r="2537" spans="1:10" s="300" customFormat="1" ht="14.4" thickBot="1" x14ac:dyDescent="0.3">
      <c r="A2537" s="303"/>
      <c r="B2537" s="310" t="s">
        <v>516</v>
      </c>
      <c r="C2537" s="334"/>
      <c r="D2537" s="312"/>
      <c r="E2537" s="313"/>
      <c r="F2537" s="313"/>
      <c r="G2537" s="313"/>
      <c r="H2537" s="313"/>
      <c r="I2537" s="313"/>
      <c r="J2537" s="347">
        <f>+ROUND(J2535+J2536,2)</f>
        <v>319.5</v>
      </c>
    </row>
    <row r="2538" spans="1:10" s="300" customFormat="1" x14ac:dyDescent="0.25">
      <c r="A2538" s="303"/>
      <c r="B2538" s="304"/>
      <c r="C2538" s="305"/>
      <c r="D2538" s="348"/>
      <c r="E2538" s="308"/>
      <c r="F2538" s="308"/>
      <c r="G2538" s="308"/>
      <c r="H2538" s="308"/>
      <c r="I2538" s="308"/>
      <c r="J2538" s="309"/>
    </row>
    <row r="2539" spans="1:10" s="300" customFormat="1" x14ac:dyDescent="0.25">
      <c r="A2539" s="303"/>
      <c r="B2539" s="316"/>
      <c r="C2539" s="303"/>
      <c r="D2539" s="318"/>
      <c r="E2539" s="319"/>
      <c r="F2539" s="319"/>
      <c r="G2539" s="319"/>
      <c r="H2539" s="319"/>
      <c r="I2539" s="319"/>
      <c r="J2539" s="349"/>
    </row>
    <row r="2540" spans="1:10" s="300" customFormat="1" x14ac:dyDescent="0.25">
      <c r="A2540" s="303"/>
      <c r="B2540" s="316"/>
      <c r="C2540" s="303"/>
      <c r="D2540" s="318"/>
      <c r="E2540" s="319"/>
      <c r="F2540" s="319"/>
      <c r="G2540" s="319"/>
      <c r="H2540" s="319"/>
      <c r="I2540" s="319"/>
      <c r="J2540" s="349"/>
    </row>
    <row r="2541" spans="1:10" s="300" customFormat="1" ht="14.4" thickBot="1" x14ac:dyDescent="0.3">
      <c r="A2541" s="303"/>
      <c r="B2541" s="350"/>
      <c r="C2541" s="303"/>
      <c r="D2541" s="318"/>
      <c r="E2541" s="319"/>
      <c r="F2541" s="319"/>
      <c r="G2541" s="319"/>
      <c r="H2541" s="319"/>
      <c r="I2541" s="319"/>
      <c r="J2541" s="351"/>
    </row>
    <row r="2542" spans="1:10" x14ac:dyDescent="0.25">
      <c r="A2542" s="303"/>
      <c r="B2542" s="305"/>
      <c r="C2542" s="305"/>
      <c r="D2542" s="348"/>
      <c r="E2542" s="308"/>
      <c r="F2542" s="308"/>
      <c r="G2542" s="308"/>
      <c r="H2542" s="308"/>
      <c r="I2542" s="308"/>
      <c r="J2542" s="352"/>
    </row>
    <row r="2543" spans="1:10" ht="14.4" thickBot="1" x14ac:dyDescent="0.3">
      <c r="A2543" s="303"/>
      <c r="B2543" s="303"/>
      <c r="C2543" s="303"/>
      <c r="D2543" s="318"/>
      <c r="E2543" s="319"/>
      <c r="F2543" s="319"/>
      <c r="G2543" s="319"/>
      <c r="H2543" s="319"/>
      <c r="I2543" s="319"/>
      <c r="J2543" s="353"/>
    </row>
    <row r="2544" spans="1:10" x14ac:dyDescent="0.25">
      <c r="A2544" s="303"/>
      <c r="B2544" s="304"/>
      <c r="C2544" s="305"/>
      <c r="D2544" s="306" t="s">
        <v>463</v>
      </c>
      <c r="E2544" s="307"/>
      <c r="F2544" s="307"/>
      <c r="G2544" s="308"/>
      <c r="H2544" s="308"/>
      <c r="I2544" s="308"/>
      <c r="J2544" s="309"/>
    </row>
    <row r="2545" spans="1:10" x14ac:dyDescent="0.25">
      <c r="A2545" s="303"/>
      <c r="B2545" s="310" t="s">
        <v>464</v>
      </c>
      <c r="C2545" s="311" t="s">
        <v>134</v>
      </c>
      <c r="D2545" s="312"/>
      <c r="E2545" s="313"/>
      <c r="F2545" s="313"/>
      <c r="G2545" s="313"/>
      <c r="H2545" s="314"/>
      <c r="I2545" s="313"/>
      <c r="J2545" s="315" t="s">
        <v>465</v>
      </c>
    </row>
    <row r="2546" spans="1:10" x14ac:dyDescent="0.25">
      <c r="A2546" s="303"/>
      <c r="B2546" s="316">
        <v>4915686</v>
      </c>
      <c r="C2546" s="317" t="s">
        <v>838</v>
      </c>
      <c r="D2546" s="318"/>
      <c r="E2546" s="319"/>
      <c r="F2546" s="319"/>
      <c r="G2546" s="319"/>
      <c r="H2546" s="320"/>
      <c r="I2546" s="319"/>
      <c r="J2546" s="321" t="s">
        <v>372</v>
      </c>
    </row>
    <row r="2547" spans="1:10" x14ac:dyDescent="0.25">
      <c r="A2547" s="303"/>
      <c r="B2547" s="310"/>
      <c r="C2547" s="311"/>
      <c r="D2547" s="312"/>
      <c r="E2547" s="314"/>
      <c r="F2547" s="314" t="s">
        <v>466</v>
      </c>
      <c r="G2547" s="314"/>
      <c r="H2547" s="314" t="s">
        <v>467</v>
      </c>
      <c r="I2547" s="314"/>
      <c r="J2547" s="322" t="s">
        <v>468</v>
      </c>
    </row>
    <row r="2548" spans="1:10" x14ac:dyDescent="0.25">
      <c r="A2548" s="303"/>
      <c r="B2548" s="316" t="s">
        <v>464</v>
      </c>
      <c r="C2548" s="317" t="s">
        <v>469</v>
      </c>
      <c r="D2548" s="318"/>
      <c r="E2548" s="323" t="s">
        <v>355</v>
      </c>
      <c r="F2548" s="324" t="s">
        <v>470</v>
      </c>
      <c r="G2548" s="324" t="s">
        <v>471</v>
      </c>
      <c r="H2548" s="324" t="s">
        <v>472</v>
      </c>
      <c r="I2548" s="325" t="s">
        <v>473</v>
      </c>
      <c r="J2548" s="326" t="s">
        <v>474</v>
      </c>
    </row>
    <row r="2549" spans="1:10" x14ac:dyDescent="0.25">
      <c r="A2549" s="303"/>
      <c r="B2549" s="327" t="s">
        <v>854</v>
      </c>
      <c r="C2549" s="311" t="s">
        <v>991</v>
      </c>
      <c r="D2549" s="312"/>
      <c r="E2549" s="328">
        <v>1</v>
      </c>
      <c r="F2549" s="328">
        <v>1</v>
      </c>
      <c r="G2549" s="328">
        <v>0</v>
      </c>
      <c r="H2549" s="329">
        <v>30.788900000000002</v>
      </c>
      <c r="I2549" s="329">
        <v>20.750499999999999</v>
      </c>
      <c r="J2549" s="315">
        <v>30.788900000000002</v>
      </c>
    </row>
    <row r="2550" spans="1:10" x14ac:dyDescent="0.25">
      <c r="A2550" s="303"/>
      <c r="B2550" s="330" t="s">
        <v>587</v>
      </c>
      <c r="C2550" s="317" t="s">
        <v>588</v>
      </c>
      <c r="D2550" s="318"/>
      <c r="E2550" s="331">
        <v>1</v>
      </c>
      <c r="F2550" s="331">
        <v>0.03</v>
      </c>
      <c r="G2550" s="331">
        <v>0.97</v>
      </c>
      <c r="H2550" s="332">
        <v>195.91970000000001</v>
      </c>
      <c r="I2550" s="332">
        <v>58.848399999999998</v>
      </c>
      <c r="J2550" s="321">
        <v>62.960500000000003</v>
      </c>
    </row>
    <row r="2551" spans="1:10" x14ac:dyDescent="0.25">
      <c r="A2551" s="303"/>
      <c r="B2551" s="333" t="s">
        <v>346</v>
      </c>
      <c r="C2551" s="317"/>
      <c r="D2551" s="318"/>
      <c r="E2551" s="331"/>
      <c r="F2551" s="331"/>
      <c r="G2551" s="331"/>
      <c r="H2551" s="332"/>
      <c r="I2551" s="332"/>
      <c r="J2551" s="321"/>
    </row>
    <row r="2552" spans="1:10" x14ac:dyDescent="0.25">
      <c r="A2552" s="303"/>
      <c r="B2552" s="333" t="s">
        <v>346</v>
      </c>
      <c r="C2552" s="317"/>
      <c r="D2552" s="318"/>
      <c r="E2552" s="331"/>
      <c r="F2552" s="331"/>
      <c r="G2552" s="331"/>
      <c r="H2552" s="332"/>
      <c r="I2552" s="332"/>
      <c r="J2552" s="321"/>
    </row>
    <row r="2553" spans="1:10" x14ac:dyDescent="0.25">
      <c r="A2553" s="303"/>
      <c r="B2553" s="333" t="s">
        <v>346</v>
      </c>
      <c r="C2553" s="317"/>
      <c r="D2553" s="318"/>
      <c r="E2553" s="331"/>
      <c r="F2553" s="331"/>
      <c r="G2553" s="331"/>
      <c r="H2553" s="332"/>
      <c r="I2553" s="332"/>
      <c r="J2553" s="321"/>
    </row>
    <row r="2554" spans="1:10" x14ac:dyDescent="0.25">
      <c r="A2554" s="303"/>
      <c r="B2554" s="333" t="s">
        <v>346</v>
      </c>
      <c r="C2554" s="317"/>
      <c r="D2554" s="318"/>
      <c r="E2554" s="331"/>
      <c r="F2554" s="331"/>
      <c r="G2554" s="331"/>
      <c r="H2554" s="332"/>
      <c r="I2554" s="332"/>
      <c r="J2554" s="321"/>
    </row>
    <row r="2555" spans="1:10" x14ac:dyDescent="0.25">
      <c r="A2555" s="303"/>
      <c r="B2555" s="333" t="s">
        <v>346</v>
      </c>
      <c r="C2555" s="317"/>
      <c r="D2555" s="318"/>
      <c r="E2555" s="331"/>
      <c r="F2555" s="331"/>
      <c r="G2555" s="331"/>
      <c r="H2555" s="332"/>
      <c r="I2555" s="332"/>
      <c r="J2555" s="321"/>
    </row>
    <row r="2556" spans="1:10" x14ac:dyDescent="0.25">
      <c r="A2556" s="303"/>
      <c r="B2556" s="310"/>
      <c r="C2556" s="334"/>
      <c r="D2556" s="312"/>
      <c r="E2556" s="313"/>
      <c r="F2556" s="313"/>
      <c r="G2556" s="313"/>
      <c r="H2556" s="313"/>
      <c r="I2556" s="335" t="s">
        <v>479</v>
      </c>
      <c r="J2556" s="315">
        <v>93.749400000000009</v>
      </c>
    </row>
    <row r="2557" spans="1:10" x14ac:dyDescent="0.25">
      <c r="A2557" s="303"/>
      <c r="B2557" s="310" t="s">
        <v>464</v>
      </c>
      <c r="C2557" s="311" t="s">
        <v>480</v>
      </c>
      <c r="D2557" s="312"/>
      <c r="E2557" s="313"/>
      <c r="F2557" s="313"/>
      <c r="G2557" s="313"/>
      <c r="H2557" s="324" t="s">
        <v>355</v>
      </c>
      <c r="I2557" s="336" t="s">
        <v>481</v>
      </c>
      <c r="J2557" s="322" t="s">
        <v>331</v>
      </c>
    </row>
    <row r="2558" spans="1:10" x14ac:dyDescent="0.25">
      <c r="A2558" s="303"/>
      <c r="B2558" s="337" t="s">
        <v>482</v>
      </c>
      <c r="C2558" s="311" t="s">
        <v>483</v>
      </c>
      <c r="D2558" s="312"/>
      <c r="E2558" s="313"/>
      <c r="F2558" s="313"/>
      <c r="G2558" s="313"/>
      <c r="H2558" s="314">
        <v>1</v>
      </c>
      <c r="I2558" s="329">
        <v>17.768000000000001</v>
      </c>
      <c r="J2558" s="315">
        <v>17.768000000000001</v>
      </c>
    </row>
    <row r="2559" spans="1:10" x14ac:dyDescent="0.25">
      <c r="A2559" s="303"/>
      <c r="B2559" s="333" t="s">
        <v>346</v>
      </c>
      <c r="C2559" s="317"/>
      <c r="D2559" s="318"/>
      <c r="E2559" s="319"/>
      <c r="F2559" s="319"/>
      <c r="G2559" s="319"/>
      <c r="H2559" s="320"/>
      <c r="I2559" s="332"/>
      <c r="J2559" s="321"/>
    </row>
    <row r="2560" spans="1:10" x14ac:dyDescent="0.25">
      <c r="A2560" s="303"/>
      <c r="B2560" s="333" t="s">
        <v>346</v>
      </c>
      <c r="C2560" s="317"/>
      <c r="D2560" s="318"/>
      <c r="E2560" s="319"/>
      <c r="F2560" s="319"/>
      <c r="G2560" s="319"/>
      <c r="H2560" s="320"/>
      <c r="I2560" s="332"/>
      <c r="J2560" s="321"/>
    </row>
    <row r="2561" spans="1:10" x14ac:dyDescent="0.25">
      <c r="A2561" s="303"/>
      <c r="B2561" s="333" t="s">
        <v>346</v>
      </c>
      <c r="C2561" s="317"/>
      <c r="D2561" s="318"/>
      <c r="E2561" s="319"/>
      <c r="F2561" s="319"/>
      <c r="G2561" s="319"/>
      <c r="H2561" s="320"/>
      <c r="I2561" s="332"/>
      <c r="J2561" s="321"/>
    </row>
    <row r="2562" spans="1:10" x14ac:dyDescent="0.25">
      <c r="A2562" s="303"/>
      <c r="B2562" s="333" t="s">
        <v>346</v>
      </c>
      <c r="C2562" s="317"/>
      <c r="D2562" s="318"/>
      <c r="E2562" s="319"/>
      <c r="F2562" s="319"/>
      <c r="G2562" s="319"/>
      <c r="H2562" s="320"/>
      <c r="I2562" s="332"/>
      <c r="J2562" s="321"/>
    </row>
    <row r="2563" spans="1:10" x14ac:dyDescent="0.25">
      <c r="A2563" s="303"/>
      <c r="B2563" s="333" t="s">
        <v>346</v>
      </c>
      <c r="C2563" s="317"/>
      <c r="D2563" s="318"/>
      <c r="E2563" s="319"/>
      <c r="F2563" s="319"/>
      <c r="G2563" s="319"/>
      <c r="H2563" s="320"/>
      <c r="I2563" s="332"/>
      <c r="J2563" s="321"/>
    </row>
    <row r="2564" spans="1:10" x14ac:dyDescent="0.25">
      <c r="A2564" s="303"/>
      <c r="B2564" s="333" t="s">
        <v>346</v>
      </c>
      <c r="C2564" s="317"/>
      <c r="D2564" s="318"/>
      <c r="E2564" s="319"/>
      <c r="F2564" s="319"/>
      <c r="G2564" s="319"/>
      <c r="H2564" s="320"/>
      <c r="I2564" s="332"/>
      <c r="J2564" s="321"/>
    </row>
    <row r="2565" spans="1:10" x14ac:dyDescent="0.25">
      <c r="A2565" s="303"/>
      <c r="B2565" s="310"/>
      <c r="C2565" s="334"/>
      <c r="D2565" s="312"/>
      <c r="E2565" s="313"/>
      <c r="F2565" s="313"/>
      <c r="G2565" s="313"/>
      <c r="H2565" s="313"/>
      <c r="I2565" s="338" t="s">
        <v>484</v>
      </c>
      <c r="J2565" s="315">
        <v>17.768000000000001</v>
      </c>
    </row>
    <row r="2566" spans="1:10" x14ac:dyDescent="0.25">
      <c r="A2566" s="303"/>
      <c r="B2566" s="339"/>
      <c r="C2566" s="334"/>
      <c r="D2566" s="312"/>
      <c r="E2566" s="313"/>
      <c r="F2566" s="313"/>
      <c r="G2566" s="313"/>
      <c r="H2566" s="313"/>
      <c r="I2566" s="338" t="s">
        <v>485</v>
      </c>
      <c r="J2566" s="340">
        <v>111.51740000000001</v>
      </c>
    </row>
    <row r="2567" spans="1:10" x14ac:dyDescent="0.25">
      <c r="A2567" s="303"/>
      <c r="B2567" s="339"/>
      <c r="C2567" s="341" t="s">
        <v>486</v>
      </c>
      <c r="D2567" s="312">
        <v>22.51</v>
      </c>
      <c r="E2567" s="313"/>
      <c r="F2567" s="313"/>
      <c r="G2567" s="313"/>
      <c r="H2567" s="313"/>
      <c r="I2567" s="338" t="s">
        <v>487</v>
      </c>
      <c r="J2567" s="340">
        <v>4.9541000000000004</v>
      </c>
    </row>
    <row r="2568" spans="1:10" x14ac:dyDescent="0.25">
      <c r="A2568" s="303"/>
      <c r="B2568" s="310"/>
      <c r="C2568" s="334"/>
      <c r="D2568" s="312"/>
      <c r="E2568" s="313"/>
      <c r="F2568" s="313"/>
      <c r="G2568" s="313"/>
      <c r="H2568" s="338" t="s">
        <v>488</v>
      </c>
      <c r="I2568" s="342">
        <v>0</v>
      </c>
      <c r="J2568" s="315">
        <v>0</v>
      </c>
    </row>
    <row r="2569" spans="1:10" x14ac:dyDescent="0.25">
      <c r="A2569" s="303"/>
      <c r="B2569" s="310"/>
      <c r="C2569" s="334"/>
      <c r="D2569" s="312"/>
      <c r="E2569" s="313"/>
      <c r="F2569" s="313"/>
      <c r="G2569" s="313"/>
      <c r="H2569" s="335" t="s">
        <v>489</v>
      </c>
      <c r="I2569" s="343">
        <v>0</v>
      </c>
      <c r="J2569" s="315">
        <v>0</v>
      </c>
    </row>
    <row r="2570" spans="1:10" x14ac:dyDescent="0.25">
      <c r="A2570" s="303"/>
      <c r="B2570" s="310" t="s">
        <v>464</v>
      </c>
      <c r="C2570" s="311" t="s">
        <v>490</v>
      </c>
      <c r="D2570" s="312"/>
      <c r="E2570" s="313"/>
      <c r="F2570" s="313"/>
      <c r="G2570" s="314" t="s">
        <v>465</v>
      </c>
      <c r="H2570" s="336" t="s">
        <v>468</v>
      </c>
      <c r="I2570" s="336" t="s">
        <v>491</v>
      </c>
      <c r="J2570" s="322" t="s">
        <v>492</v>
      </c>
    </row>
    <row r="2571" spans="1:10" x14ac:dyDescent="0.25">
      <c r="A2571" s="303"/>
      <c r="B2571" s="337" t="s">
        <v>346</v>
      </c>
      <c r="C2571" s="311"/>
      <c r="D2571" s="312"/>
      <c r="E2571" s="313"/>
      <c r="F2571" s="313"/>
      <c r="G2571" s="314"/>
      <c r="H2571" s="329"/>
      <c r="I2571" s="329"/>
      <c r="J2571" s="315"/>
    </row>
    <row r="2572" spans="1:10" x14ac:dyDescent="0.25">
      <c r="A2572" s="303"/>
      <c r="B2572" s="333" t="s">
        <v>346</v>
      </c>
      <c r="C2572" s="317"/>
      <c r="D2572" s="318"/>
      <c r="E2572" s="319"/>
      <c r="F2572" s="319"/>
      <c r="G2572" s="320"/>
      <c r="H2572" s="332"/>
      <c r="I2572" s="332"/>
      <c r="J2572" s="321"/>
    </row>
    <row r="2573" spans="1:10" x14ac:dyDescent="0.25">
      <c r="A2573" s="303"/>
      <c r="B2573" s="333" t="s">
        <v>346</v>
      </c>
      <c r="C2573" s="317"/>
      <c r="D2573" s="318"/>
      <c r="E2573" s="319"/>
      <c r="F2573" s="319"/>
      <c r="G2573" s="320"/>
      <c r="H2573" s="332"/>
      <c r="I2573" s="332"/>
      <c r="J2573" s="321"/>
    </row>
    <row r="2574" spans="1:10" x14ac:dyDescent="0.25">
      <c r="A2574" s="303"/>
      <c r="B2574" s="333" t="s">
        <v>346</v>
      </c>
      <c r="C2574" s="317"/>
      <c r="D2574" s="318"/>
      <c r="E2574" s="319"/>
      <c r="F2574" s="319"/>
      <c r="G2574" s="320"/>
      <c r="H2574" s="332"/>
      <c r="I2574" s="332"/>
      <c r="J2574" s="321"/>
    </row>
    <row r="2575" spans="1:10" x14ac:dyDescent="0.25">
      <c r="A2575" s="303"/>
      <c r="B2575" s="333" t="s">
        <v>346</v>
      </c>
      <c r="C2575" s="317"/>
      <c r="D2575" s="318"/>
      <c r="E2575" s="319"/>
      <c r="F2575" s="319"/>
      <c r="G2575" s="320"/>
      <c r="H2575" s="332"/>
      <c r="I2575" s="332"/>
      <c r="J2575" s="321"/>
    </row>
    <row r="2576" spans="1:10" x14ac:dyDescent="0.25">
      <c r="A2576" s="303"/>
      <c r="B2576" s="333" t="s">
        <v>346</v>
      </c>
      <c r="C2576" s="317"/>
      <c r="D2576" s="318"/>
      <c r="E2576" s="319"/>
      <c r="F2576" s="319"/>
      <c r="G2576" s="320"/>
      <c r="H2576" s="332"/>
      <c r="I2576" s="332"/>
      <c r="J2576" s="321"/>
    </row>
    <row r="2577" spans="1:10" x14ac:dyDescent="0.25">
      <c r="A2577" s="303"/>
      <c r="B2577" s="333" t="s">
        <v>346</v>
      </c>
      <c r="C2577" s="317"/>
      <c r="D2577" s="318"/>
      <c r="E2577" s="319"/>
      <c r="F2577" s="319"/>
      <c r="G2577" s="320"/>
      <c r="H2577" s="332"/>
      <c r="I2577" s="332"/>
      <c r="J2577" s="321"/>
    </row>
    <row r="2578" spans="1:10" x14ac:dyDescent="0.25">
      <c r="A2578" s="303"/>
      <c r="B2578" s="310"/>
      <c r="C2578" s="334"/>
      <c r="D2578" s="312"/>
      <c r="E2578" s="313"/>
      <c r="F2578" s="313"/>
      <c r="G2578" s="313"/>
      <c r="H2578" s="343"/>
      <c r="I2578" s="335" t="s">
        <v>498</v>
      </c>
      <c r="J2578" s="315">
        <v>0</v>
      </c>
    </row>
    <row r="2579" spans="1:10" x14ac:dyDescent="0.25">
      <c r="A2579" s="303"/>
      <c r="B2579" s="310" t="s">
        <v>464</v>
      </c>
      <c r="C2579" s="311" t="s">
        <v>499</v>
      </c>
      <c r="D2579" s="312"/>
      <c r="E2579" s="313"/>
      <c r="F2579" s="313"/>
      <c r="G2579" s="314" t="s">
        <v>465</v>
      </c>
      <c r="H2579" s="336" t="s">
        <v>468</v>
      </c>
      <c r="I2579" s="336" t="s">
        <v>491</v>
      </c>
      <c r="J2579" s="322" t="s">
        <v>492</v>
      </c>
    </row>
    <row r="2580" spans="1:10" x14ac:dyDescent="0.25">
      <c r="A2580" s="303"/>
      <c r="B2580" s="337"/>
      <c r="C2580" s="311"/>
      <c r="D2580" s="312"/>
      <c r="E2580" s="313"/>
      <c r="F2580" s="313"/>
      <c r="G2580" s="314"/>
      <c r="H2580" s="329"/>
      <c r="I2580" s="329"/>
      <c r="J2580" s="315"/>
    </row>
    <row r="2581" spans="1:10" x14ac:dyDescent="0.25">
      <c r="A2581" s="303"/>
      <c r="B2581" s="333"/>
      <c r="C2581" s="317"/>
      <c r="D2581" s="318"/>
      <c r="E2581" s="319"/>
      <c r="F2581" s="319"/>
      <c r="G2581" s="320"/>
      <c r="H2581" s="332"/>
      <c r="I2581" s="332"/>
      <c r="J2581" s="321"/>
    </row>
    <row r="2582" spans="1:10" x14ac:dyDescent="0.25">
      <c r="A2582" s="303"/>
      <c r="B2582" s="333"/>
      <c r="C2582" s="317"/>
      <c r="D2582" s="318"/>
      <c r="E2582" s="319"/>
      <c r="F2582" s="319"/>
      <c r="G2582" s="320"/>
      <c r="H2582" s="332"/>
      <c r="I2582" s="332"/>
      <c r="J2582" s="321"/>
    </row>
    <row r="2583" spans="1:10" x14ac:dyDescent="0.25">
      <c r="A2583" s="303"/>
      <c r="B2583" s="333"/>
      <c r="C2583" s="317"/>
      <c r="D2583" s="318"/>
      <c r="E2583" s="319"/>
      <c r="F2583" s="319"/>
      <c r="G2583" s="320"/>
      <c r="H2583" s="332"/>
      <c r="I2583" s="332"/>
      <c r="J2583" s="321"/>
    </row>
    <row r="2584" spans="1:10" x14ac:dyDescent="0.25">
      <c r="A2584" s="303"/>
      <c r="B2584" s="333"/>
      <c r="C2584" s="317"/>
      <c r="D2584" s="318"/>
      <c r="E2584" s="319"/>
      <c r="F2584" s="319"/>
      <c r="G2584" s="320"/>
      <c r="H2584" s="332"/>
      <c r="I2584" s="332"/>
      <c r="J2584" s="321"/>
    </row>
    <row r="2585" spans="1:10" x14ac:dyDescent="0.25">
      <c r="A2585" s="303"/>
      <c r="B2585" s="310"/>
      <c r="C2585" s="334"/>
      <c r="D2585" s="312"/>
      <c r="E2585" s="313"/>
      <c r="F2585" s="313"/>
      <c r="G2585" s="313"/>
      <c r="H2585" s="343"/>
      <c r="I2585" s="335" t="s">
        <v>501</v>
      </c>
      <c r="J2585" s="315">
        <v>0</v>
      </c>
    </row>
    <row r="2586" spans="1:10" x14ac:dyDescent="0.25">
      <c r="A2586" s="303"/>
      <c r="B2586" s="310" t="s">
        <v>464</v>
      </c>
      <c r="C2586" s="311" t="s">
        <v>502</v>
      </c>
      <c r="D2586" s="312"/>
      <c r="E2586" s="313"/>
      <c r="F2586" s="314" t="s">
        <v>464</v>
      </c>
      <c r="G2586" s="324" t="s">
        <v>503</v>
      </c>
      <c r="H2586" s="329" t="s">
        <v>465</v>
      </c>
      <c r="I2586" s="336" t="s">
        <v>468</v>
      </c>
      <c r="J2586" s="322" t="s">
        <v>492</v>
      </c>
    </row>
    <row r="2587" spans="1:10" x14ac:dyDescent="0.25">
      <c r="A2587" s="303"/>
      <c r="B2587" s="337" t="s">
        <v>346</v>
      </c>
      <c r="C2587" s="311"/>
      <c r="D2587" s="312"/>
      <c r="E2587" s="313"/>
      <c r="F2587" s="314"/>
      <c r="G2587" s="314"/>
      <c r="H2587" s="329"/>
      <c r="I2587" s="329"/>
      <c r="J2587" s="315"/>
    </row>
    <row r="2588" spans="1:10" x14ac:dyDescent="0.25">
      <c r="A2588" s="303"/>
      <c r="B2588" s="333" t="s">
        <v>346</v>
      </c>
      <c r="C2588" s="317"/>
      <c r="D2588" s="318"/>
      <c r="E2588" s="319"/>
      <c r="F2588" s="320"/>
      <c r="G2588" s="320"/>
      <c r="H2588" s="332"/>
      <c r="I2588" s="332"/>
      <c r="J2588" s="321"/>
    </row>
    <row r="2589" spans="1:10" x14ac:dyDescent="0.25">
      <c r="A2589" s="303"/>
      <c r="B2589" s="333" t="s">
        <v>346</v>
      </c>
      <c r="C2589" s="317"/>
      <c r="D2589" s="318"/>
      <c r="E2589" s="319"/>
      <c r="F2589" s="320"/>
      <c r="G2589" s="320"/>
      <c r="H2589" s="332"/>
      <c r="I2589" s="332"/>
      <c r="J2589" s="321"/>
    </row>
    <row r="2590" spans="1:10" x14ac:dyDescent="0.25">
      <c r="A2590" s="303"/>
      <c r="B2590" s="333" t="s">
        <v>346</v>
      </c>
      <c r="C2590" s="317"/>
      <c r="D2590" s="318"/>
      <c r="E2590" s="319"/>
      <c r="F2590" s="320"/>
      <c r="G2590" s="320"/>
      <c r="H2590" s="332"/>
      <c r="I2590" s="332"/>
      <c r="J2590" s="321"/>
    </row>
    <row r="2591" spans="1:10" x14ac:dyDescent="0.25">
      <c r="A2591" s="303"/>
      <c r="B2591" s="333" t="s">
        <v>346</v>
      </c>
      <c r="C2591" s="317"/>
      <c r="D2591" s="318"/>
      <c r="E2591" s="319"/>
      <c r="F2591" s="320"/>
      <c r="G2591" s="320"/>
      <c r="H2591" s="332"/>
      <c r="I2591" s="332"/>
      <c r="J2591" s="321"/>
    </row>
    <row r="2592" spans="1:10" x14ac:dyDescent="0.25">
      <c r="A2592" s="303"/>
      <c r="B2592" s="310"/>
      <c r="C2592" s="334"/>
      <c r="D2592" s="312"/>
      <c r="E2592" s="313"/>
      <c r="F2592" s="313"/>
      <c r="G2592" s="313"/>
      <c r="H2592" s="343"/>
      <c r="I2592" s="338" t="s">
        <v>507</v>
      </c>
      <c r="J2592" s="315">
        <v>0</v>
      </c>
    </row>
    <row r="2593" spans="1:10" x14ac:dyDescent="0.25">
      <c r="A2593" s="303"/>
      <c r="B2593" s="310" t="s">
        <v>464</v>
      </c>
      <c r="C2593" s="311" t="s">
        <v>508</v>
      </c>
      <c r="D2593" s="345" t="s">
        <v>509</v>
      </c>
      <c r="E2593" s="324" t="s">
        <v>873</v>
      </c>
      <c r="F2593" s="324" t="s">
        <v>874</v>
      </c>
      <c r="G2593" s="324" t="s">
        <v>875</v>
      </c>
      <c r="H2593" s="336" t="s">
        <v>468</v>
      </c>
      <c r="I2593" s="324" t="s">
        <v>491</v>
      </c>
      <c r="J2593" s="322" t="s">
        <v>492</v>
      </c>
    </row>
    <row r="2594" spans="1:10" x14ac:dyDescent="0.25">
      <c r="A2594" s="303"/>
      <c r="B2594" s="337" t="s">
        <v>346</v>
      </c>
      <c r="C2594" s="311"/>
      <c r="D2594" s="345"/>
      <c r="E2594" s="314"/>
      <c r="F2594" s="314"/>
      <c r="G2594" s="314"/>
      <c r="H2594" s="329"/>
      <c r="I2594" s="314"/>
      <c r="J2594" s="315"/>
    </row>
    <row r="2595" spans="1:10" x14ac:dyDescent="0.25">
      <c r="A2595" s="303"/>
      <c r="B2595" s="333" t="s">
        <v>346</v>
      </c>
      <c r="C2595" s="317"/>
      <c r="D2595" s="346"/>
      <c r="E2595" s="320"/>
      <c r="F2595" s="320"/>
      <c r="G2595" s="320"/>
      <c r="H2595" s="332"/>
      <c r="I2595" s="320"/>
      <c r="J2595" s="321"/>
    </row>
    <row r="2596" spans="1:10" x14ac:dyDescent="0.25">
      <c r="A2596" s="303"/>
      <c r="B2596" s="333" t="s">
        <v>346</v>
      </c>
      <c r="C2596" s="317"/>
      <c r="D2596" s="346"/>
      <c r="E2596" s="320"/>
      <c r="F2596" s="320"/>
      <c r="G2596" s="320"/>
      <c r="H2596" s="332"/>
      <c r="I2596" s="320"/>
      <c r="J2596" s="321"/>
    </row>
    <row r="2597" spans="1:10" x14ac:dyDescent="0.25">
      <c r="A2597" s="303"/>
      <c r="B2597" s="333" t="s">
        <v>346</v>
      </c>
      <c r="C2597" s="317"/>
      <c r="D2597" s="346"/>
      <c r="E2597" s="320"/>
      <c r="F2597" s="320"/>
      <c r="G2597" s="320"/>
      <c r="H2597" s="332"/>
      <c r="I2597" s="320"/>
      <c r="J2597" s="321"/>
    </row>
    <row r="2598" spans="1:10" x14ac:dyDescent="0.25">
      <c r="A2598" s="303"/>
      <c r="B2598" s="333" t="s">
        <v>346</v>
      </c>
      <c r="C2598" s="317"/>
      <c r="D2598" s="346"/>
      <c r="E2598" s="320"/>
      <c r="F2598" s="320"/>
      <c r="G2598" s="320"/>
      <c r="H2598" s="332"/>
      <c r="I2598" s="320"/>
      <c r="J2598" s="321"/>
    </row>
    <row r="2599" spans="1:10" x14ac:dyDescent="0.25">
      <c r="A2599" s="303"/>
      <c r="B2599" s="333" t="s">
        <v>346</v>
      </c>
      <c r="C2599" s="317"/>
      <c r="D2599" s="346"/>
      <c r="E2599" s="320"/>
      <c r="F2599" s="320"/>
      <c r="G2599" s="320"/>
      <c r="H2599" s="332"/>
      <c r="I2599" s="320"/>
      <c r="J2599" s="321"/>
    </row>
    <row r="2600" spans="1:10" x14ac:dyDescent="0.25">
      <c r="A2600" s="303"/>
      <c r="B2600" s="333" t="s">
        <v>346</v>
      </c>
      <c r="C2600" s="317"/>
      <c r="D2600" s="346"/>
      <c r="E2600" s="320"/>
      <c r="F2600" s="320"/>
      <c r="G2600" s="320"/>
      <c r="H2600" s="332"/>
      <c r="I2600" s="320"/>
      <c r="J2600" s="321"/>
    </row>
    <row r="2601" spans="1:10" x14ac:dyDescent="0.25">
      <c r="A2601" s="303"/>
      <c r="B2601" s="310"/>
      <c r="C2601" s="334"/>
      <c r="D2601" s="312"/>
      <c r="E2601" s="313"/>
      <c r="F2601" s="313"/>
      <c r="G2601" s="313"/>
      <c r="H2601" s="313"/>
      <c r="I2601" s="338" t="s">
        <v>513</v>
      </c>
      <c r="J2601" s="315">
        <v>0</v>
      </c>
    </row>
    <row r="2602" spans="1:10" x14ac:dyDescent="0.25">
      <c r="A2602" s="303"/>
      <c r="B2602" s="310" t="s">
        <v>514</v>
      </c>
      <c r="C2602" s="334"/>
      <c r="D2602" s="312"/>
      <c r="E2602" s="313"/>
      <c r="F2602" s="313"/>
      <c r="G2602" s="313"/>
      <c r="H2602" s="313"/>
      <c r="I2602" s="313"/>
      <c r="J2602" s="315">
        <v>4.9541000000000004</v>
      </c>
    </row>
    <row r="2603" spans="1:10" x14ac:dyDescent="0.25">
      <c r="A2603" s="303"/>
      <c r="B2603" s="310" t="s">
        <v>515</v>
      </c>
      <c r="C2603" s="334"/>
      <c r="D2603" s="312">
        <v>0</v>
      </c>
      <c r="E2603" s="313"/>
      <c r="F2603" s="313"/>
      <c r="G2603" s="313"/>
      <c r="H2603" s="313"/>
      <c r="I2603" s="313"/>
      <c r="J2603" s="315">
        <v>0</v>
      </c>
    </row>
    <row r="2604" spans="1:10" ht="14.4" thickBot="1" x14ac:dyDescent="0.3">
      <c r="A2604" s="303"/>
      <c r="B2604" s="310" t="s">
        <v>516</v>
      </c>
      <c r="C2604" s="334"/>
      <c r="D2604" s="312"/>
      <c r="E2604" s="313"/>
      <c r="F2604" s="313"/>
      <c r="G2604" s="313"/>
      <c r="H2604" s="313"/>
      <c r="I2604" s="313"/>
      <c r="J2604" s="347">
        <v>4.95</v>
      </c>
    </row>
    <row r="2605" spans="1:10" x14ac:dyDescent="0.25">
      <c r="A2605" s="303"/>
      <c r="B2605" s="304"/>
      <c r="C2605" s="305"/>
      <c r="D2605" s="348"/>
      <c r="E2605" s="308"/>
      <c r="F2605" s="308"/>
      <c r="G2605" s="308"/>
      <c r="H2605" s="308"/>
      <c r="I2605" s="308"/>
      <c r="J2605" s="309"/>
    </row>
    <row r="2606" spans="1:10" x14ac:dyDescent="0.25">
      <c r="A2606" s="303"/>
      <c r="B2606" s="316"/>
      <c r="C2606" s="303"/>
      <c r="D2606" s="318"/>
      <c r="E2606" s="319"/>
      <c r="F2606" s="319"/>
      <c r="G2606" s="319"/>
      <c r="H2606" s="319"/>
      <c r="I2606" s="319"/>
      <c r="J2606" s="349"/>
    </row>
    <row r="2607" spans="1:10" x14ac:dyDescent="0.25">
      <c r="A2607" s="303"/>
      <c r="B2607" s="316"/>
      <c r="C2607" s="303"/>
      <c r="D2607" s="318"/>
      <c r="E2607" s="319"/>
      <c r="F2607" s="319"/>
      <c r="G2607" s="319"/>
      <c r="H2607" s="319"/>
      <c r="I2607" s="319"/>
      <c r="J2607" s="349"/>
    </row>
    <row r="2608" spans="1:10" ht="14.4" thickBot="1" x14ac:dyDescent="0.3">
      <c r="A2608" s="303"/>
      <c r="B2608" s="350"/>
      <c r="C2608" s="303"/>
      <c r="D2608" s="318"/>
      <c r="E2608" s="319"/>
      <c r="F2608" s="319"/>
      <c r="G2608" s="319"/>
      <c r="H2608" s="319"/>
      <c r="I2608" s="319"/>
      <c r="J2608" s="351"/>
    </row>
    <row r="2609" spans="1:10" x14ac:dyDescent="0.25">
      <c r="A2609" s="303"/>
      <c r="B2609" s="305"/>
      <c r="C2609" s="305"/>
      <c r="D2609" s="348"/>
      <c r="E2609" s="308"/>
      <c r="F2609" s="308"/>
      <c r="G2609" s="308"/>
      <c r="H2609" s="308"/>
      <c r="I2609" s="308"/>
      <c r="J2609" s="352"/>
    </row>
    <row r="2610" spans="1:10" ht="14.4" thickBot="1" x14ac:dyDescent="0.3">
      <c r="A2610" s="303"/>
      <c r="B2610" s="303"/>
      <c r="C2610" s="303"/>
      <c r="D2610" s="318"/>
      <c r="E2610" s="319"/>
      <c r="F2610" s="319"/>
      <c r="G2610" s="319"/>
      <c r="H2610" s="319"/>
      <c r="I2610" s="319"/>
      <c r="J2610" s="353"/>
    </row>
    <row r="2611" spans="1:10" x14ac:dyDescent="0.25">
      <c r="A2611" s="303"/>
      <c r="B2611" s="304"/>
      <c r="C2611" s="305"/>
      <c r="D2611" s="306" t="s">
        <v>463</v>
      </c>
      <c r="E2611" s="307"/>
      <c r="F2611" s="307"/>
      <c r="G2611" s="308"/>
      <c r="H2611" s="308"/>
      <c r="I2611" s="308"/>
      <c r="J2611" s="309"/>
    </row>
    <row r="2612" spans="1:10" x14ac:dyDescent="0.25">
      <c r="A2612" s="303"/>
      <c r="B2612" s="310" t="s">
        <v>464</v>
      </c>
      <c r="C2612" s="311" t="s">
        <v>134</v>
      </c>
      <c r="D2612" s="312"/>
      <c r="E2612" s="313"/>
      <c r="F2612" s="313"/>
      <c r="G2612" s="313"/>
      <c r="H2612" s="314"/>
      <c r="I2612" s="313"/>
      <c r="J2612" s="315" t="s">
        <v>465</v>
      </c>
    </row>
    <row r="2613" spans="1:10" x14ac:dyDescent="0.25">
      <c r="A2613" s="303"/>
      <c r="B2613" s="316">
        <v>4915672</v>
      </c>
      <c r="C2613" s="317" t="s">
        <v>839</v>
      </c>
      <c r="D2613" s="318"/>
      <c r="E2613" s="319"/>
      <c r="F2613" s="319"/>
      <c r="G2613" s="319"/>
      <c r="H2613" s="320"/>
      <c r="I2613" s="319"/>
      <c r="J2613" s="321" t="s">
        <v>433</v>
      </c>
    </row>
    <row r="2614" spans="1:10" x14ac:dyDescent="0.25">
      <c r="A2614" s="303"/>
      <c r="B2614" s="310"/>
      <c r="C2614" s="311"/>
      <c r="D2614" s="312"/>
      <c r="E2614" s="314"/>
      <c r="F2614" s="314" t="s">
        <v>466</v>
      </c>
      <c r="G2614" s="314"/>
      <c r="H2614" s="314" t="s">
        <v>467</v>
      </c>
      <c r="I2614" s="314"/>
      <c r="J2614" s="322" t="s">
        <v>468</v>
      </c>
    </row>
    <row r="2615" spans="1:10" x14ac:dyDescent="0.25">
      <c r="A2615" s="303"/>
      <c r="B2615" s="316" t="s">
        <v>464</v>
      </c>
      <c r="C2615" s="317" t="s">
        <v>469</v>
      </c>
      <c r="D2615" s="318"/>
      <c r="E2615" s="323" t="s">
        <v>355</v>
      </c>
      <c r="F2615" s="324" t="s">
        <v>470</v>
      </c>
      <c r="G2615" s="324" t="s">
        <v>471</v>
      </c>
      <c r="H2615" s="324" t="s">
        <v>472</v>
      </c>
      <c r="I2615" s="325" t="s">
        <v>473</v>
      </c>
      <c r="J2615" s="326" t="s">
        <v>474</v>
      </c>
    </row>
    <row r="2616" spans="1:10" x14ac:dyDescent="0.25">
      <c r="A2616" s="303"/>
      <c r="B2616" s="337" t="s">
        <v>346</v>
      </c>
      <c r="C2616" s="311"/>
      <c r="D2616" s="312"/>
      <c r="E2616" s="328"/>
      <c r="F2616" s="328"/>
      <c r="G2616" s="328"/>
      <c r="H2616" s="329"/>
      <c r="I2616" s="329"/>
      <c r="J2616" s="315"/>
    </row>
    <row r="2617" spans="1:10" x14ac:dyDescent="0.25">
      <c r="A2617" s="303"/>
      <c r="B2617" s="333" t="s">
        <v>346</v>
      </c>
      <c r="C2617" s="317"/>
      <c r="D2617" s="318"/>
      <c r="E2617" s="331"/>
      <c r="F2617" s="331"/>
      <c r="G2617" s="331"/>
      <c r="H2617" s="332"/>
      <c r="I2617" s="332"/>
      <c r="J2617" s="321"/>
    </row>
    <row r="2618" spans="1:10" x14ac:dyDescent="0.25">
      <c r="A2618" s="303"/>
      <c r="B2618" s="333" t="s">
        <v>346</v>
      </c>
      <c r="C2618" s="317"/>
      <c r="D2618" s="318"/>
      <c r="E2618" s="331"/>
      <c r="F2618" s="331"/>
      <c r="G2618" s="331"/>
      <c r="H2618" s="332"/>
      <c r="I2618" s="332"/>
      <c r="J2618" s="321"/>
    </row>
    <row r="2619" spans="1:10" x14ac:dyDescent="0.25">
      <c r="A2619" s="303"/>
      <c r="B2619" s="333" t="s">
        <v>346</v>
      </c>
      <c r="C2619" s="317"/>
      <c r="D2619" s="318"/>
      <c r="E2619" s="331"/>
      <c r="F2619" s="331"/>
      <c r="G2619" s="331"/>
      <c r="H2619" s="332"/>
      <c r="I2619" s="332"/>
      <c r="J2619" s="321"/>
    </row>
    <row r="2620" spans="1:10" x14ac:dyDescent="0.25">
      <c r="A2620" s="303"/>
      <c r="B2620" s="333" t="s">
        <v>346</v>
      </c>
      <c r="C2620" s="317"/>
      <c r="D2620" s="318"/>
      <c r="E2620" s="331"/>
      <c r="F2620" s="331"/>
      <c r="G2620" s="331"/>
      <c r="H2620" s="332"/>
      <c r="I2620" s="332"/>
      <c r="J2620" s="321"/>
    </row>
    <row r="2621" spans="1:10" x14ac:dyDescent="0.25">
      <c r="A2621" s="303"/>
      <c r="B2621" s="333" t="s">
        <v>346</v>
      </c>
      <c r="C2621" s="317"/>
      <c r="D2621" s="318"/>
      <c r="E2621" s="331"/>
      <c r="F2621" s="331"/>
      <c r="G2621" s="331"/>
      <c r="H2621" s="332"/>
      <c r="I2621" s="332"/>
      <c r="J2621" s="321"/>
    </row>
    <row r="2622" spans="1:10" x14ac:dyDescent="0.25">
      <c r="A2622" s="303"/>
      <c r="B2622" s="333" t="s">
        <v>346</v>
      </c>
      <c r="C2622" s="317"/>
      <c r="D2622" s="318"/>
      <c r="E2622" s="331"/>
      <c r="F2622" s="331"/>
      <c r="G2622" s="331"/>
      <c r="H2622" s="332"/>
      <c r="I2622" s="332"/>
      <c r="J2622" s="321"/>
    </row>
    <row r="2623" spans="1:10" x14ac:dyDescent="0.25">
      <c r="A2623" s="303"/>
      <c r="B2623" s="310"/>
      <c r="C2623" s="334"/>
      <c r="D2623" s="312"/>
      <c r="E2623" s="313"/>
      <c r="F2623" s="313"/>
      <c r="G2623" s="313"/>
      <c r="H2623" s="313"/>
      <c r="I2623" s="335" t="s">
        <v>479</v>
      </c>
      <c r="J2623" s="315">
        <v>0</v>
      </c>
    </row>
    <row r="2624" spans="1:10" x14ac:dyDescent="0.25">
      <c r="A2624" s="303"/>
      <c r="B2624" s="310" t="s">
        <v>464</v>
      </c>
      <c r="C2624" s="311" t="s">
        <v>480</v>
      </c>
      <c r="D2624" s="312"/>
      <c r="E2624" s="313"/>
      <c r="F2624" s="313"/>
      <c r="G2624" s="313"/>
      <c r="H2624" s="324" t="s">
        <v>355</v>
      </c>
      <c r="I2624" s="336" t="s">
        <v>481</v>
      </c>
      <c r="J2624" s="322" t="s">
        <v>331</v>
      </c>
    </row>
    <row r="2625" spans="1:10" x14ac:dyDescent="0.25">
      <c r="A2625" s="303"/>
      <c r="B2625" s="337" t="s">
        <v>482</v>
      </c>
      <c r="C2625" s="311" t="s">
        <v>483</v>
      </c>
      <c r="D2625" s="312"/>
      <c r="E2625" s="313"/>
      <c r="F2625" s="313"/>
      <c r="G2625" s="313"/>
      <c r="H2625" s="314">
        <v>1</v>
      </c>
      <c r="I2625" s="329">
        <v>17.768000000000001</v>
      </c>
      <c r="J2625" s="315">
        <v>17.768000000000001</v>
      </c>
    </row>
    <row r="2626" spans="1:10" x14ac:dyDescent="0.25">
      <c r="A2626" s="303"/>
      <c r="B2626" s="333" t="s">
        <v>346</v>
      </c>
      <c r="C2626" s="317"/>
      <c r="D2626" s="318"/>
      <c r="E2626" s="319"/>
      <c r="F2626" s="319"/>
      <c r="G2626" s="319"/>
      <c r="H2626" s="320"/>
      <c r="I2626" s="332"/>
      <c r="J2626" s="321"/>
    </row>
    <row r="2627" spans="1:10" x14ac:dyDescent="0.25">
      <c r="A2627" s="303"/>
      <c r="B2627" s="333" t="s">
        <v>346</v>
      </c>
      <c r="C2627" s="317"/>
      <c r="D2627" s="318"/>
      <c r="E2627" s="319"/>
      <c r="F2627" s="319"/>
      <c r="G2627" s="319"/>
      <c r="H2627" s="320"/>
      <c r="I2627" s="332"/>
      <c r="J2627" s="321"/>
    </row>
    <row r="2628" spans="1:10" x14ac:dyDescent="0.25">
      <c r="A2628" s="303"/>
      <c r="B2628" s="333" t="s">
        <v>346</v>
      </c>
      <c r="C2628" s="317"/>
      <c r="D2628" s="318"/>
      <c r="E2628" s="319"/>
      <c r="F2628" s="319"/>
      <c r="G2628" s="319"/>
      <c r="H2628" s="320"/>
      <c r="I2628" s="332"/>
      <c r="J2628" s="321"/>
    </row>
    <row r="2629" spans="1:10" x14ac:dyDescent="0.25">
      <c r="A2629" s="303"/>
      <c r="B2629" s="333" t="s">
        <v>346</v>
      </c>
      <c r="C2629" s="317"/>
      <c r="D2629" s="318"/>
      <c r="E2629" s="319"/>
      <c r="F2629" s="319"/>
      <c r="G2629" s="319"/>
      <c r="H2629" s="320"/>
      <c r="I2629" s="332"/>
      <c r="J2629" s="321"/>
    </row>
    <row r="2630" spans="1:10" x14ac:dyDescent="0.25">
      <c r="A2630" s="303"/>
      <c r="B2630" s="333" t="s">
        <v>346</v>
      </c>
      <c r="C2630" s="317"/>
      <c r="D2630" s="318"/>
      <c r="E2630" s="319"/>
      <c r="F2630" s="319"/>
      <c r="G2630" s="319"/>
      <c r="H2630" s="320"/>
      <c r="I2630" s="332"/>
      <c r="J2630" s="321"/>
    </row>
    <row r="2631" spans="1:10" x14ac:dyDescent="0.25">
      <c r="A2631" s="303"/>
      <c r="B2631" s="333" t="s">
        <v>346</v>
      </c>
      <c r="C2631" s="317"/>
      <c r="D2631" s="318"/>
      <c r="E2631" s="319"/>
      <c r="F2631" s="319"/>
      <c r="G2631" s="319"/>
      <c r="H2631" s="320"/>
      <c r="I2631" s="332"/>
      <c r="J2631" s="321"/>
    </row>
    <row r="2632" spans="1:10" x14ac:dyDescent="0.25">
      <c r="A2632" s="303"/>
      <c r="B2632" s="310"/>
      <c r="C2632" s="334"/>
      <c r="D2632" s="312"/>
      <c r="E2632" s="313"/>
      <c r="F2632" s="313"/>
      <c r="G2632" s="313"/>
      <c r="H2632" s="313"/>
      <c r="I2632" s="338" t="s">
        <v>484</v>
      </c>
      <c r="J2632" s="315">
        <v>17.768000000000001</v>
      </c>
    </row>
    <row r="2633" spans="1:10" x14ac:dyDescent="0.25">
      <c r="A2633" s="303"/>
      <c r="B2633" s="339"/>
      <c r="C2633" s="334"/>
      <c r="D2633" s="312"/>
      <c r="E2633" s="313"/>
      <c r="F2633" s="313"/>
      <c r="G2633" s="313"/>
      <c r="H2633" s="313"/>
      <c r="I2633" s="338" t="s">
        <v>485</v>
      </c>
      <c r="J2633" s="340">
        <v>17.768000000000001</v>
      </c>
    </row>
    <row r="2634" spans="1:10" x14ac:dyDescent="0.25">
      <c r="A2634" s="303"/>
      <c r="B2634" s="339"/>
      <c r="C2634" s="341" t="s">
        <v>486</v>
      </c>
      <c r="D2634" s="312">
        <v>5</v>
      </c>
      <c r="E2634" s="313"/>
      <c r="F2634" s="313"/>
      <c r="G2634" s="313"/>
      <c r="H2634" s="313"/>
      <c r="I2634" s="338" t="s">
        <v>487</v>
      </c>
      <c r="J2634" s="340">
        <v>3.5535999999999999</v>
      </c>
    </row>
    <row r="2635" spans="1:10" x14ac:dyDescent="0.25">
      <c r="A2635" s="303"/>
      <c r="B2635" s="310"/>
      <c r="C2635" s="334"/>
      <c r="D2635" s="312"/>
      <c r="E2635" s="313"/>
      <c r="F2635" s="313"/>
      <c r="G2635" s="313"/>
      <c r="H2635" s="338" t="s">
        <v>488</v>
      </c>
      <c r="I2635" s="342">
        <v>0</v>
      </c>
      <c r="J2635" s="315">
        <v>0</v>
      </c>
    </row>
    <row r="2636" spans="1:10" x14ac:dyDescent="0.25">
      <c r="A2636" s="303"/>
      <c r="B2636" s="310"/>
      <c r="C2636" s="334"/>
      <c r="D2636" s="312"/>
      <c r="E2636" s="313"/>
      <c r="F2636" s="313"/>
      <c r="G2636" s="313"/>
      <c r="H2636" s="335" t="s">
        <v>489</v>
      </c>
      <c r="I2636" s="343">
        <v>0</v>
      </c>
      <c r="J2636" s="315">
        <v>0</v>
      </c>
    </row>
    <row r="2637" spans="1:10" x14ac:dyDescent="0.25">
      <c r="A2637" s="303"/>
      <c r="B2637" s="310" t="s">
        <v>464</v>
      </c>
      <c r="C2637" s="311" t="s">
        <v>490</v>
      </c>
      <c r="D2637" s="312"/>
      <c r="E2637" s="313"/>
      <c r="F2637" s="313"/>
      <c r="G2637" s="314" t="s">
        <v>465</v>
      </c>
      <c r="H2637" s="336" t="s">
        <v>468</v>
      </c>
      <c r="I2637" s="336" t="s">
        <v>491</v>
      </c>
      <c r="J2637" s="322" t="s">
        <v>492</v>
      </c>
    </row>
    <row r="2638" spans="1:10" x14ac:dyDescent="0.25">
      <c r="A2638" s="303"/>
      <c r="B2638" s="337" t="s">
        <v>346</v>
      </c>
      <c r="C2638" s="311"/>
      <c r="D2638" s="312"/>
      <c r="E2638" s="313"/>
      <c r="F2638" s="313"/>
      <c r="G2638" s="314"/>
      <c r="H2638" s="329"/>
      <c r="I2638" s="329"/>
      <c r="J2638" s="315"/>
    </row>
    <row r="2639" spans="1:10" x14ac:dyDescent="0.25">
      <c r="A2639" s="303"/>
      <c r="B2639" s="333" t="s">
        <v>346</v>
      </c>
      <c r="C2639" s="317"/>
      <c r="D2639" s="318"/>
      <c r="E2639" s="319"/>
      <c r="F2639" s="319"/>
      <c r="G2639" s="320"/>
      <c r="H2639" s="332"/>
      <c r="I2639" s="332"/>
      <c r="J2639" s="321"/>
    </row>
    <row r="2640" spans="1:10" x14ac:dyDescent="0.25">
      <c r="A2640" s="303"/>
      <c r="B2640" s="333" t="s">
        <v>346</v>
      </c>
      <c r="C2640" s="317"/>
      <c r="D2640" s="318"/>
      <c r="E2640" s="319"/>
      <c r="F2640" s="319"/>
      <c r="G2640" s="320"/>
      <c r="H2640" s="332"/>
      <c r="I2640" s="332"/>
      <c r="J2640" s="321"/>
    </row>
    <row r="2641" spans="1:10" x14ac:dyDescent="0.25">
      <c r="A2641" s="303"/>
      <c r="B2641" s="333" t="s">
        <v>346</v>
      </c>
      <c r="C2641" s="317"/>
      <c r="D2641" s="318"/>
      <c r="E2641" s="319"/>
      <c r="F2641" s="319"/>
      <c r="G2641" s="320"/>
      <c r="H2641" s="332"/>
      <c r="I2641" s="332"/>
      <c r="J2641" s="321"/>
    </row>
    <row r="2642" spans="1:10" x14ac:dyDescent="0.25">
      <c r="A2642" s="303"/>
      <c r="B2642" s="333" t="s">
        <v>346</v>
      </c>
      <c r="C2642" s="317"/>
      <c r="D2642" s="318"/>
      <c r="E2642" s="319"/>
      <c r="F2642" s="319"/>
      <c r="G2642" s="320"/>
      <c r="H2642" s="332"/>
      <c r="I2642" s="332"/>
      <c r="J2642" s="321"/>
    </row>
    <row r="2643" spans="1:10" x14ac:dyDescent="0.25">
      <c r="A2643" s="303"/>
      <c r="B2643" s="333" t="s">
        <v>346</v>
      </c>
      <c r="C2643" s="317"/>
      <c r="D2643" s="318"/>
      <c r="E2643" s="319"/>
      <c r="F2643" s="319"/>
      <c r="G2643" s="320"/>
      <c r="H2643" s="332"/>
      <c r="I2643" s="332"/>
      <c r="J2643" s="321"/>
    </row>
    <row r="2644" spans="1:10" x14ac:dyDescent="0.25">
      <c r="A2644" s="303"/>
      <c r="B2644" s="333" t="s">
        <v>346</v>
      </c>
      <c r="C2644" s="317"/>
      <c r="D2644" s="318"/>
      <c r="E2644" s="319"/>
      <c r="F2644" s="319"/>
      <c r="G2644" s="320"/>
      <c r="H2644" s="332"/>
      <c r="I2644" s="332"/>
      <c r="J2644" s="321"/>
    </row>
    <row r="2645" spans="1:10" x14ac:dyDescent="0.25">
      <c r="A2645" s="303"/>
      <c r="B2645" s="310"/>
      <c r="C2645" s="334"/>
      <c r="D2645" s="312"/>
      <c r="E2645" s="313"/>
      <c r="F2645" s="313"/>
      <c r="G2645" s="313"/>
      <c r="H2645" s="343"/>
      <c r="I2645" s="335" t="s">
        <v>498</v>
      </c>
      <c r="J2645" s="315">
        <v>0</v>
      </c>
    </row>
    <row r="2646" spans="1:10" x14ac:dyDescent="0.25">
      <c r="A2646" s="303"/>
      <c r="B2646" s="310" t="s">
        <v>464</v>
      </c>
      <c r="C2646" s="311" t="s">
        <v>499</v>
      </c>
      <c r="D2646" s="312"/>
      <c r="E2646" s="313"/>
      <c r="F2646" s="313"/>
      <c r="G2646" s="314" t="s">
        <v>465</v>
      </c>
      <c r="H2646" s="336" t="s">
        <v>468</v>
      </c>
      <c r="I2646" s="336" t="s">
        <v>491</v>
      </c>
      <c r="J2646" s="322" t="s">
        <v>492</v>
      </c>
    </row>
    <row r="2647" spans="1:10" x14ac:dyDescent="0.25">
      <c r="A2647" s="303"/>
      <c r="B2647" s="337"/>
      <c r="C2647" s="311"/>
      <c r="D2647" s="312"/>
      <c r="E2647" s="313"/>
      <c r="F2647" s="313"/>
      <c r="G2647" s="314"/>
      <c r="H2647" s="329"/>
      <c r="I2647" s="329"/>
      <c r="J2647" s="315"/>
    </row>
    <row r="2648" spans="1:10" x14ac:dyDescent="0.25">
      <c r="A2648" s="303"/>
      <c r="B2648" s="333"/>
      <c r="C2648" s="317"/>
      <c r="D2648" s="318"/>
      <c r="E2648" s="319"/>
      <c r="F2648" s="319"/>
      <c r="G2648" s="320"/>
      <c r="H2648" s="332"/>
      <c r="I2648" s="332"/>
      <c r="J2648" s="321"/>
    </row>
    <row r="2649" spans="1:10" x14ac:dyDescent="0.25">
      <c r="A2649" s="303"/>
      <c r="B2649" s="333"/>
      <c r="C2649" s="317"/>
      <c r="D2649" s="318"/>
      <c r="E2649" s="319"/>
      <c r="F2649" s="319"/>
      <c r="G2649" s="320"/>
      <c r="H2649" s="332"/>
      <c r="I2649" s="332"/>
      <c r="J2649" s="321"/>
    </row>
    <row r="2650" spans="1:10" x14ac:dyDescent="0.25">
      <c r="A2650" s="303"/>
      <c r="B2650" s="333"/>
      <c r="C2650" s="317"/>
      <c r="D2650" s="318"/>
      <c r="E2650" s="319"/>
      <c r="F2650" s="319"/>
      <c r="G2650" s="320"/>
      <c r="H2650" s="332"/>
      <c r="I2650" s="332"/>
      <c r="J2650" s="321"/>
    </row>
    <row r="2651" spans="1:10" x14ac:dyDescent="0.25">
      <c r="A2651" s="303"/>
      <c r="B2651" s="333"/>
      <c r="C2651" s="317"/>
      <c r="D2651" s="318"/>
      <c r="E2651" s="319"/>
      <c r="F2651" s="319"/>
      <c r="G2651" s="320"/>
      <c r="H2651" s="332"/>
      <c r="I2651" s="332"/>
      <c r="J2651" s="321"/>
    </row>
    <row r="2652" spans="1:10" x14ac:dyDescent="0.25">
      <c r="A2652" s="303"/>
      <c r="B2652" s="310"/>
      <c r="C2652" s="334"/>
      <c r="D2652" s="312"/>
      <c r="E2652" s="313"/>
      <c r="F2652" s="313"/>
      <c r="G2652" s="313"/>
      <c r="H2652" s="343"/>
      <c r="I2652" s="335" t="s">
        <v>501</v>
      </c>
      <c r="J2652" s="315">
        <v>0</v>
      </c>
    </row>
    <row r="2653" spans="1:10" x14ac:dyDescent="0.25">
      <c r="A2653" s="303"/>
      <c r="B2653" s="310" t="s">
        <v>464</v>
      </c>
      <c r="C2653" s="311" t="s">
        <v>502</v>
      </c>
      <c r="D2653" s="312"/>
      <c r="E2653" s="313"/>
      <c r="F2653" s="314" t="s">
        <v>464</v>
      </c>
      <c r="G2653" s="324" t="s">
        <v>503</v>
      </c>
      <c r="H2653" s="329" t="s">
        <v>465</v>
      </c>
      <c r="I2653" s="336" t="s">
        <v>468</v>
      </c>
      <c r="J2653" s="322" t="s">
        <v>492</v>
      </c>
    </row>
    <row r="2654" spans="1:10" x14ac:dyDescent="0.25">
      <c r="A2654" s="303"/>
      <c r="B2654" s="337" t="s">
        <v>346</v>
      </c>
      <c r="C2654" s="311"/>
      <c r="D2654" s="312"/>
      <c r="E2654" s="313"/>
      <c r="F2654" s="314"/>
      <c r="G2654" s="314"/>
      <c r="H2654" s="329"/>
      <c r="I2654" s="329"/>
      <c r="J2654" s="315"/>
    </row>
    <row r="2655" spans="1:10" x14ac:dyDescent="0.25">
      <c r="A2655" s="303"/>
      <c r="B2655" s="333" t="s">
        <v>346</v>
      </c>
      <c r="C2655" s="317"/>
      <c r="D2655" s="318"/>
      <c r="E2655" s="319"/>
      <c r="F2655" s="320"/>
      <c r="G2655" s="320"/>
      <c r="H2655" s="332"/>
      <c r="I2655" s="332"/>
      <c r="J2655" s="321"/>
    </row>
    <row r="2656" spans="1:10" x14ac:dyDescent="0.25">
      <c r="A2656" s="303"/>
      <c r="B2656" s="333" t="s">
        <v>346</v>
      </c>
      <c r="C2656" s="317"/>
      <c r="D2656" s="318"/>
      <c r="E2656" s="319"/>
      <c r="F2656" s="320"/>
      <c r="G2656" s="320"/>
      <c r="H2656" s="332"/>
      <c r="I2656" s="332"/>
      <c r="J2656" s="321"/>
    </row>
    <row r="2657" spans="1:10" x14ac:dyDescent="0.25">
      <c r="A2657" s="303"/>
      <c r="B2657" s="333" t="s">
        <v>346</v>
      </c>
      <c r="C2657" s="317"/>
      <c r="D2657" s="318"/>
      <c r="E2657" s="319"/>
      <c r="F2657" s="320"/>
      <c r="G2657" s="320"/>
      <c r="H2657" s="332"/>
      <c r="I2657" s="332"/>
      <c r="J2657" s="321"/>
    </row>
    <row r="2658" spans="1:10" x14ac:dyDescent="0.25">
      <c r="A2658" s="303"/>
      <c r="B2658" s="333" t="s">
        <v>346</v>
      </c>
      <c r="C2658" s="317"/>
      <c r="D2658" s="318"/>
      <c r="E2658" s="319"/>
      <c r="F2658" s="320"/>
      <c r="G2658" s="320"/>
      <c r="H2658" s="332"/>
      <c r="I2658" s="332"/>
      <c r="J2658" s="321"/>
    </row>
    <row r="2659" spans="1:10" x14ac:dyDescent="0.25">
      <c r="A2659" s="303"/>
      <c r="B2659" s="310"/>
      <c r="C2659" s="334"/>
      <c r="D2659" s="312"/>
      <c r="E2659" s="313"/>
      <c r="F2659" s="313"/>
      <c r="G2659" s="313"/>
      <c r="H2659" s="343"/>
      <c r="I2659" s="338" t="s">
        <v>507</v>
      </c>
      <c r="J2659" s="315">
        <v>0</v>
      </c>
    </row>
    <row r="2660" spans="1:10" x14ac:dyDescent="0.25">
      <c r="A2660" s="303"/>
      <c r="B2660" s="310" t="s">
        <v>464</v>
      </c>
      <c r="C2660" s="311" t="s">
        <v>508</v>
      </c>
      <c r="D2660" s="345" t="s">
        <v>509</v>
      </c>
      <c r="E2660" s="324" t="s">
        <v>873</v>
      </c>
      <c r="F2660" s="324" t="s">
        <v>874</v>
      </c>
      <c r="G2660" s="324" t="s">
        <v>875</v>
      </c>
      <c r="H2660" s="336" t="s">
        <v>468</v>
      </c>
      <c r="I2660" s="324" t="s">
        <v>491</v>
      </c>
      <c r="J2660" s="322" t="s">
        <v>492</v>
      </c>
    </row>
    <row r="2661" spans="1:10" x14ac:dyDescent="0.25">
      <c r="A2661" s="303"/>
      <c r="B2661" s="337" t="s">
        <v>346</v>
      </c>
      <c r="C2661" s="311"/>
      <c r="D2661" s="345"/>
      <c r="E2661" s="314"/>
      <c r="F2661" s="314"/>
      <c r="G2661" s="314"/>
      <c r="H2661" s="329"/>
      <c r="I2661" s="314"/>
      <c r="J2661" s="315"/>
    </row>
    <row r="2662" spans="1:10" x14ac:dyDescent="0.25">
      <c r="A2662" s="303"/>
      <c r="B2662" s="333" t="s">
        <v>346</v>
      </c>
      <c r="C2662" s="317"/>
      <c r="D2662" s="346"/>
      <c r="E2662" s="320"/>
      <c r="F2662" s="320"/>
      <c r="G2662" s="320"/>
      <c r="H2662" s="332"/>
      <c r="I2662" s="320"/>
      <c r="J2662" s="321"/>
    </row>
    <row r="2663" spans="1:10" x14ac:dyDescent="0.25">
      <c r="A2663" s="303"/>
      <c r="B2663" s="333" t="s">
        <v>346</v>
      </c>
      <c r="C2663" s="317"/>
      <c r="D2663" s="346"/>
      <c r="E2663" s="320"/>
      <c r="F2663" s="320"/>
      <c r="G2663" s="320"/>
      <c r="H2663" s="332"/>
      <c r="I2663" s="320"/>
      <c r="J2663" s="321"/>
    </row>
    <row r="2664" spans="1:10" x14ac:dyDescent="0.25">
      <c r="A2664" s="303"/>
      <c r="B2664" s="333" t="s">
        <v>346</v>
      </c>
      <c r="C2664" s="317"/>
      <c r="D2664" s="346"/>
      <c r="E2664" s="320"/>
      <c r="F2664" s="320"/>
      <c r="G2664" s="320"/>
      <c r="H2664" s="332"/>
      <c r="I2664" s="320"/>
      <c r="J2664" s="321"/>
    </row>
    <row r="2665" spans="1:10" x14ac:dyDescent="0.25">
      <c r="A2665" s="303"/>
      <c r="B2665" s="333" t="s">
        <v>346</v>
      </c>
      <c r="C2665" s="317"/>
      <c r="D2665" s="346"/>
      <c r="E2665" s="320"/>
      <c r="F2665" s="320"/>
      <c r="G2665" s="320"/>
      <c r="H2665" s="332"/>
      <c r="I2665" s="320"/>
      <c r="J2665" s="321"/>
    </row>
    <row r="2666" spans="1:10" x14ac:dyDescent="0.25">
      <c r="A2666" s="303"/>
      <c r="B2666" s="333" t="s">
        <v>346</v>
      </c>
      <c r="C2666" s="317"/>
      <c r="D2666" s="346"/>
      <c r="E2666" s="320"/>
      <c r="F2666" s="320"/>
      <c r="G2666" s="320"/>
      <c r="H2666" s="332"/>
      <c r="I2666" s="320"/>
      <c r="J2666" s="321"/>
    </row>
    <row r="2667" spans="1:10" x14ac:dyDescent="0.25">
      <c r="A2667" s="303"/>
      <c r="B2667" s="333" t="s">
        <v>346</v>
      </c>
      <c r="C2667" s="317"/>
      <c r="D2667" s="346"/>
      <c r="E2667" s="320"/>
      <c r="F2667" s="320"/>
      <c r="G2667" s="320"/>
      <c r="H2667" s="332"/>
      <c r="I2667" s="320"/>
      <c r="J2667" s="321"/>
    </row>
    <row r="2668" spans="1:10" x14ac:dyDescent="0.25">
      <c r="A2668" s="303"/>
      <c r="B2668" s="310"/>
      <c r="C2668" s="334"/>
      <c r="D2668" s="312"/>
      <c r="E2668" s="313"/>
      <c r="F2668" s="313"/>
      <c r="G2668" s="313"/>
      <c r="H2668" s="313"/>
      <c r="I2668" s="338" t="s">
        <v>513</v>
      </c>
      <c r="J2668" s="315">
        <v>0</v>
      </c>
    </row>
    <row r="2669" spans="1:10" x14ac:dyDescent="0.25">
      <c r="A2669" s="303"/>
      <c r="B2669" s="310" t="s">
        <v>514</v>
      </c>
      <c r="C2669" s="334"/>
      <c r="D2669" s="312"/>
      <c r="E2669" s="313"/>
      <c r="F2669" s="313"/>
      <c r="G2669" s="313"/>
      <c r="H2669" s="313"/>
      <c r="I2669" s="313"/>
      <c r="J2669" s="315">
        <v>3.5535999999999999</v>
      </c>
    </row>
    <row r="2670" spans="1:10" x14ac:dyDescent="0.25">
      <c r="A2670" s="303"/>
      <c r="B2670" s="310" t="s">
        <v>515</v>
      </c>
      <c r="C2670" s="334"/>
      <c r="D2670" s="312">
        <v>0</v>
      </c>
      <c r="E2670" s="313"/>
      <c r="F2670" s="313"/>
      <c r="G2670" s="313"/>
      <c r="H2670" s="313"/>
      <c r="I2670" s="313"/>
      <c r="J2670" s="315">
        <v>0</v>
      </c>
    </row>
    <row r="2671" spans="1:10" ht="14.4" thickBot="1" x14ac:dyDescent="0.3">
      <c r="A2671" s="303"/>
      <c r="B2671" s="310" t="s">
        <v>516</v>
      </c>
      <c r="C2671" s="334"/>
      <c r="D2671" s="312"/>
      <c r="E2671" s="313"/>
      <c r="F2671" s="313"/>
      <c r="G2671" s="313"/>
      <c r="H2671" s="313"/>
      <c r="I2671" s="313"/>
      <c r="J2671" s="347">
        <v>3.55</v>
      </c>
    </row>
    <row r="2672" spans="1:10" x14ac:dyDescent="0.25">
      <c r="A2672" s="303"/>
      <c r="B2672" s="304"/>
      <c r="C2672" s="305"/>
      <c r="D2672" s="348"/>
      <c r="E2672" s="308"/>
      <c r="F2672" s="308"/>
      <c r="G2672" s="308"/>
      <c r="H2672" s="308"/>
      <c r="I2672" s="308"/>
      <c r="J2672" s="309"/>
    </row>
    <row r="2673" spans="1:10" x14ac:dyDescent="0.25">
      <c r="A2673" s="303"/>
      <c r="B2673" s="316"/>
      <c r="C2673" s="303"/>
      <c r="D2673" s="318"/>
      <c r="E2673" s="319"/>
      <c r="F2673" s="319"/>
      <c r="G2673" s="319"/>
      <c r="H2673" s="319"/>
      <c r="I2673" s="319"/>
      <c r="J2673" s="349"/>
    </row>
    <row r="2674" spans="1:10" x14ac:dyDescent="0.25">
      <c r="A2674" s="303"/>
      <c r="B2674" s="316"/>
      <c r="C2674" s="303"/>
      <c r="D2674" s="318"/>
      <c r="E2674" s="319"/>
      <c r="F2674" s="319"/>
      <c r="G2674" s="319"/>
      <c r="H2674" s="319"/>
      <c r="I2674" s="319"/>
      <c r="J2674" s="349"/>
    </row>
    <row r="2675" spans="1:10" ht="14.4" thickBot="1" x14ac:dyDescent="0.3">
      <c r="A2675" s="303"/>
      <c r="B2675" s="350"/>
      <c r="C2675" s="303"/>
      <c r="D2675" s="318"/>
      <c r="E2675" s="319"/>
      <c r="F2675" s="319"/>
      <c r="G2675" s="319"/>
      <c r="H2675" s="319"/>
      <c r="I2675" s="319"/>
      <c r="J2675" s="351"/>
    </row>
    <row r="2676" spans="1:10" x14ac:dyDescent="0.25">
      <c r="A2676" s="303"/>
      <c r="B2676" s="305"/>
      <c r="C2676" s="305"/>
      <c r="D2676" s="348"/>
      <c r="E2676" s="308"/>
      <c r="F2676" s="308"/>
      <c r="G2676" s="308"/>
      <c r="H2676" s="308"/>
      <c r="I2676" s="308"/>
      <c r="J2676" s="352"/>
    </row>
    <row r="2677" spans="1:10" ht="14.4" thickBot="1" x14ac:dyDescent="0.3">
      <c r="A2677" s="303"/>
      <c r="B2677" s="303"/>
      <c r="C2677" s="303"/>
      <c r="D2677" s="318"/>
      <c r="E2677" s="319"/>
      <c r="F2677" s="319"/>
      <c r="G2677" s="319"/>
      <c r="H2677" s="319"/>
      <c r="I2677" s="319"/>
      <c r="J2677" s="353"/>
    </row>
    <row r="2678" spans="1:10" x14ac:dyDescent="0.25">
      <c r="A2678" s="303"/>
      <c r="B2678" s="304"/>
      <c r="C2678" s="305"/>
      <c r="D2678" s="306" t="s">
        <v>463</v>
      </c>
      <c r="E2678" s="307"/>
      <c r="F2678" s="307"/>
      <c r="G2678" s="308"/>
      <c r="H2678" s="308"/>
      <c r="I2678" s="308"/>
      <c r="J2678" s="309"/>
    </row>
    <row r="2679" spans="1:10" x14ac:dyDescent="0.25">
      <c r="A2679" s="303"/>
      <c r="B2679" s="310" t="s">
        <v>464</v>
      </c>
      <c r="C2679" s="311" t="s">
        <v>134</v>
      </c>
      <c r="D2679" s="312"/>
      <c r="E2679" s="313"/>
      <c r="F2679" s="313"/>
      <c r="G2679" s="313"/>
      <c r="H2679" s="314"/>
      <c r="I2679" s="313"/>
      <c r="J2679" s="315" t="s">
        <v>465</v>
      </c>
    </row>
    <row r="2680" spans="1:10" x14ac:dyDescent="0.25">
      <c r="A2680" s="303"/>
      <c r="B2680" s="316">
        <v>4915672</v>
      </c>
      <c r="C2680" s="317" t="s">
        <v>395</v>
      </c>
      <c r="D2680" s="318"/>
      <c r="E2680" s="319"/>
      <c r="F2680" s="319"/>
      <c r="G2680" s="319"/>
      <c r="H2680" s="320"/>
      <c r="I2680" s="319"/>
      <c r="J2680" s="321" t="s">
        <v>372</v>
      </c>
    </row>
    <row r="2681" spans="1:10" x14ac:dyDescent="0.25">
      <c r="A2681" s="303"/>
      <c r="B2681" s="310"/>
      <c r="C2681" s="311"/>
      <c r="D2681" s="312"/>
      <c r="E2681" s="314"/>
      <c r="F2681" s="314" t="s">
        <v>466</v>
      </c>
      <c r="G2681" s="314"/>
      <c r="H2681" s="314" t="s">
        <v>467</v>
      </c>
      <c r="I2681" s="314"/>
      <c r="J2681" s="322" t="s">
        <v>468</v>
      </c>
    </row>
    <row r="2682" spans="1:10" x14ac:dyDescent="0.25">
      <c r="A2682" s="303"/>
      <c r="B2682" s="316" t="s">
        <v>464</v>
      </c>
      <c r="C2682" s="317" t="s">
        <v>469</v>
      </c>
      <c r="D2682" s="318"/>
      <c r="E2682" s="323" t="s">
        <v>355</v>
      </c>
      <c r="F2682" s="324" t="s">
        <v>470</v>
      </c>
      <c r="G2682" s="324" t="s">
        <v>471</v>
      </c>
      <c r="H2682" s="324" t="s">
        <v>472</v>
      </c>
      <c r="I2682" s="325" t="s">
        <v>473</v>
      </c>
      <c r="J2682" s="326" t="s">
        <v>474</v>
      </c>
    </row>
    <row r="2683" spans="1:10" x14ac:dyDescent="0.25">
      <c r="A2683" s="303"/>
      <c r="B2683" s="337" t="s">
        <v>346</v>
      </c>
      <c r="C2683" s="311"/>
      <c r="D2683" s="312"/>
      <c r="E2683" s="328"/>
      <c r="F2683" s="328"/>
      <c r="G2683" s="328"/>
      <c r="H2683" s="329"/>
      <c r="I2683" s="329"/>
      <c r="J2683" s="315"/>
    </row>
    <row r="2684" spans="1:10" x14ac:dyDescent="0.25">
      <c r="A2684" s="303"/>
      <c r="B2684" s="333" t="s">
        <v>346</v>
      </c>
      <c r="C2684" s="317"/>
      <c r="D2684" s="318"/>
      <c r="E2684" s="331"/>
      <c r="F2684" s="331"/>
      <c r="G2684" s="331"/>
      <c r="H2684" s="332"/>
      <c r="I2684" s="332"/>
      <c r="J2684" s="321"/>
    </row>
    <row r="2685" spans="1:10" x14ac:dyDescent="0.25">
      <c r="A2685" s="303"/>
      <c r="B2685" s="333" t="s">
        <v>346</v>
      </c>
      <c r="C2685" s="317"/>
      <c r="D2685" s="318"/>
      <c r="E2685" s="331"/>
      <c r="F2685" s="331"/>
      <c r="G2685" s="331"/>
      <c r="H2685" s="332"/>
      <c r="I2685" s="332"/>
      <c r="J2685" s="321"/>
    </row>
    <row r="2686" spans="1:10" x14ac:dyDescent="0.25">
      <c r="A2686" s="303"/>
      <c r="B2686" s="333" t="s">
        <v>346</v>
      </c>
      <c r="C2686" s="317"/>
      <c r="D2686" s="318"/>
      <c r="E2686" s="331"/>
      <c r="F2686" s="331"/>
      <c r="G2686" s="331"/>
      <c r="H2686" s="332"/>
      <c r="I2686" s="332"/>
      <c r="J2686" s="321"/>
    </row>
    <row r="2687" spans="1:10" x14ac:dyDescent="0.25">
      <c r="A2687" s="303"/>
      <c r="B2687" s="333" t="s">
        <v>346</v>
      </c>
      <c r="C2687" s="317"/>
      <c r="D2687" s="318"/>
      <c r="E2687" s="331"/>
      <c r="F2687" s="331"/>
      <c r="G2687" s="331"/>
      <c r="H2687" s="332"/>
      <c r="I2687" s="332"/>
      <c r="J2687" s="321"/>
    </row>
    <row r="2688" spans="1:10" x14ac:dyDescent="0.25">
      <c r="A2688" s="303"/>
      <c r="B2688" s="333" t="s">
        <v>346</v>
      </c>
      <c r="C2688" s="317"/>
      <c r="D2688" s="318"/>
      <c r="E2688" s="331"/>
      <c r="F2688" s="331"/>
      <c r="G2688" s="331"/>
      <c r="H2688" s="332"/>
      <c r="I2688" s="332"/>
      <c r="J2688" s="321"/>
    </row>
    <row r="2689" spans="1:10" x14ac:dyDescent="0.25">
      <c r="A2689" s="303"/>
      <c r="B2689" s="333" t="s">
        <v>346</v>
      </c>
      <c r="C2689" s="317"/>
      <c r="D2689" s="318"/>
      <c r="E2689" s="331"/>
      <c r="F2689" s="331"/>
      <c r="G2689" s="331"/>
      <c r="H2689" s="332"/>
      <c r="I2689" s="332"/>
      <c r="J2689" s="321"/>
    </row>
    <row r="2690" spans="1:10" x14ac:dyDescent="0.25">
      <c r="A2690" s="303"/>
      <c r="B2690" s="310"/>
      <c r="C2690" s="334"/>
      <c r="D2690" s="312"/>
      <c r="E2690" s="313"/>
      <c r="F2690" s="313"/>
      <c r="G2690" s="313"/>
      <c r="H2690" s="313"/>
      <c r="I2690" s="335" t="s">
        <v>479</v>
      </c>
      <c r="J2690" s="315">
        <v>0</v>
      </c>
    </row>
    <row r="2691" spans="1:10" x14ac:dyDescent="0.25">
      <c r="A2691" s="303"/>
      <c r="B2691" s="310" t="s">
        <v>464</v>
      </c>
      <c r="C2691" s="311" t="s">
        <v>480</v>
      </c>
      <c r="D2691" s="312"/>
      <c r="E2691" s="313"/>
      <c r="F2691" s="313"/>
      <c r="G2691" s="313"/>
      <c r="H2691" s="324" t="s">
        <v>355</v>
      </c>
      <c r="I2691" s="336" t="s">
        <v>481</v>
      </c>
      <c r="J2691" s="322" t="s">
        <v>331</v>
      </c>
    </row>
    <row r="2692" spans="1:10" x14ac:dyDescent="0.25">
      <c r="A2692" s="303"/>
      <c r="B2692" s="337" t="s">
        <v>482</v>
      </c>
      <c r="C2692" s="311" t="s">
        <v>483</v>
      </c>
      <c r="D2692" s="312"/>
      <c r="E2692" s="313"/>
      <c r="F2692" s="313"/>
      <c r="G2692" s="313"/>
      <c r="H2692" s="314">
        <v>4</v>
      </c>
      <c r="I2692" s="329">
        <v>17.768000000000001</v>
      </c>
      <c r="J2692" s="315">
        <v>71.072000000000003</v>
      </c>
    </row>
    <row r="2693" spans="1:10" x14ac:dyDescent="0.25">
      <c r="A2693" s="303"/>
      <c r="B2693" s="333" t="s">
        <v>346</v>
      </c>
      <c r="C2693" s="317"/>
      <c r="D2693" s="318"/>
      <c r="E2693" s="319"/>
      <c r="F2693" s="319"/>
      <c r="G2693" s="319"/>
      <c r="H2693" s="320"/>
      <c r="I2693" s="332"/>
      <c r="J2693" s="321"/>
    </row>
    <row r="2694" spans="1:10" x14ac:dyDescent="0.25">
      <c r="A2694" s="303"/>
      <c r="B2694" s="333" t="s">
        <v>346</v>
      </c>
      <c r="C2694" s="317"/>
      <c r="D2694" s="318"/>
      <c r="E2694" s="319"/>
      <c r="F2694" s="319"/>
      <c r="G2694" s="319"/>
      <c r="H2694" s="320"/>
      <c r="I2694" s="332"/>
      <c r="J2694" s="321"/>
    </row>
    <row r="2695" spans="1:10" x14ac:dyDescent="0.25">
      <c r="A2695" s="303"/>
      <c r="B2695" s="333" t="s">
        <v>346</v>
      </c>
      <c r="C2695" s="317"/>
      <c r="D2695" s="318"/>
      <c r="E2695" s="319"/>
      <c r="F2695" s="319"/>
      <c r="G2695" s="319"/>
      <c r="H2695" s="320"/>
      <c r="I2695" s="332"/>
      <c r="J2695" s="321"/>
    </row>
    <row r="2696" spans="1:10" x14ac:dyDescent="0.25">
      <c r="A2696" s="303"/>
      <c r="B2696" s="333" t="s">
        <v>346</v>
      </c>
      <c r="C2696" s="317"/>
      <c r="D2696" s="318"/>
      <c r="E2696" s="319"/>
      <c r="F2696" s="319"/>
      <c r="G2696" s="319"/>
      <c r="H2696" s="320"/>
      <c r="I2696" s="332"/>
      <c r="J2696" s="321"/>
    </row>
    <row r="2697" spans="1:10" x14ac:dyDescent="0.25">
      <c r="A2697" s="303"/>
      <c r="B2697" s="333" t="s">
        <v>346</v>
      </c>
      <c r="C2697" s="317"/>
      <c r="D2697" s="318"/>
      <c r="E2697" s="319"/>
      <c r="F2697" s="319"/>
      <c r="G2697" s="319"/>
      <c r="H2697" s="320"/>
      <c r="I2697" s="332"/>
      <c r="J2697" s="321"/>
    </row>
    <row r="2698" spans="1:10" x14ac:dyDescent="0.25">
      <c r="A2698" s="303"/>
      <c r="B2698" s="333" t="s">
        <v>346</v>
      </c>
      <c r="C2698" s="317"/>
      <c r="D2698" s="318"/>
      <c r="E2698" s="319"/>
      <c r="F2698" s="319"/>
      <c r="G2698" s="319"/>
      <c r="H2698" s="320"/>
      <c r="I2698" s="332"/>
      <c r="J2698" s="321"/>
    </row>
    <row r="2699" spans="1:10" x14ac:dyDescent="0.25">
      <c r="A2699" s="303"/>
      <c r="B2699" s="310"/>
      <c r="C2699" s="334"/>
      <c r="D2699" s="312"/>
      <c r="E2699" s="313"/>
      <c r="F2699" s="313"/>
      <c r="G2699" s="313"/>
      <c r="H2699" s="313"/>
      <c r="I2699" s="338" t="s">
        <v>484</v>
      </c>
      <c r="J2699" s="315">
        <v>71.072000000000003</v>
      </c>
    </row>
    <row r="2700" spans="1:10" x14ac:dyDescent="0.25">
      <c r="A2700" s="303"/>
      <c r="B2700" s="339"/>
      <c r="C2700" s="334"/>
      <c r="D2700" s="312"/>
      <c r="E2700" s="313"/>
      <c r="F2700" s="313"/>
      <c r="G2700" s="313"/>
      <c r="H2700" s="313"/>
      <c r="I2700" s="338" t="s">
        <v>485</v>
      </c>
      <c r="J2700" s="340">
        <v>71.072000000000003</v>
      </c>
    </row>
    <row r="2701" spans="1:10" x14ac:dyDescent="0.25">
      <c r="A2701" s="303"/>
      <c r="B2701" s="339"/>
      <c r="C2701" s="341" t="s">
        <v>486</v>
      </c>
      <c r="D2701" s="312">
        <v>20</v>
      </c>
      <c r="E2701" s="313"/>
      <c r="F2701" s="313"/>
      <c r="G2701" s="313"/>
      <c r="H2701" s="313"/>
      <c r="I2701" s="338" t="s">
        <v>487</v>
      </c>
      <c r="J2701" s="340">
        <v>3.5535999999999999</v>
      </c>
    </row>
    <row r="2702" spans="1:10" x14ac:dyDescent="0.25">
      <c r="A2702" s="303"/>
      <c r="B2702" s="310"/>
      <c r="C2702" s="334"/>
      <c r="D2702" s="312"/>
      <c r="E2702" s="313"/>
      <c r="F2702" s="313"/>
      <c r="G2702" s="313"/>
      <c r="H2702" s="338" t="s">
        <v>488</v>
      </c>
      <c r="I2702" s="342">
        <v>0</v>
      </c>
      <c r="J2702" s="315">
        <v>0</v>
      </c>
    </row>
    <row r="2703" spans="1:10" x14ac:dyDescent="0.25">
      <c r="A2703" s="303"/>
      <c r="B2703" s="310"/>
      <c r="C2703" s="334"/>
      <c r="D2703" s="312"/>
      <c r="E2703" s="313"/>
      <c r="F2703" s="313"/>
      <c r="G2703" s="313"/>
      <c r="H2703" s="335" t="s">
        <v>489</v>
      </c>
      <c r="I2703" s="343">
        <v>0</v>
      </c>
      <c r="J2703" s="315">
        <v>0</v>
      </c>
    </row>
    <row r="2704" spans="1:10" x14ac:dyDescent="0.25">
      <c r="A2704" s="303"/>
      <c r="B2704" s="310" t="s">
        <v>464</v>
      </c>
      <c r="C2704" s="311" t="s">
        <v>490</v>
      </c>
      <c r="D2704" s="312"/>
      <c r="E2704" s="313"/>
      <c r="F2704" s="313"/>
      <c r="G2704" s="314" t="s">
        <v>465</v>
      </c>
      <c r="H2704" s="336" t="s">
        <v>468</v>
      </c>
      <c r="I2704" s="336" t="s">
        <v>491</v>
      </c>
      <c r="J2704" s="322" t="s">
        <v>492</v>
      </c>
    </row>
    <row r="2705" spans="1:10" x14ac:dyDescent="0.25">
      <c r="A2705" s="303"/>
      <c r="B2705" s="337" t="s">
        <v>346</v>
      </c>
      <c r="C2705" s="311"/>
      <c r="D2705" s="312"/>
      <c r="E2705" s="313"/>
      <c r="F2705" s="313"/>
      <c r="G2705" s="314"/>
      <c r="H2705" s="329"/>
      <c r="I2705" s="329"/>
      <c r="J2705" s="315"/>
    </row>
    <row r="2706" spans="1:10" x14ac:dyDescent="0.25">
      <c r="A2706" s="303"/>
      <c r="B2706" s="333" t="s">
        <v>346</v>
      </c>
      <c r="C2706" s="317"/>
      <c r="D2706" s="318"/>
      <c r="E2706" s="319"/>
      <c r="F2706" s="319"/>
      <c r="G2706" s="320"/>
      <c r="H2706" s="332"/>
      <c r="I2706" s="332"/>
      <c r="J2706" s="321"/>
    </row>
    <row r="2707" spans="1:10" x14ac:dyDescent="0.25">
      <c r="A2707" s="303"/>
      <c r="B2707" s="333" t="s">
        <v>346</v>
      </c>
      <c r="C2707" s="317"/>
      <c r="D2707" s="318"/>
      <c r="E2707" s="319"/>
      <c r="F2707" s="319"/>
      <c r="G2707" s="320"/>
      <c r="H2707" s="332"/>
      <c r="I2707" s="332"/>
      <c r="J2707" s="321"/>
    </row>
    <row r="2708" spans="1:10" x14ac:dyDescent="0.25">
      <c r="A2708" s="303"/>
      <c r="B2708" s="333" t="s">
        <v>346</v>
      </c>
      <c r="C2708" s="317"/>
      <c r="D2708" s="318"/>
      <c r="E2708" s="319"/>
      <c r="F2708" s="319"/>
      <c r="G2708" s="320"/>
      <c r="H2708" s="332"/>
      <c r="I2708" s="332"/>
      <c r="J2708" s="321"/>
    </row>
    <row r="2709" spans="1:10" x14ac:dyDescent="0.25">
      <c r="A2709" s="303"/>
      <c r="B2709" s="333" t="s">
        <v>346</v>
      </c>
      <c r="C2709" s="317"/>
      <c r="D2709" s="318"/>
      <c r="E2709" s="319"/>
      <c r="F2709" s="319"/>
      <c r="G2709" s="320"/>
      <c r="H2709" s="332"/>
      <c r="I2709" s="332"/>
      <c r="J2709" s="321"/>
    </row>
    <row r="2710" spans="1:10" x14ac:dyDescent="0.25">
      <c r="A2710" s="303"/>
      <c r="B2710" s="333" t="s">
        <v>346</v>
      </c>
      <c r="C2710" s="317"/>
      <c r="D2710" s="318"/>
      <c r="E2710" s="319"/>
      <c r="F2710" s="319"/>
      <c r="G2710" s="320"/>
      <c r="H2710" s="332"/>
      <c r="I2710" s="332"/>
      <c r="J2710" s="321"/>
    </row>
    <row r="2711" spans="1:10" x14ac:dyDescent="0.25">
      <c r="A2711" s="303"/>
      <c r="B2711" s="333" t="s">
        <v>346</v>
      </c>
      <c r="C2711" s="317"/>
      <c r="D2711" s="318"/>
      <c r="E2711" s="319"/>
      <c r="F2711" s="319"/>
      <c r="G2711" s="320"/>
      <c r="H2711" s="332"/>
      <c r="I2711" s="332"/>
      <c r="J2711" s="321"/>
    </row>
    <row r="2712" spans="1:10" x14ac:dyDescent="0.25">
      <c r="A2712" s="303"/>
      <c r="B2712" s="310"/>
      <c r="C2712" s="334"/>
      <c r="D2712" s="312"/>
      <c r="E2712" s="313"/>
      <c r="F2712" s="313"/>
      <c r="G2712" s="313"/>
      <c r="H2712" s="343"/>
      <c r="I2712" s="335" t="s">
        <v>498</v>
      </c>
      <c r="J2712" s="315">
        <v>0</v>
      </c>
    </row>
    <row r="2713" spans="1:10" x14ac:dyDescent="0.25">
      <c r="A2713" s="303"/>
      <c r="B2713" s="310" t="s">
        <v>464</v>
      </c>
      <c r="C2713" s="311" t="s">
        <v>499</v>
      </c>
      <c r="D2713" s="312"/>
      <c r="E2713" s="313"/>
      <c r="F2713" s="313"/>
      <c r="G2713" s="314" t="s">
        <v>465</v>
      </c>
      <c r="H2713" s="336" t="s">
        <v>468</v>
      </c>
      <c r="I2713" s="336" t="s">
        <v>491</v>
      </c>
      <c r="J2713" s="322" t="s">
        <v>492</v>
      </c>
    </row>
    <row r="2714" spans="1:10" x14ac:dyDescent="0.25">
      <c r="A2714" s="303"/>
      <c r="B2714" s="337"/>
      <c r="C2714" s="311"/>
      <c r="D2714" s="312"/>
      <c r="E2714" s="313"/>
      <c r="F2714" s="313"/>
      <c r="G2714" s="314"/>
      <c r="H2714" s="329"/>
      <c r="I2714" s="329"/>
      <c r="J2714" s="315"/>
    </row>
    <row r="2715" spans="1:10" x14ac:dyDescent="0.25">
      <c r="A2715" s="303"/>
      <c r="B2715" s="333"/>
      <c r="C2715" s="317"/>
      <c r="D2715" s="318"/>
      <c r="E2715" s="319"/>
      <c r="F2715" s="319"/>
      <c r="G2715" s="320"/>
      <c r="H2715" s="332"/>
      <c r="I2715" s="332"/>
      <c r="J2715" s="321"/>
    </row>
    <row r="2716" spans="1:10" x14ac:dyDescent="0.25">
      <c r="A2716" s="303"/>
      <c r="B2716" s="333"/>
      <c r="C2716" s="317"/>
      <c r="D2716" s="318"/>
      <c r="E2716" s="319"/>
      <c r="F2716" s="319"/>
      <c r="G2716" s="320"/>
      <c r="H2716" s="332"/>
      <c r="I2716" s="332"/>
      <c r="J2716" s="321"/>
    </row>
    <row r="2717" spans="1:10" x14ac:dyDescent="0.25">
      <c r="A2717" s="303"/>
      <c r="B2717" s="333"/>
      <c r="C2717" s="317"/>
      <c r="D2717" s="318"/>
      <c r="E2717" s="319"/>
      <c r="F2717" s="319"/>
      <c r="G2717" s="320"/>
      <c r="H2717" s="332"/>
      <c r="I2717" s="332"/>
      <c r="J2717" s="321"/>
    </row>
    <row r="2718" spans="1:10" x14ac:dyDescent="0.25">
      <c r="A2718" s="303"/>
      <c r="B2718" s="333"/>
      <c r="C2718" s="317"/>
      <c r="D2718" s="318"/>
      <c r="E2718" s="319"/>
      <c r="F2718" s="319"/>
      <c r="G2718" s="320"/>
      <c r="H2718" s="332"/>
      <c r="I2718" s="332"/>
      <c r="J2718" s="321"/>
    </row>
    <row r="2719" spans="1:10" x14ac:dyDescent="0.25">
      <c r="A2719" s="303"/>
      <c r="B2719" s="310"/>
      <c r="C2719" s="334"/>
      <c r="D2719" s="312"/>
      <c r="E2719" s="313"/>
      <c r="F2719" s="313"/>
      <c r="G2719" s="313"/>
      <c r="H2719" s="343"/>
      <c r="I2719" s="335" t="s">
        <v>501</v>
      </c>
      <c r="J2719" s="315">
        <v>0</v>
      </c>
    </row>
    <row r="2720" spans="1:10" x14ac:dyDescent="0.25">
      <c r="A2720" s="303"/>
      <c r="B2720" s="310" t="s">
        <v>464</v>
      </c>
      <c r="C2720" s="311" t="s">
        <v>502</v>
      </c>
      <c r="D2720" s="312"/>
      <c r="E2720" s="313"/>
      <c r="F2720" s="314" t="s">
        <v>464</v>
      </c>
      <c r="G2720" s="324" t="s">
        <v>503</v>
      </c>
      <c r="H2720" s="329" t="s">
        <v>465</v>
      </c>
      <c r="I2720" s="336" t="s">
        <v>468</v>
      </c>
      <c r="J2720" s="322" t="s">
        <v>492</v>
      </c>
    </row>
    <row r="2721" spans="1:10" x14ac:dyDescent="0.25">
      <c r="A2721" s="303"/>
      <c r="B2721" s="337" t="s">
        <v>346</v>
      </c>
      <c r="C2721" s="311"/>
      <c r="D2721" s="312"/>
      <c r="E2721" s="313"/>
      <c r="F2721" s="314"/>
      <c r="G2721" s="314"/>
      <c r="H2721" s="329"/>
      <c r="I2721" s="329"/>
      <c r="J2721" s="315"/>
    </row>
    <row r="2722" spans="1:10" x14ac:dyDescent="0.25">
      <c r="A2722" s="303"/>
      <c r="B2722" s="333" t="s">
        <v>346</v>
      </c>
      <c r="C2722" s="317"/>
      <c r="D2722" s="318"/>
      <c r="E2722" s="319"/>
      <c r="F2722" s="320"/>
      <c r="G2722" s="320"/>
      <c r="H2722" s="332"/>
      <c r="I2722" s="332"/>
      <c r="J2722" s="321"/>
    </row>
    <row r="2723" spans="1:10" x14ac:dyDescent="0.25">
      <c r="A2723" s="303"/>
      <c r="B2723" s="333" t="s">
        <v>346</v>
      </c>
      <c r="C2723" s="317"/>
      <c r="D2723" s="318"/>
      <c r="E2723" s="319"/>
      <c r="F2723" s="320"/>
      <c r="G2723" s="320"/>
      <c r="H2723" s="332"/>
      <c r="I2723" s="332"/>
      <c r="J2723" s="321"/>
    </row>
    <row r="2724" spans="1:10" x14ac:dyDescent="0.25">
      <c r="A2724" s="303"/>
      <c r="B2724" s="333" t="s">
        <v>346</v>
      </c>
      <c r="C2724" s="317"/>
      <c r="D2724" s="318"/>
      <c r="E2724" s="319"/>
      <c r="F2724" s="320"/>
      <c r="G2724" s="320"/>
      <c r="H2724" s="332"/>
      <c r="I2724" s="332"/>
      <c r="J2724" s="321"/>
    </row>
    <row r="2725" spans="1:10" x14ac:dyDescent="0.25">
      <c r="A2725" s="303"/>
      <c r="B2725" s="333" t="s">
        <v>346</v>
      </c>
      <c r="C2725" s="317"/>
      <c r="D2725" s="318"/>
      <c r="E2725" s="319"/>
      <c r="F2725" s="320"/>
      <c r="G2725" s="320"/>
      <c r="H2725" s="332"/>
      <c r="I2725" s="332"/>
      <c r="J2725" s="321"/>
    </row>
    <row r="2726" spans="1:10" x14ac:dyDescent="0.25">
      <c r="A2726" s="303"/>
      <c r="B2726" s="310"/>
      <c r="C2726" s="334"/>
      <c r="D2726" s="312"/>
      <c r="E2726" s="313"/>
      <c r="F2726" s="313"/>
      <c r="G2726" s="313"/>
      <c r="H2726" s="343"/>
      <c r="I2726" s="338" t="s">
        <v>507</v>
      </c>
      <c r="J2726" s="315">
        <v>0</v>
      </c>
    </row>
    <row r="2727" spans="1:10" x14ac:dyDescent="0.25">
      <c r="A2727" s="303"/>
      <c r="B2727" s="310" t="s">
        <v>464</v>
      </c>
      <c r="C2727" s="311" t="s">
        <v>508</v>
      </c>
      <c r="D2727" s="345" t="s">
        <v>509</v>
      </c>
      <c r="E2727" s="324" t="s">
        <v>873</v>
      </c>
      <c r="F2727" s="324" t="s">
        <v>874</v>
      </c>
      <c r="G2727" s="324" t="s">
        <v>875</v>
      </c>
      <c r="H2727" s="336" t="s">
        <v>468</v>
      </c>
      <c r="I2727" s="324" t="s">
        <v>491</v>
      </c>
      <c r="J2727" s="322" t="s">
        <v>492</v>
      </c>
    </row>
    <row r="2728" spans="1:10" x14ac:dyDescent="0.25">
      <c r="A2728" s="303"/>
      <c r="B2728" s="337" t="s">
        <v>346</v>
      </c>
      <c r="C2728" s="311"/>
      <c r="D2728" s="345"/>
      <c r="E2728" s="314"/>
      <c r="F2728" s="314"/>
      <c r="G2728" s="314"/>
      <c r="H2728" s="329"/>
      <c r="I2728" s="314"/>
      <c r="J2728" s="315"/>
    </row>
    <row r="2729" spans="1:10" x14ac:dyDescent="0.25">
      <c r="A2729" s="303"/>
      <c r="B2729" s="333" t="s">
        <v>346</v>
      </c>
      <c r="C2729" s="317"/>
      <c r="D2729" s="346"/>
      <c r="E2729" s="320"/>
      <c r="F2729" s="320"/>
      <c r="G2729" s="320"/>
      <c r="H2729" s="332"/>
      <c r="I2729" s="320"/>
      <c r="J2729" s="321"/>
    </row>
    <row r="2730" spans="1:10" x14ac:dyDescent="0.25">
      <c r="A2730" s="303"/>
      <c r="B2730" s="333" t="s">
        <v>346</v>
      </c>
      <c r="C2730" s="317"/>
      <c r="D2730" s="346"/>
      <c r="E2730" s="320"/>
      <c r="F2730" s="320"/>
      <c r="G2730" s="320"/>
      <c r="H2730" s="332"/>
      <c r="I2730" s="320"/>
      <c r="J2730" s="321"/>
    </row>
    <row r="2731" spans="1:10" x14ac:dyDescent="0.25">
      <c r="A2731" s="303"/>
      <c r="B2731" s="333" t="s">
        <v>346</v>
      </c>
      <c r="C2731" s="317"/>
      <c r="D2731" s="346"/>
      <c r="E2731" s="320"/>
      <c r="F2731" s="320"/>
      <c r="G2731" s="320"/>
      <c r="H2731" s="332"/>
      <c r="I2731" s="320"/>
      <c r="J2731" s="321"/>
    </row>
    <row r="2732" spans="1:10" x14ac:dyDescent="0.25">
      <c r="A2732" s="303"/>
      <c r="B2732" s="333" t="s">
        <v>346</v>
      </c>
      <c r="C2732" s="317"/>
      <c r="D2732" s="346"/>
      <c r="E2732" s="320"/>
      <c r="F2732" s="320"/>
      <c r="G2732" s="320"/>
      <c r="H2732" s="332"/>
      <c r="I2732" s="320"/>
      <c r="J2732" s="321"/>
    </row>
    <row r="2733" spans="1:10" x14ac:dyDescent="0.25">
      <c r="A2733" s="303"/>
      <c r="B2733" s="333" t="s">
        <v>346</v>
      </c>
      <c r="C2733" s="317"/>
      <c r="D2733" s="346"/>
      <c r="E2733" s="320"/>
      <c r="F2733" s="320"/>
      <c r="G2733" s="320"/>
      <c r="H2733" s="332"/>
      <c r="I2733" s="320"/>
      <c r="J2733" s="321"/>
    </row>
    <row r="2734" spans="1:10" x14ac:dyDescent="0.25">
      <c r="A2734" s="303"/>
      <c r="B2734" s="333" t="s">
        <v>346</v>
      </c>
      <c r="C2734" s="317"/>
      <c r="D2734" s="346"/>
      <c r="E2734" s="320"/>
      <c r="F2734" s="320"/>
      <c r="G2734" s="320"/>
      <c r="H2734" s="332"/>
      <c r="I2734" s="320"/>
      <c r="J2734" s="321"/>
    </row>
    <row r="2735" spans="1:10" x14ac:dyDescent="0.25">
      <c r="A2735" s="303"/>
      <c r="B2735" s="310"/>
      <c r="C2735" s="334"/>
      <c r="D2735" s="312"/>
      <c r="E2735" s="313"/>
      <c r="F2735" s="313"/>
      <c r="G2735" s="313"/>
      <c r="H2735" s="313"/>
      <c r="I2735" s="338" t="s">
        <v>513</v>
      </c>
      <c r="J2735" s="315">
        <v>0</v>
      </c>
    </row>
    <row r="2736" spans="1:10" x14ac:dyDescent="0.25">
      <c r="A2736" s="303"/>
      <c r="B2736" s="310" t="s">
        <v>514</v>
      </c>
      <c r="C2736" s="334"/>
      <c r="D2736" s="312"/>
      <c r="E2736" s="313"/>
      <c r="F2736" s="313"/>
      <c r="G2736" s="313"/>
      <c r="H2736" s="313"/>
      <c r="I2736" s="313"/>
      <c r="J2736" s="315">
        <v>3.5535999999999999</v>
      </c>
    </row>
    <row r="2737" spans="1:10" x14ac:dyDescent="0.25">
      <c r="A2737" s="303"/>
      <c r="B2737" s="310" t="s">
        <v>515</v>
      </c>
      <c r="C2737" s="334"/>
      <c r="D2737" s="312">
        <v>0</v>
      </c>
      <c r="E2737" s="313"/>
      <c r="F2737" s="313"/>
      <c r="G2737" s="313"/>
      <c r="H2737" s="313"/>
      <c r="I2737" s="313"/>
      <c r="J2737" s="315">
        <v>0</v>
      </c>
    </row>
    <row r="2738" spans="1:10" ht="14.4" thickBot="1" x14ac:dyDescent="0.3">
      <c r="A2738" s="303"/>
      <c r="B2738" s="310" t="s">
        <v>516</v>
      </c>
      <c r="C2738" s="334"/>
      <c r="D2738" s="312"/>
      <c r="E2738" s="313"/>
      <c r="F2738" s="313"/>
      <c r="G2738" s="313"/>
      <c r="H2738" s="313"/>
      <c r="I2738" s="313"/>
      <c r="J2738" s="347">
        <v>3.55</v>
      </c>
    </row>
    <row r="2739" spans="1:10" x14ac:dyDescent="0.25">
      <c r="A2739" s="303"/>
      <c r="B2739" s="304"/>
      <c r="C2739" s="305"/>
      <c r="D2739" s="348"/>
      <c r="E2739" s="308"/>
      <c r="F2739" s="308"/>
      <c r="G2739" s="308"/>
      <c r="H2739" s="308"/>
      <c r="I2739" s="308"/>
      <c r="J2739" s="309"/>
    </row>
    <row r="2740" spans="1:10" x14ac:dyDescent="0.25">
      <c r="A2740" s="303"/>
      <c r="B2740" s="316"/>
      <c r="C2740" s="303"/>
      <c r="D2740" s="318"/>
      <c r="E2740" s="319"/>
      <c r="F2740" s="319"/>
      <c r="G2740" s="319"/>
      <c r="H2740" s="319"/>
      <c r="I2740" s="319"/>
      <c r="J2740" s="349"/>
    </row>
    <row r="2741" spans="1:10" x14ac:dyDescent="0.25">
      <c r="A2741" s="303"/>
      <c r="B2741" s="316"/>
      <c r="C2741" s="303"/>
      <c r="D2741" s="318"/>
      <c r="E2741" s="319"/>
      <c r="F2741" s="319"/>
      <c r="G2741" s="319"/>
      <c r="H2741" s="319"/>
      <c r="I2741" s="319"/>
      <c r="J2741" s="349"/>
    </row>
    <row r="2742" spans="1:10" ht="14.4" thickBot="1" x14ac:dyDescent="0.3">
      <c r="A2742" s="303"/>
      <c r="B2742" s="350"/>
      <c r="C2742" s="303"/>
      <c r="D2742" s="318"/>
      <c r="E2742" s="319"/>
      <c r="F2742" s="319"/>
      <c r="G2742" s="319"/>
      <c r="H2742" s="319"/>
      <c r="I2742" s="319"/>
      <c r="J2742" s="351"/>
    </row>
    <row r="2743" spans="1:10" x14ac:dyDescent="0.25">
      <c r="A2743" s="303"/>
      <c r="B2743" s="305"/>
      <c r="C2743" s="305"/>
      <c r="D2743" s="348"/>
      <c r="E2743" s="308"/>
      <c r="F2743" s="308"/>
      <c r="G2743" s="308"/>
      <c r="H2743" s="308"/>
      <c r="I2743" s="308"/>
      <c r="J2743" s="352"/>
    </row>
    <row r="2744" spans="1:10" ht="14.4" thickBot="1" x14ac:dyDescent="0.3">
      <c r="A2744" s="303"/>
      <c r="B2744" s="303"/>
      <c r="C2744" s="303"/>
      <c r="D2744" s="318"/>
      <c r="E2744" s="319"/>
      <c r="F2744" s="319"/>
      <c r="G2744" s="319"/>
      <c r="H2744" s="319"/>
      <c r="I2744" s="319"/>
      <c r="J2744" s="353"/>
    </row>
    <row r="2745" spans="1:10" x14ac:dyDescent="0.25">
      <c r="A2745" s="303"/>
      <c r="B2745" s="304"/>
      <c r="C2745" s="305"/>
      <c r="D2745" s="306" t="s">
        <v>463</v>
      </c>
      <c r="E2745" s="307"/>
      <c r="F2745" s="307"/>
      <c r="G2745" s="308"/>
      <c r="H2745" s="308"/>
      <c r="I2745" s="308"/>
      <c r="J2745" s="309"/>
    </row>
    <row r="2746" spans="1:10" x14ac:dyDescent="0.25">
      <c r="A2746" s="303"/>
      <c r="B2746" s="310" t="s">
        <v>464</v>
      </c>
      <c r="C2746" s="311" t="s">
        <v>134</v>
      </c>
      <c r="D2746" s="312"/>
      <c r="E2746" s="313"/>
      <c r="F2746" s="313"/>
      <c r="G2746" s="313"/>
      <c r="H2746" s="314"/>
      <c r="I2746" s="313"/>
      <c r="J2746" s="315" t="s">
        <v>465</v>
      </c>
    </row>
    <row r="2747" spans="1:10" x14ac:dyDescent="0.25">
      <c r="A2747" s="303"/>
      <c r="B2747" s="316">
        <v>4915708</v>
      </c>
      <c r="C2747" s="317" t="s">
        <v>398</v>
      </c>
      <c r="D2747" s="318"/>
      <c r="E2747" s="319"/>
      <c r="F2747" s="319"/>
      <c r="G2747" s="319"/>
      <c r="H2747" s="320"/>
      <c r="I2747" s="319"/>
      <c r="J2747" s="321" t="s">
        <v>372</v>
      </c>
    </row>
    <row r="2748" spans="1:10" x14ac:dyDescent="0.25">
      <c r="A2748" s="303"/>
      <c r="B2748" s="310"/>
      <c r="C2748" s="311"/>
      <c r="D2748" s="312"/>
      <c r="E2748" s="314"/>
      <c r="F2748" s="314" t="s">
        <v>466</v>
      </c>
      <c r="G2748" s="314"/>
      <c r="H2748" s="314" t="s">
        <v>467</v>
      </c>
      <c r="I2748" s="314"/>
      <c r="J2748" s="322" t="s">
        <v>468</v>
      </c>
    </row>
    <row r="2749" spans="1:10" x14ac:dyDescent="0.25">
      <c r="A2749" s="303"/>
      <c r="B2749" s="316" t="s">
        <v>464</v>
      </c>
      <c r="C2749" s="317" t="s">
        <v>469</v>
      </c>
      <c r="D2749" s="318"/>
      <c r="E2749" s="323" t="s">
        <v>355</v>
      </c>
      <c r="F2749" s="324" t="s">
        <v>470</v>
      </c>
      <c r="G2749" s="324" t="s">
        <v>471</v>
      </c>
      <c r="H2749" s="324" t="s">
        <v>472</v>
      </c>
      <c r="I2749" s="325" t="s">
        <v>473</v>
      </c>
      <c r="J2749" s="326" t="s">
        <v>474</v>
      </c>
    </row>
    <row r="2750" spans="1:10" x14ac:dyDescent="0.25">
      <c r="A2750" s="303"/>
      <c r="B2750" s="337" t="s">
        <v>346</v>
      </c>
      <c r="C2750" s="311"/>
      <c r="D2750" s="312"/>
      <c r="E2750" s="328"/>
      <c r="F2750" s="328"/>
      <c r="G2750" s="328"/>
      <c r="H2750" s="329"/>
      <c r="I2750" s="329"/>
      <c r="J2750" s="315"/>
    </row>
    <row r="2751" spans="1:10" x14ac:dyDescent="0.25">
      <c r="A2751" s="303"/>
      <c r="B2751" s="333" t="s">
        <v>346</v>
      </c>
      <c r="C2751" s="317"/>
      <c r="D2751" s="318"/>
      <c r="E2751" s="331"/>
      <c r="F2751" s="331"/>
      <c r="G2751" s="331"/>
      <c r="H2751" s="332"/>
      <c r="I2751" s="332"/>
      <c r="J2751" s="321"/>
    </row>
    <row r="2752" spans="1:10" x14ac:dyDescent="0.25">
      <c r="A2752" s="303"/>
      <c r="B2752" s="333" t="s">
        <v>346</v>
      </c>
      <c r="C2752" s="317"/>
      <c r="D2752" s="318"/>
      <c r="E2752" s="331"/>
      <c r="F2752" s="331"/>
      <c r="G2752" s="331"/>
      <c r="H2752" s="332"/>
      <c r="I2752" s="332"/>
      <c r="J2752" s="321"/>
    </row>
    <row r="2753" spans="1:10" x14ac:dyDescent="0.25">
      <c r="A2753" s="303"/>
      <c r="B2753" s="333" t="s">
        <v>346</v>
      </c>
      <c r="C2753" s="317"/>
      <c r="D2753" s="318"/>
      <c r="E2753" s="331"/>
      <c r="F2753" s="331"/>
      <c r="G2753" s="331"/>
      <c r="H2753" s="332"/>
      <c r="I2753" s="332"/>
      <c r="J2753" s="321"/>
    </row>
    <row r="2754" spans="1:10" x14ac:dyDescent="0.25">
      <c r="A2754" s="303"/>
      <c r="B2754" s="333" t="s">
        <v>346</v>
      </c>
      <c r="C2754" s="317"/>
      <c r="D2754" s="318"/>
      <c r="E2754" s="331"/>
      <c r="F2754" s="331"/>
      <c r="G2754" s="331"/>
      <c r="H2754" s="332"/>
      <c r="I2754" s="332"/>
      <c r="J2754" s="321"/>
    </row>
    <row r="2755" spans="1:10" x14ac:dyDescent="0.25">
      <c r="A2755" s="303"/>
      <c r="B2755" s="333" t="s">
        <v>346</v>
      </c>
      <c r="C2755" s="317"/>
      <c r="D2755" s="318"/>
      <c r="E2755" s="331"/>
      <c r="F2755" s="331"/>
      <c r="G2755" s="331"/>
      <c r="H2755" s="332"/>
      <c r="I2755" s="332"/>
      <c r="J2755" s="321"/>
    </row>
    <row r="2756" spans="1:10" x14ac:dyDescent="0.25">
      <c r="A2756" s="303"/>
      <c r="B2756" s="333" t="s">
        <v>346</v>
      </c>
      <c r="C2756" s="317"/>
      <c r="D2756" s="318"/>
      <c r="E2756" s="331"/>
      <c r="F2756" s="331"/>
      <c r="G2756" s="331"/>
      <c r="H2756" s="332"/>
      <c r="I2756" s="332"/>
      <c r="J2756" s="321"/>
    </row>
    <row r="2757" spans="1:10" x14ac:dyDescent="0.25">
      <c r="A2757" s="303"/>
      <c r="B2757" s="310"/>
      <c r="C2757" s="334"/>
      <c r="D2757" s="312"/>
      <c r="E2757" s="313"/>
      <c r="F2757" s="313"/>
      <c r="G2757" s="313"/>
      <c r="H2757" s="313"/>
      <c r="I2757" s="335" t="s">
        <v>479</v>
      </c>
      <c r="J2757" s="315">
        <v>0</v>
      </c>
    </row>
    <row r="2758" spans="1:10" x14ac:dyDescent="0.25">
      <c r="A2758" s="303"/>
      <c r="B2758" s="310" t="s">
        <v>464</v>
      </c>
      <c r="C2758" s="311" t="s">
        <v>480</v>
      </c>
      <c r="D2758" s="312"/>
      <c r="E2758" s="313"/>
      <c r="F2758" s="313"/>
      <c r="G2758" s="313"/>
      <c r="H2758" s="324" t="s">
        <v>355</v>
      </c>
      <c r="I2758" s="336" t="s">
        <v>481</v>
      </c>
      <c r="J2758" s="322" t="s">
        <v>331</v>
      </c>
    </row>
    <row r="2759" spans="1:10" x14ac:dyDescent="0.25">
      <c r="A2759" s="303"/>
      <c r="B2759" s="337" t="s">
        <v>482</v>
      </c>
      <c r="C2759" s="311" t="s">
        <v>483</v>
      </c>
      <c r="D2759" s="312"/>
      <c r="E2759" s="313"/>
      <c r="F2759" s="313"/>
      <c r="G2759" s="313"/>
      <c r="H2759" s="314">
        <v>10</v>
      </c>
      <c r="I2759" s="329">
        <v>17.768000000000001</v>
      </c>
      <c r="J2759" s="315">
        <v>177.68</v>
      </c>
    </row>
    <row r="2760" spans="1:10" x14ac:dyDescent="0.25">
      <c r="A2760" s="303"/>
      <c r="B2760" s="333" t="s">
        <v>346</v>
      </c>
      <c r="C2760" s="317"/>
      <c r="D2760" s="318"/>
      <c r="E2760" s="319"/>
      <c r="F2760" s="319"/>
      <c r="G2760" s="319"/>
      <c r="H2760" s="320"/>
      <c r="I2760" s="332"/>
      <c r="J2760" s="321"/>
    </row>
    <row r="2761" spans="1:10" x14ac:dyDescent="0.25">
      <c r="A2761" s="303"/>
      <c r="B2761" s="333" t="s">
        <v>346</v>
      </c>
      <c r="C2761" s="317"/>
      <c r="D2761" s="318"/>
      <c r="E2761" s="319"/>
      <c r="F2761" s="319"/>
      <c r="G2761" s="319"/>
      <c r="H2761" s="320"/>
      <c r="I2761" s="332"/>
      <c r="J2761" s="321"/>
    </row>
    <row r="2762" spans="1:10" x14ac:dyDescent="0.25">
      <c r="A2762" s="303"/>
      <c r="B2762" s="333" t="s">
        <v>346</v>
      </c>
      <c r="C2762" s="317"/>
      <c r="D2762" s="318"/>
      <c r="E2762" s="319"/>
      <c r="F2762" s="319"/>
      <c r="G2762" s="319"/>
      <c r="H2762" s="320"/>
      <c r="I2762" s="332"/>
      <c r="J2762" s="321"/>
    </row>
    <row r="2763" spans="1:10" x14ac:dyDescent="0.25">
      <c r="A2763" s="303"/>
      <c r="B2763" s="333" t="s">
        <v>346</v>
      </c>
      <c r="C2763" s="317"/>
      <c r="D2763" s="318"/>
      <c r="E2763" s="319"/>
      <c r="F2763" s="319"/>
      <c r="G2763" s="319"/>
      <c r="H2763" s="320"/>
      <c r="I2763" s="332"/>
      <c r="J2763" s="321"/>
    </row>
    <row r="2764" spans="1:10" x14ac:dyDescent="0.25">
      <c r="A2764" s="303"/>
      <c r="B2764" s="333" t="s">
        <v>346</v>
      </c>
      <c r="C2764" s="317"/>
      <c r="D2764" s="318"/>
      <c r="E2764" s="319"/>
      <c r="F2764" s="319"/>
      <c r="G2764" s="319"/>
      <c r="H2764" s="320"/>
      <c r="I2764" s="332"/>
      <c r="J2764" s="321"/>
    </row>
    <row r="2765" spans="1:10" x14ac:dyDescent="0.25">
      <c r="A2765" s="303"/>
      <c r="B2765" s="333" t="s">
        <v>346</v>
      </c>
      <c r="C2765" s="317"/>
      <c r="D2765" s="318"/>
      <c r="E2765" s="319"/>
      <c r="F2765" s="319"/>
      <c r="G2765" s="319"/>
      <c r="H2765" s="320"/>
      <c r="I2765" s="332"/>
      <c r="J2765" s="321"/>
    </row>
    <row r="2766" spans="1:10" x14ac:dyDescent="0.25">
      <c r="A2766" s="303"/>
      <c r="B2766" s="310"/>
      <c r="C2766" s="334"/>
      <c r="D2766" s="312"/>
      <c r="E2766" s="313"/>
      <c r="F2766" s="313"/>
      <c r="G2766" s="313"/>
      <c r="H2766" s="313"/>
      <c r="I2766" s="338" t="s">
        <v>484</v>
      </c>
      <c r="J2766" s="315">
        <v>177.68</v>
      </c>
    </row>
    <row r="2767" spans="1:10" x14ac:dyDescent="0.25">
      <c r="A2767" s="303"/>
      <c r="B2767" s="339"/>
      <c r="C2767" s="334"/>
      <c r="D2767" s="312"/>
      <c r="E2767" s="313"/>
      <c r="F2767" s="313"/>
      <c r="G2767" s="313"/>
      <c r="H2767" s="313"/>
      <c r="I2767" s="338" t="s">
        <v>485</v>
      </c>
      <c r="J2767" s="340">
        <v>177.68</v>
      </c>
    </row>
    <row r="2768" spans="1:10" x14ac:dyDescent="0.25">
      <c r="A2768" s="303"/>
      <c r="B2768" s="339"/>
      <c r="C2768" s="341" t="s">
        <v>486</v>
      </c>
      <c r="D2768" s="312">
        <v>300</v>
      </c>
      <c r="E2768" s="313"/>
      <c r="F2768" s="313"/>
      <c r="G2768" s="313"/>
      <c r="H2768" s="313"/>
      <c r="I2768" s="338" t="s">
        <v>487</v>
      </c>
      <c r="J2768" s="340">
        <v>0.59230000000000005</v>
      </c>
    </row>
    <row r="2769" spans="1:10" x14ac:dyDescent="0.25">
      <c r="A2769" s="303"/>
      <c r="B2769" s="310"/>
      <c r="C2769" s="334"/>
      <c r="D2769" s="312"/>
      <c r="E2769" s="313"/>
      <c r="F2769" s="313"/>
      <c r="G2769" s="313"/>
      <c r="H2769" s="338" t="s">
        <v>488</v>
      </c>
      <c r="I2769" s="342">
        <v>0</v>
      </c>
      <c r="J2769" s="315">
        <v>0</v>
      </c>
    </row>
    <row r="2770" spans="1:10" x14ac:dyDescent="0.25">
      <c r="A2770" s="303"/>
      <c r="B2770" s="310"/>
      <c r="C2770" s="334"/>
      <c r="D2770" s="312"/>
      <c r="E2770" s="313"/>
      <c r="F2770" s="313"/>
      <c r="G2770" s="313"/>
      <c r="H2770" s="335" t="s">
        <v>489</v>
      </c>
      <c r="I2770" s="343">
        <v>0</v>
      </c>
      <c r="J2770" s="315">
        <v>0</v>
      </c>
    </row>
    <row r="2771" spans="1:10" x14ac:dyDescent="0.25">
      <c r="A2771" s="303"/>
      <c r="B2771" s="310" t="s">
        <v>464</v>
      </c>
      <c r="C2771" s="311" t="s">
        <v>490</v>
      </c>
      <c r="D2771" s="312"/>
      <c r="E2771" s="313"/>
      <c r="F2771" s="313"/>
      <c r="G2771" s="314" t="s">
        <v>465</v>
      </c>
      <c r="H2771" s="336" t="s">
        <v>468</v>
      </c>
      <c r="I2771" s="336" t="s">
        <v>491</v>
      </c>
      <c r="J2771" s="322" t="s">
        <v>492</v>
      </c>
    </row>
    <row r="2772" spans="1:10" x14ac:dyDescent="0.25">
      <c r="A2772" s="303"/>
      <c r="B2772" s="337" t="s">
        <v>346</v>
      </c>
      <c r="C2772" s="311"/>
      <c r="D2772" s="312"/>
      <c r="E2772" s="313"/>
      <c r="F2772" s="313"/>
      <c r="G2772" s="314"/>
      <c r="H2772" s="329"/>
      <c r="I2772" s="329"/>
      <c r="J2772" s="315"/>
    </row>
    <row r="2773" spans="1:10" x14ac:dyDescent="0.25">
      <c r="A2773" s="303"/>
      <c r="B2773" s="333" t="s">
        <v>346</v>
      </c>
      <c r="C2773" s="317"/>
      <c r="D2773" s="318"/>
      <c r="E2773" s="319"/>
      <c r="F2773" s="319"/>
      <c r="G2773" s="320"/>
      <c r="H2773" s="332"/>
      <c r="I2773" s="332"/>
      <c r="J2773" s="321"/>
    </row>
    <row r="2774" spans="1:10" x14ac:dyDescent="0.25">
      <c r="A2774" s="303"/>
      <c r="B2774" s="333" t="s">
        <v>346</v>
      </c>
      <c r="C2774" s="317"/>
      <c r="D2774" s="318"/>
      <c r="E2774" s="319"/>
      <c r="F2774" s="319"/>
      <c r="G2774" s="320"/>
      <c r="H2774" s="332"/>
      <c r="I2774" s="332"/>
      <c r="J2774" s="321"/>
    </row>
    <row r="2775" spans="1:10" x14ac:dyDescent="0.25">
      <c r="A2775" s="303"/>
      <c r="B2775" s="333" t="s">
        <v>346</v>
      </c>
      <c r="C2775" s="317"/>
      <c r="D2775" s="318"/>
      <c r="E2775" s="319"/>
      <c r="F2775" s="319"/>
      <c r="G2775" s="320"/>
      <c r="H2775" s="332"/>
      <c r="I2775" s="332"/>
      <c r="J2775" s="321"/>
    </row>
    <row r="2776" spans="1:10" x14ac:dyDescent="0.25">
      <c r="A2776" s="303"/>
      <c r="B2776" s="333" t="s">
        <v>346</v>
      </c>
      <c r="C2776" s="317"/>
      <c r="D2776" s="318"/>
      <c r="E2776" s="319"/>
      <c r="F2776" s="319"/>
      <c r="G2776" s="320"/>
      <c r="H2776" s="332"/>
      <c r="I2776" s="332"/>
      <c r="J2776" s="321"/>
    </row>
    <row r="2777" spans="1:10" x14ac:dyDescent="0.25">
      <c r="A2777" s="303"/>
      <c r="B2777" s="333" t="s">
        <v>346</v>
      </c>
      <c r="C2777" s="317"/>
      <c r="D2777" s="318"/>
      <c r="E2777" s="319"/>
      <c r="F2777" s="319"/>
      <c r="G2777" s="320"/>
      <c r="H2777" s="332"/>
      <c r="I2777" s="332"/>
      <c r="J2777" s="321"/>
    </row>
    <row r="2778" spans="1:10" x14ac:dyDescent="0.25">
      <c r="A2778" s="303"/>
      <c r="B2778" s="333" t="s">
        <v>346</v>
      </c>
      <c r="C2778" s="317"/>
      <c r="D2778" s="318"/>
      <c r="E2778" s="319"/>
      <c r="F2778" s="319"/>
      <c r="G2778" s="320"/>
      <c r="H2778" s="332"/>
      <c r="I2778" s="332"/>
      <c r="J2778" s="321"/>
    </row>
    <row r="2779" spans="1:10" x14ac:dyDescent="0.25">
      <c r="A2779" s="303"/>
      <c r="B2779" s="310"/>
      <c r="C2779" s="334"/>
      <c r="D2779" s="312"/>
      <c r="E2779" s="313"/>
      <c r="F2779" s="313"/>
      <c r="G2779" s="313"/>
      <c r="H2779" s="343"/>
      <c r="I2779" s="335" t="s">
        <v>498</v>
      </c>
      <c r="J2779" s="315">
        <v>0</v>
      </c>
    </row>
    <row r="2780" spans="1:10" x14ac:dyDescent="0.25">
      <c r="A2780" s="303"/>
      <c r="B2780" s="310" t="s">
        <v>464</v>
      </c>
      <c r="C2780" s="311" t="s">
        <v>499</v>
      </c>
      <c r="D2780" s="312"/>
      <c r="E2780" s="313"/>
      <c r="F2780" s="313"/>
      <c r="G2780" s="314" t="s">
        <v>465</v>
      </c>
      <c r="H2780" s="336" t="s">
        <v>468</v>
      </c>
      <c r="I2780" s="336" t="s">
        <v>491</v>
      </c>
      <c r="J2780" s="322" t="s">
        <v>492</v>
      </c>
    </row>
    <row r="2781" spans="1:10" x14ac:dyDescent="0.25">
      <c r="A2781" s="303"/>
      <c r="B2781" s="337"/>
      <c r="C2781" s="311"/>
      <c r="D2781" s="312"/>
      <c r="E2781" s="313"/>
      <c r="F2781" s="313"/>
      <c r="G2781" s="314"/>
      <c r="H2781" s="329"/>
      <c r="I2781" s="329"/>
      <c r="J2781" s="315"/>
    </row>
    <row r="2782" spans="1:10" x14ac:dyDescent="0.25">
      <c r="A2782" s="303"/>
      <c r="B2782" s="333"/>
      <c r="C2782" s="317"/>
      <c r="D2782" s="318"/>
      <c r="E2782" s="319"/>
      <c r="F2782" s="319"/>
      <c r="G2782" s="320"/>
      <c r="H2782" s="332"/>
      <c r="I2782" s="332"/>
      <c r="J2782" s="321"/>
    </row>
    <row r="2783" spans="1:10" x14ac:dyDescent="0.25">
      <c r="A2783" s="303"/>
      <c r="B2783" s="333"/>
      <c r="C2783" s="317"/>
      <c r="D2783" s="318"/>
      <c r="E2783" s="319"/>
      <c r="F2783" s="319"/>
      <c r="G2783" s="320"/>
      <c r="H2783" s="332"/>
      <c r="I2783" s="332"/>
      <c r="J2783" s="321"/>
    </row>
    <row r="2784" spans="1:10" x14ac:dyDescent="0.25">
      <c r="A2784" s="303"/>
      <c r="B2784" s="333"/>
      <c r="C2784" s="317"/>
      <c r="D2784" s="318"/>
      <c r="E2784" s="319"/>
      <c r="F2784" s="319"/>
      <c r="G2784" s="320"/>
      <c r="H2784" s="332"/>
      <c r="I2784" s="332"/>
      <c r="J2784" s="321"/>
    </row>
    <row r="2785" spans="1:10" x14ac:dyDescent="0.25">
      <c r="A2785" s="303"/>
      <c r="B2785" s="333"/>
      <c r="C2785" s="317"/>
      <c r="D2785" s="318"/>
      <c r="E2785" s="319"/>
      <c r="F2785" s="319"/>
      <c r="G2785" s="320"/>
      <c r="H2785" s="332"/>
      <c r="I2785" s="332"/>
      <c r="J2785" s="321"/>
    </row>
    <row r="2786" spans="1:10" x14ac:dyDescent="0.25">
      <c r="A2786" s="303"/>
      <c r="B2786" s="310"/>
      <c r="C2786" s="334"/>
      <c r="D2786" s="312"/>
      <c r="E2786" s="313"/>
      <c r="F2786" s="313"/>
      <c r="G2786" s="313"/>
      <c r="H2786" s="343"/>
      <c r="I2786" s="335" t="s">
        <v>501</v>
      </c>
      <c r="J2786" s="315">
        <v>0</v>
      </c>
    </row>
    <row r="2787" spans="1:10" x14ac:dyDescent="0.25">
      <c r="A2787" s="303"/>
      <c r="B2787" s="310" t="s">
        <v>464</v>
      </c>
      <c r="C2787" s="311" t="s">
        <v>502</v>
      </c>
      <c r="D2787" s="312"/>
      <c r="E2787" s="313"/>
      <c r="F2787" s="314" t="s">
        <v>464</v>
      </c>
      <c r="G2787" s="324" t="s">
        <v>503</v>
      </c>
      <c r="H2787" s="329" t="s">
        <v>465</v>
      </c>
      <c r="I2787" s="336" t="s">
        <v>468</v>
      </c>
      <c r="J2787" s="322" t="s">
        <v>492</v>
      </c>
    </row>
    <row r="2788" spans="1:10" x14ac:dyDescent="0.25">
      <c r="A2788" s="303"/>
      <c r="B2788" s="337" t="s">
        <v>346</v>
      </c>
      <c r="C2788" s="311"/>
      <c r="D2788" s="312"/>
      <c r="E2788" s="313"/>
      <c r="F2788" s="314"/>
      <c r="G2788" s="314"/>
      <c r="H2788" s="329"/>
      <c r="I2788" s="329"/>
      <c r="J2788" s="315"/>
    </row>
    <row r="2789" spans="1:10" x14ac:dyDescent="0.25">
      <c r="A2789" s="303"/>
      <c r="B2789" s="333" t="s">
        <v>346</v>
      </c>
      <c r="C2789" s="317"/>
      <c r="D2789" s="318"/>
      <c r="E2789" s="319"/>
      <c r="F2789" s="320"/>
      <c r="G2789" s="320"/>
      <c r="H2789" s="332"/>
      <c r="I2789" s="332"/>
      <c r="J2789" s="321"/>
    </row>
    <row r="2790" spans="1:10" x14ac:dyDescent="0.25">
      <c r="A2790" s="303"/>
      <c r="B2790" s="333" t="s">
        <v>346</v>
      </c>
      <c r="C2790" s="317"/>
      <c r="D2790" s="318"/>
      <c r="E2790" s="319"/>
      <c r="F2790" s="320"/>
      <c r="G2790" s="320"/>
      <c r="H2790" s="332"/>
      <c r="I2790" s="332"/>
      <c r="J2790" s="321"/>
    </row>
    <row r="2791" spans="1:10" x14ac:dyDescent="0.25">
      <c r="A2791" s="303"/>
      <c r="B2791" s="333" t="s">
        <v>346</v>
      </c>
      <c r="C2791" s="317"/>
      <c r="D2791" s="318"/>
      <c r="E2791" s="319"/>
      <c r="F2791" s="320"/>
      <c r="G2791" s="320"/>
      <c r="H2791" s="332"/>
      <c r="I2791" s="332"/>
      <c r="J2791" s="321"/>
    </row>
    <row r="2792" spans="1:10" x14ac:dyDescent="0.25">
      <c r="A2792" s="303"/>
      <c r="B2792" s="333" t="s">
        <v>346</v>
      </c>
      <c r="C2792" s="317"/>
      <c r="D2792" s="318"/>
      <c r="E2792" s="319"/>
      <c r="F2792" s="320"/>
      <c r="G2792" s="320"/>
      <c r="H2792" s="332"/>
      <c r="I2792" s="332"/>
      <c r="J2792" s="321"/>
    </row>
    <row r="2793" spans="1:10" x14ac:dyDescent="0.25">
      <c r="A2793" s="303"/>
      <c r="B2793" s="310"/>
      <c r="C2793" s="334"/>
      <c r="D2793" s="312"/>
      <c r="E2793" s="313"/>
      <c r="F2793" s="313"/>
      <c r="G2793" s="313"/>
      <c r="H2793" s="343"/>
      <c r="I2793" s="338" t="s">
        <v>507</v>
      </c>
      <c r="J2793" s="315">
        <v>0</v>
      </c>
    </row>
    <row r="2794" spans="1:10" x14ac:dyDescent="0.25">
      <c r="A2794" s="303"/>
      <c r="B2794" s="310" t="s">
        <v>464</v>
      </c>
      <c r="C2794" s="311" t="s">
        <v>508</v>
      </c>
      <c r="D2794" s="345" t="s">
        <v>509</v>
      </c>
      <c r="E2794" s="324" t="s">
        <v>873</v>
      </c>
      <c r="F2794" s="324" t="s">
        <v>874</v>
      </c>
      <c r="G2794" s="324" t="s">
        <v>875</v>
      </c>
      <c r="H2794" s="336" t="s">
        <v>468</v>
      </c>
      <c r="I2794" s="324" t="s">
        <v>491</v>
      </c>
      <c r="J2794" s="322" t="s">
        <v>492</v>
      </c>
    </row>
    <row r="2795" spans="1:10" x14ac:dyDescent="0.25">
      <c r="A2795" s="303"/>
      <c r="B2795" s="337" t="s">
        <v>346</v>
      </c>
      <c r="C2795" s="311"/>
      <c r="D2795" s="345"/>
      <c r="E2795" s="314"/>
      <c r="F2795" s="314"/>
      <c r="G2795" s="314"/>
      <c r="H2795" s="329"/>
      <c r="I2795" s="314"/>
      <c r="J2795" s="315"/>
    </row>
    <row r="2796" spans="1:10" x14ac:dyDescent="0.25">
      <c r="A2796" s="303"/>
      <c r="B2796" s="333" t="s">
        <v>346</v>
      </c>
      <c r="C2796" s="317"/>
      <c r="D2796" s="346"/>
      <c r="E2796" s="320"/>
      <c r="F2796" s="320"/>
      <c r="G2796" s="320"/>
      <c r="H2796" s="332"/>
      <c r="I2796" s="320"/>
      <c r="J2796" s="321"/>
    </row>
    <row r="2797" spans="1:10" x14ac:dyDescent="0.25">
      <c r="A2797" s="303"/>
      <c r="B2797" s="333" t="s">
        <v>346</v>
      </c>
      <c r="C2797" s="317"/>
      <c r="D2797" s="346"/>
      <c r="E2797" s="320"/>
      <c r="F2797" s="320"/>
      <c r="G2797" s="320"/>
      <c r="H2797" s="332"/>
      <c r="I2797" s="320"/>
      <c r="J2797" s="321"/>
    </row>
    <row r="2798" spans="1:10" x14ac:dyDescent="0.25">
      <c r="A2798" s="303"/>
      <c r="B2798" s="333" t="s">
        <v>346</v>
      </c>
      <c r="C2798" s="317"/>
      <c r="D2798" s="346"/>
      <c r="E2798" s="320"/>
      <c r="F2798" s="320"/>
      <c r="G2798" s="320"/>
      <c r="H2798" s="332"/>
      <c r="I2798" s="320"/>
      <c r="J2798" s="321"/>
    </row>
    <row r="2799" spans="1:10" x14ac:dyDescent="0.25">
      <c r="A2799" s="303"/>
      <c r="B2799" s="333" t="s">
        <v>346</v>
      </c>
      <c r="C2799" s="317"/>
      <c r="D2799" s="346"/>
      <c r="E2799" s="320"/>
      <c r="F2799" s="320"/>
      <c r="G2799" s="320"/>
      <c r="H2799" s="332"/>
      <c r="I2799" s="320"/>
      <c r="J2799" s="321"/>
    </row>
    <row r="2800" spans="1:10" x14ac:dyDescent="0.25">
      <c r="A2800" s="303"/>
      <c r="B2800" s="333" t="s">
        <v>346</v>
      </c>
      <c r="C2800" s="317"/>
      <c r="D2800" s="346"/>
      <c r="E2800" s="320"/>
      <c r="F2800" s="320"/>
      <c r="G2800" s="320"/>
      <c r="H2800" s="332"/>
      <c r="I2800" s="320"/>
      <c r="J2800" s="321"/>
    </row>
    <row r="2801" spans="1:10" x14ac:dyDescent="0.25">
      <c r="A2801" s="303"/>
      <c r="B2801" s="333" t="s">
        <v>346</v>
      </c>
      <c r="C2801" s="317"/>
      <c r="D2801" s="346"/>
      <c r="E2801" s="320"/>
      <c r="F2801" s="320"/>
      <c r="G2801" s="320"/>
      <c r="H2801" s="332"/>
      <c r="I2801" s="320"/>
      <c r="J2801" s="321"/>
    </row>
    <row r="2802" spans="1:10" x14ac:dyDescent="0.25">
      <c r="A2802" s="303"/>
      <c r="B2802" s="310"/>
      <c r="C2802" s="334"/>
      <c r="D2802" s="312"/>
      <c r="E2802" s="313"/>
      <c r="F2802" s="313"/>
      <c r="G2802" s="313"/>
      <c r="H2802" s="313"/>
      <c r="I2802" s="338" t="s">
        <v>513</v>
      </c>
      <c r="J2802" s="315">
        <v>0</v>
      </c>
    </row>
    <row r="2803" spans="1:10" x14ac:dyDescent="0.25">
      <c r="A2803" s="303"/>
      <c r="B2803" s="310" t="s">
        <v>514</v>
      </c>
      <c r="C2803" s="334"/>
      <c r="D2803" s="312"/>
      <c r="E2803" s="313"/>
      <c r="F2803" s="313"/>
      <c r="G2803" s="313"/>
      <c r="H2803" s="313"/>
      <c r="I2803" s="313"/>
      <c r="J2803" s="315">
        <v>0.59230000000000005</v>
      </c>
    </row>
    <row r="2804" spans="1:10" x14ac:dyDescent="0.25">
      <c r="A2804" s="303"/>
      <c r="B2804" s="310" t="s">
        <v>515</v>
      </c>
      <c r="C2804" s="334"/>
      <c r="D2804" s="312">
        <v>0</v>
      </c>
      <c r="E2804" s="313"/>
      <c r="F2804" s="313"/>
      <c r="G2804" s="313"/>
      <c r="H2804" s="313"/>
      <c r="I2804" s="313"/>
      <c r="J2804" s="315">
        <v>0</v>
      </c>
    </row>
    <row r="2805" spans="1:10" ht="14.4" thickBot="1" x14ac:dyDescent="0.3">
      <c r="A2805" s="303"/>
      <c r="B2805" s="310" t="s">
        <v>516</v>
      </c>
      <c r="C2805" s="334"/>
      <c r="D2805" s="312"/>
      <c r="E2805" s="313"/>
      <c r="F2805" s="313"/>
      <c r="G2805" s="313"/>
      <c r="H2805" s="313"/>
      <c r="I2805" s="313"/>
      <c r="J2805" s="347">
        <v>0.59</v>
      </c>
    </row>
    <row r="2806" spans="1:10" x14ac:dyDescent="0.25">
      <c r="A2806" s="303"/>
      <c r="B2806" s="304"/>
      <c r="C2806" s="305"/>
      <c r="D2806" s="348"/>
      <c r="E2806" s="308"/>
      <c r="F2806" s="308"/>
      <c r="G2806" s="308"/>
      <c r="H2806" s="308"/>
      <c r="I2806" s="308"/>
      <c r="J2806" s="309"/>
    </row>
    <row r="2807" spans="1:10" x14ac:dyDescent="0.25">
      <c r="A2807" s="303"/>
      <c r="B2807" s="316"/>
      <c r="C2807" s="303"/>
      <c r="D2807" s="318"/>
      <c r="E2807" s="319"/>
      <c r="F2807" s="319"/>
      <c r="G2807" s="319"/>
      <c r="H2807" s="319"/>
      <c r="I2807" s="319"/>
      <c r="J2807" s="349"/>
    </row>
    <row r="2808" spans="1:10" x14ac:dyDescent="0.25">
      <c r="A2808" s="303"/>
      <c r="B2808" s="316"/>
      <c r="C2808" s="303"/>
      <c r="D2808" s="318"/>
      <c r="E2808" s="319"/>
      <c r="F2808" s="319"/>
      <c r="G2808" s="319"/>
      <c r="H2808" s="319"/>
      <c r="I2808" s="319"/>
      <c r="J2808" s="349"/>
    </row>
    <row r="2809" spans="1:10" ht="14.4" thickBot="1" x14ac:dyDescent="0.3">
      <c r="A2809" s="303"/>
      <c r="B2809" s="350"/>
      <c r="C2809" s="303"/>
      <c r="D2809" s="318"/>
      <c r="E2809" s="319"/>
      <c r="F2809" s="319"/>
      <c r="G2809" s="319"/>
      <c r="H2809" s="319"/>
      <c r="I2809" s="319"/>
      <c r="J2809" s="351"/>
    </row>
    <row r="2810" spans="1:10" x14ac:dyDescent="0.25">
      <c r="A2810" s="303"/>
      <c r="B2810" s="305"/>
      <c r="C2810" s="305"/>
      <c r="D2810" s="348"/>
      <c r="E2810" s="308"/>
      <c r="F2810" s="308"/>
      <c r="G2810" s="308"/>
      <c r="H2810" s="308"/>
      <c r="I2810" s="308"/>
      <c r="J2810" s="352"/>
    </row>
    <row r="2811" spans="1:10" ht="14.4" thickBot="1" x14ac:dyDescent="0.3">
      <c r="A2811" s="303"/>
      <c r="B2811" s="303"/>
      <c r="C2811" s="303"/>
      <c r="D2811" s="318"/>
      <c r="E2811" s="319"/>
      <c r="F2811" s="319"/>
      <c r="G2811" s="319"/>
      <c r="H2811" s="319"/>
      <c r="I2811" s="319"/>
      <c r="J2811" s="353"/>
    </row>
    <row r="2812" spans="1:10" x14ac:dyDescent="0.25">
      <c r="A2812" s="303"/>
      <c r="B2812" s="304"/>
      <c r="C2812" s="305"/>
      <c r="D2812" s="306" t="s">
        <v>463</v>
      </c>
      <c r="E2812" s="307"/>
      <c r="F2812" s="307"/>
      <c r="G2812" s="308"/>
      <c r="H2812" s="308"/>
      <c r="I2812" s="308"/>
      <c r="J2812" s="309"/>
    </row>
    <row r="2813" spans="1:10" x14ac:dyDescent="0.25">
      <c r="A2813" s="303"/>
      <c r="B2813" s="310" t="s">
        <v>464</v>
      </c>
      <c r="C2813" s="311" t="s">
        <v>134</v>
      </c>
      <c r="D2813" s="312"/>
      <c r="E2813" s="313"/>
      <c r="F2813" s="313"/>
      <c r="G2813" s="313"/>
      <c r="H2813" s="314"/>
      <c r="I2813" s="313"/>
      <c r="J2813" s="315" t="s">
        <v>465</v>
      </c>
    </row>
    <row r="2814" spans="1:10" x14ac:dyDescent="0.25">
      <c r="A2814" s="303"/>
      <c r="B2814" s="316">
        <v>4915710</v>
      </c>
      <c r="C2814" s="317" t="s">
        <v>400</v>
      </c>
      <c r="D2814" s="318"/>
      <c r="E2814" s="319"/>
      <c r="F2814" s="319"/>
      <c r="G2814" s="319"/>
      <c r="H2814" s="320"/>
      <c r="I2814" s="319"/>
      <c r="J2814" s="321" t="s">
        <v>372</v>
      </c>
    </row>
    <row r="2815" spans="1:10" x14ac:dyDescent="0.25">
      <c r="A2815" s="303"/>
      <c r="B2815" s="310"/>
      <c r="C2815" s="311"/>
      <c r="D2815" s="312"/>
      <c r="E2815" s="314"/>
      <c r="F2815" s="314" t="s">
        <v>466</v>
      </c>
      <c r="G2815" s="314"/>
      <c r="H2815" s="314" t="s">
        <v>467</v>
      </c>
      <c r="I2815" s="314"/>
      <c r="J2815" s="322" t="s">
        <v>468</v>
      </c>
    </row>
    <row r="2816" spans="1:10" x14ac:dyDescent="0.25">
      <c r="A2816" s="303"/>
      <c r="B2816" s="316" t="s">
        <v>464</v>
      </c>
      <c r="C2816" s="317" t="s">
        <v>469</v>
      </c>
      <c r="D2816" s="318"/>
      <c r="E2816" s="323" t="s">
        <v>355</v>
      </c>
      <c r="F2816" s="324" t="s">
        <v>470</v>
      </c>
      <c r="G2816" s="324" t="s">
        <v>471</v>
      </c>
      <c r="H2816" s="324" t="s">
        <v>472</v>
      </c>
      <c r="I2816" s="325" t="s">
        <v>473</v>
      </c>
      <c r="J2816" s="326" t="s">
        <v>474</v>
      </c>
    </row>
    <row r="2817" spans="1:10" x14ac:dyDescent="0.25">
      <c r="A2817" s="303"/>
      <c r="B2817" s="337" t="s">
        <v>346</v>
      </c>
      <c r="C2817" s="311"/>
      <c r="D2817" s="312"/>
      <c r="E2817" s="328"/>
      <c r="F2817" s="328"/>
      <c r="G2817" s="328"/>
      <c r="H2817" s="329"/>
      <c r="I2817" s="329"/>
      <c r="J2817" s="315"/>
    </row>
    <row r="2818" spans="1:10" x14ac:dyDescent="0.25">
      <c r="A2818" s="303"/>
      <c r="B2818" s="333" t="s">
        <v>346</v>
      </c>
      <c r="C2818" s="317"/>
      <c r="D2818" s="318"/>
      <c r="E2818" s="331"/>
      <c r="F2818" s="331"/>
      <c r="G2818" s="331"/>
      <c r="H2818" s="332"/>
      <c r="I2818" s="332"/>
      <c r="J2818" s="321"/>
    </row>
    <row r="2819" spans="1:10" x14ac:dyDescent="0.25">
      <c r="A2819" s="303"/>
      <c r="B2819" s="333" t="s">
        <v>346</v>
      </c>
      <c r="C2819" s="317"/>
      <c r="D2819" s="318"/>
      <c r="E2819" s="331"/>
      <c r="F2819" s="331"/>
      <c r="G2819" s="331"/>
      <c r="H2819" s="332"/>
      <c r="I2819" s="332"/>
      <c r="J2819" s="321"/>
    </row>
    <row r="2820" spans="1:10" x14ac:dyDescent="0.25">
      <c r="A2820" s="303"/>
      <c r="B2820" s="333" t="s">
        <v>346</v>
      </c>
      <c r="C2820" s="317"/>
      <c r="D2820" s="318"/>
      <c r="E2820" s="331"/>
      <c r="F2820" s="331"/>
      <c r="G2820" s="331"/>
      <c r="H2820" s="332"/>
      <c r="I2820" s="332"/>
      <c r="J2820" s="321"/>
    </row>
    <row r="2821" spans="1:10" x14ac:dyDescent="0.25">
      <c r="A2821" s="303"/>
      <c r="B2821" s="333" t="s">
        <v>346</v>
      </c>
      <c r="C2821" s="317"/>
      <c r="D2821" s="318"/>
      <c r="E2821" s="331"/>
      <c r="F2821" s="331"/>
      <c r="G2821" s="331"/>
      <c r="H2821" s="332"/>
      <c r="I2821" s="332"/>
      <c r="J2821" s="321"/>
    </row>
    <row r="2822" spans="1:10" x14ac:dyDescent="0.25">
      <c r="A2822" s="303"/>
      <c r="B2822" s="333" t="s">
        <v>346</v>
      </c>
      <c r="C2822" s="317"/>
      <c r="D2822" s="318"/>
      <c r="E2822" s="331"/>
      <c r="F2822" s="331"/>
      <c r="G2822" s="331"/>
      <c r="H2822" s="332"/>
      <c r="I2822" s="332"/>
      <c r="J2822" s="321"/>
    </row>
    <row r="2823" spans="1:10" x14ac:dyDescent="0.25">
      <c r="A2823" s="303"/>
      <c r="B2823" s="333" t="s">
        <v>346</v>
      </c>
      <c r="C2823" s="317"/>
      <c r="D2823" s="318"/>
      <c r="E2823" s="331"/>
      <c r="F2823" s="331"/>
      <c r="G2823" s="331"/>
      <c r="H2823" s="332"/>
      <c r="I2823" s="332"/>
      <c r="J2823" s="321"/>
    </row>
    <row r="2824" spans="1:10" x14ac:dyDescent="0.25">
      <c r="A2824" s="303"/>
      <c r="B2824" s="310"/>
      <c r="C2824" s="334"/>
      <c r="D2824" s="312"/>
      <c r="E2824" s="313"/>
      <c r="F2824" s="313"/>
      <c r="G2824" s="313"/>
      <c r="H2824" s="313"/>
      <c r="I2824" s="335" t="s">
        <v>479</v>
      </c>
      <c r="J2824" s="315">
        <v>0</v>
      </c>
    </row>
    <row r="2825" spans="1:10" x14ac:dyDescent="0.25">
      <c r="A2825" s="303"/>
      <c r="B2825" s="310" t="s">
        <v>464</v>
      </c>
      <c r="C2825" s="311" t="s">
        <v>480</v>
      </c>
      <c r="D2825" s="312"/>
      <c r="E2825" s="313"/>
      <c r="F2825" s="313"/>
      <c r="G2825" s="313"/>
      <c r="H2825" s="324" t="s">
        <v>355</v>
      </c>
      <c r="I2825" s="336" t="s">
        <v>481</v>
      </c>
      <c r="J2825" s="322" t="s">
        <v>331</v>
      </c>
    </row>
    <row r="2826" spans="1:10" x14ac:dyDescent="0.25">
      <c r="A2826" s="303"/>
      <c r="B2826" s="337" t="s">
        <v>482</v>
      </c>
      <c r="C2826" s="311" t="s">
        <v>483</v>
      </c>
      <c r="D2826" s="312"/>
      <c r="E2826" s="313"/>
      <c r="F2826" s="313"/>
      <c r="G2826" s="313"/>
      <c r="H2826" s="314">
        <v>10</v>
      </c>
      <c r="I2826" s="329">
        <v>17.768000000000001</v>
      </c>
      <c r="J2826" s="315">
        <v>177.68</v>
      </c>
    </row>
    <row r="2827" spans="1:10" x14ac:dyDescent="0.25">
      <c r="A2827" s="303"/>
      <c r="B2827" s="333" t="s">
        <v>346</v>
      </c>
      <c r="C2827" s="317"/>
      <c r="D2827" s="318"/>
      <c r="E2827" s="319"/>
      <c r="F2827" s="319"/>
      <c r="G2827" s="319"/>
      <c r="H2827" s="320"/>
      <c r="I2827" s="332"/>
      <c r="J2827" s="321"/>
    </row>
    <row r="2828" spans="1:10" x14ac:dyDescent="0.25">
      <c r="A2828" s="303"/>
      <c r="B2828" s="333" t="s">
        <v>346</v>
      </c>
      <c r="C2828" s="317"/>
      <c r="D2828" s="318"/>
      <c r="E2828" s="319"/>
      <c r="F2828" s="319"/>
      <c r="G2828" s="319"/>
      <c r="H2828" s="320"/>
      <c r="I2828" s="332"/>
      <c r="J2828" s="321"/>
    </row>
    <row r="2829" spans="1:10" x14ac:dyDescent="0.25">
      <c r="A2829" s="303"/>
      <c r="B2829" s="333" t="s">
        <v>346</v>
      </c>
      <c r="C2829" s="317"/>
      <c r="D2829" s="318"/>
      <c r="E2829" s="319"/>
      <c r="F2829" s="319"/>
      <c r="G2829" s="319"/>
      <c r="H2829" s="320"/>
      <c r="I2829" s="332"/>
      <c r="J2829" s="321"/>
    </row>
    <row r="2830" spans="1:10" x14ac:dyDescent="0.25">
      <c r="A2830" s="303"/>
      <c r="B2830" s="333" t="s">
        <v>346</v>
      </c>
      <c r="C2830" s="317"/>
      <c r="D2830" s="318"/>
      <c r="E2830" s="319"/>
      <c r="F2830" s="319"/>
      <c r="G2830" s="319"/>
      <c r="H2830" s="320"/>
      <c r="I2830" s="332"/>
      <c r="J2830" s="321"/>
    </row>
    <row r="2831" spans="1:10" x14ac:dyDescent="0.25">
      <c r="A2831" s="303"/>
      <c r="B2831" s="333" t="s">
        <v>346</v>
      </c>
      <c r="C2831" s="317"/>
      <c r="D2831" s="318"/>
      <c r="E2831" s="319"/>
      <c r="F2831" s="319"/>
      <c r="G2831" s="319"/>
      <c r="H2831" s="320"/>
      <c r="I2831" s="332"/>
      <c r="J2831" s="321"/>
    </row>
    <row r="2832" spans="1:10" x14ac:dyDescent="0.25">
      <c r="A2832" s="303"/>
      <c r="B2832" s="333" t="s">
        <v>346</v>
      </c>
      <c r="C2832" s="317"/>
      <c r="D2832" s="318"/>
      <c r="E2832" s="319"/>
      <c r="F2832" s="319"/>
      <c r="G2832" s="319"/>
      <c r="H2832" s="320"/>
      <c r="I2832" s="332"/>
      <c r="J2832" s="321"/>
    </row>
    <row r="2833" spans="1:10" x14ac:dyDescent="0.25">
      <c r="A2833" s="303"/>
      <c r="B2833" s="310"/>
      <c r="C2833" s="334"/>
      <c r="D2833" s="312"/>
      <c r="E2833" s="313"/>
      <c r="F2833" s="313"/>
      <c r="G2833" s="313"/>
      <c r="H2833" s="313"/>
      <c r="I2833" s="338" t="s">
        <v>484</v>
      </c>
      <c r="J2833" s="315">
        <v>177.68</v>
      </c>
    </row>
    <row r="2834" spans="1:10" x14ac:dyDescent="0.25">
      <c r="A2834" s="303"/>
      <c r="B2834" s="339"/>
      <c r="C2834" s="334"/>
      <c r="D2834" s="312"/>
      <c r="E2834" s="313"/>
      <c r="F2834" s="313"/>
      <c r="G2834" s="313"/>
      <c r="H2834" s="313"/>
      <c r="I2834" s="338" t="s">
        <v>485</v>
      </c>
      <c r="J2834" s="340">
        <v>177.68</v>
      </c>
    </row>
    <row r="2835" spans="1:10" x14ac:dyDescent="0.25">
      <c r="A2835" s="303"/>
      <c r="B2835" s="339"/>
      <c r="C2835" s="341" t="s">
        <v>486</v>
      </c>
      <c r="D2835" s="312">
        <v>50</v>
      </c>
      <c r="E2835" s="313"/>
      <c r="F2835" s="313"/>
      <c r="G2835" s="313"/>
      <c r="H2835" s="313"/>
      <c r="I2835" s="338" t="s">
        <v>487</v>
      </c>
      <c r="J2835" s="340">
        <v>3.5535999999999999</v>
      </c>
    </row>
    <row r="2836" spans="1:10" x14ac:dyDescent="0.25">
      <c r="A2836" s="303"/>
      <c r="B2836" s="310"/>
      <c r="C2836" s="334"/>
      <c r="D2836" s="312"/>
      <c r="E2836" s="313"/>
      <c r="F2836" s="313"/>
      <c r="G2836" s="313"/>
      <c r="H2836" s="338" t="s">
        <v>488</v>
      </c>
      <c r="I2836" s="342">
        <v>0</v>
      </c>
      <c r="J2836" s="315">
        <v>0</v>
      </c>
    </row>
    <row r="2837" spans="1:10" x14ac:dyDescent="0.25">
      <c r="A2837" s="303"/>
      <c r="B2837" s="310"/>
      <c r="C2837" s="334"/>
      <c r="D2837" s="312"/>
      <c r="E2837" s="313"/>
      <c r="F2837" s="313"/>
      <c r="G2837" s="313"/>
      <c r="H2837" s="335" t="s">
        <v>489</v>
      </c>
      <c r="I2837" s="343">
        <v>0</v>
      </c>
      <c r="J2837" s="315">
        <v>0</v>
      </c>
    </row>
    <row r="2838" spans="1:10" x14ac:dyDescent="0.25">
      <c r="A2838" s="303"/>
      <c r="B2838" s="310" t="s">
        <v>464</v>
      </c>
      <c r="C2838" s="311" t="s">
        <v>490</v>
      </c>
      <c r="D2838" s="312"/>
      <c r="E2838" s="313"/>
      <c r="F2838" s="313"/>
      <c r="G2838" s="314" t="s">
        <v>465</v>
      </c>
      <c r="H2838" s="336" t="s">
        <v>468</v>
      </c>
      <c r="I2838" s="336" t="s">
        <v>491</v>
      </c>
      <c r="J2838" s="322" t="s">
        <v>492</v>
      </c>
    </row>
    <row r="2839" spans="1:10" x14ac:dyDescent="0.25">
      <c r="A2839" s="303"/>
      <c r="B2839" s="337" t="s">
        <v>346</v>
      </c>
      <c r="C2839" s="311"/>
      <c r="D2839" s="312"/>
      <c r="E2839" s="313"/>
      <c r="F2839" s="313"/>
      <c r="G2839" s="314"/>
      <c r="H2839" s="329"/>
      <c r="I2839" s="329"/>
      <c r="J2839" s="315"/>
    </row>
    <row r="2840" spans="1:10" x14ac:dyDescent="0.25">
      <c r="A2840" s="303"/>
      <c r="B2840" s="333" t="s">
        <v>346</v>
      </c>
      <c r="C2840" s="317"/>
      <c r="D2840" s="318"/>
      <c r="E2840" s="319"/>
      <c r="F2840" s="319"/>
      <c r="G2840" s="320"/>
      <c r="H2840" s="332"/>
      <c r="I2840" s="332"/>
      <c r="J2840" s="321"/>
    </row>
    <row r="2841" spans="1:10" x14ac:dyDescent="0.25">
      <c r="A2841" s="303"/>
      <c r="B2841" s="333" t="s">
        <v>346</v>
      </c>
      <c r="C2841" s="317"/>
      <c r="D2841" s="318"/>
      <c r="E2841" s="319"/>
      <c r="F2841" s="319"/>
      <c r="G2841" s="320"/>
      <c r="H2841" s="332"/>
      <c r="I2841" s="332"/>
      <c r="J2841" s="321"/>
    </row>
    <row r="2842" spans="1:10" x14ac:dyDescent="0.25">
      <c r="A2842" s="303"/>
      <c r="B2842" s="333" t="s">
        <v>346</v>
      </c>
      <c r="C2842" s="317"/>
      <c r="D2842" s="318"/>
      <c r="E2842" s="319"/>
      <c r="F2842" s="319"/>
      <c r="G2842" s="320"/>
      <c r="H2842" s="332"/>
      <c r="I2842" s="332"/>
      <c r="J2842" s="321"/>
    </row>
    <row r="2843" spans="1:10" x14ac:dyDescent="0.25">
      <c r="A2843" s="303"/>
      <c r="B2843" s="333" t="s">
        <v>346</v>
      </c>
      <c r="C2843" s="317"/>
      <c r="D2843" s="318"/>
      <c r="E2843" s="319"/>
      <c r="F2843" s="319"/>
      <c r="G2843" s="320"/>
      <c r="H2843" s="332"/>
      <c r="I2843" s="332"/>
      <c r="J2843" s="321"/>
    </row>
    <row r="2844" spans="1:10" x14ac:dyDescent="0.25">
      <c r="A2844" s="303"/>
      <c r="B2844" s="333" t="s">
        <v>346</v>
      </c>
      <c r="C2844" s="317"/>
      <c r="D2844" s="318"/>
      <c r="E2844" s="319"/>
      <c r="F2844" s="319"/>
      <c r="G2844" s="320"/>
      <c r="H2844" s="332"/>
      <c r="I2844" s="332"/>
      <c r="J2844" s="321"/>
    </row>
    <row r="2845" spans="1:10" x14ac:dyDescent="0.25">
      <c r="A2845" s="303"/>
      <c r="B2845" s="333" t="s">
        <v>346</v>
      </c>
      <c r="C2845" s="317"/>
      <c r="D2845" s="318"/>
      <c r="E2845" s="319"/>
      <c r="F2845" s="319"/>
      <c r="G2845" s="320"/>
      <c r="H2845" s="332"/>
      <c r="I2845" s="332"/>
      <c r="J2845" s="321"/>
    </row>
    <row r="2846" spans="1:10" x14ac:dyDescent="0.25">
      <c r="A2846" s="303"/>
      <c r="B2846" s="310"/>
      <c r="C2846" s="334"/>
      <c r="D2846" s="312"/>
      <c r="E2846" s="313"/>
      <c r="F2846" s="313"/>
      <c r="G2846" s="313"/>
      <c r="H2846" s="343"/>
      <c r="I2846" s="335" t="s">
        <v>498</v>
      </c>
      <c r="J2846" s="315">
        <v>0</v>
      </c>
    </row>
    <row r="2847" spans="1:10" x14ac:dyDescent="0.25">
      <c r="A2847" s="303"/>
      <c r="B2847" s="310" t="s">
        <v>464</v>
      </c>
      <c r="C2847" s="311" t="s">
        <v>499</v>
      </c>
      <c r="D2847" s="312"/>
      <c r="E2847" s="313"/>
      <c r="F2847" s="313"/>
      <c r="G2847" s="314" t="s">
        <v>465</v>
      </c>
      <c r="H2847" s="336" t="s">
        <v>468</v>
      </c>
      <c r="I2847" s="336" t="s">
        <v>491</v>
      </c>
      <c r="J2847" s="322" t="s">
        <v>492</v>
      </c>
    </row>
    <row r="2848" spans="1:10" x14ac:dyDescent="0.25">
      <c r="A2848" s="303"/>
      <c r="B2848" s="337"/>
      <c r="C2848" s="311"/>
      <c r="D2848" s="312"/>
      <c r="E2848" s="313"/>
      <c r="F2848" s="313"/>
      <c r="G2848" s="314"/>
      <c r="H2848" s="329"/>
      <c r="I2848" s="329"/>
      <c r="J2848" s="315"/>
    </row>
    <row r="2849" spans="1:10" x14ac:dyDescent="0.25">
      <c r="A2849" s="303"/>
      <c r="B2849" s="333"/>
      <c r="C2849" s="317"/>
      <c r="D2849" s="318"/>
      <c r="E2849" s="319"/>
      <c r="F2849" s="319"/>
      <c r="G2849" s="320"/>
      <c r="H2849" s="332"/>
      <c r="I2849" s="332"/>
      <c r="J2849" s="321"/>
    </row>
    <row r="2850" spans="1:10" x14ac:dyDescent="0.25">
      <c r="A2850" s="303"/>
      <c r="B2850" s="333"/>
      <c r="C2850" s="317"/>
      <c r="D2850" s="318"/>
      <c r="E2850" s="319"/>
      <c r="F2850" s="319"/>
      <c r="G2850" s="320"/>
      <c r="H2850" s="332"/>
      <c r="I2850" s="332"/>
      <c r="J2850" s="321"/>
    </row>
    <row r="2851" spans="1:10" x14ac:dyDescent="0.25">
      <c r="A2851" s="303"/>
      <c r="B2851" s="333"/>
      <c r="C2851" s="317"/>
      <c r="D2851" s="318"/>
      <c r="E2851" s="319"/>
      <c r="F2851" s="319"/>
      <c r="G2851" s="320"/>
      <c r="H2851" s="332"/>
      <c r="I2851" s="332"/>
      <c r="J2851" s="321"/>
    </row>
    <row r="2852" spans="1:10" x14ac:dyDescent="0.25">
      <c r="A2852" s="303"/>
      <c r="B2852" s="333"/>
      <c r="C2852" s="317"/>
      <c r="D2852" s="318"/>
      <c r="E2852" s="319"/>
      <c r="F2852" s="319"/>
      <c r="G2852" s="320"/>
      <c r="H2852" s="332"/>
      <c r="I2852" s="332"/>
      <c r="J2852" s="321"/>
    </row>
    <row r="2853" spans="1:10" x14ac:dyDescent="0.25">
      <c r="A2853" s="303"/>
      <c r="B2853" s="310"/>
      <c r="C2853" s="334"/>
      <c r="D2853" s="312"/>
      <c r="E2853" s="313"/>
      <c r="F2853" s="313"/>
      <c r="G2853" s="313"/>
      <c r="H2853" s="343"/>
      <c r="I2853" s="335" t="s">
        <v>501</v>
      </c>
      <c r="J2853" s="315">
        <v>0</v>
      </c>
    </row>
    <row r="2854" spans="1:10" x14ac:dyDescent="0.25">
      <c r="A2854" s="303"/>
      <c r="B2854" s="310" t="s">
        <v>464</v>
      </c>
      <c r="C2854" s="311" t="s">
        <v>502</v>
      </c>
      <c r="D2854" s="312"/>
      <c r="E2854" s="313"/>
      <c r="F2854" s="314" t="s">
        <v>464</v>
      </c>
      <c r="G2854" s="324" t="s">
        <v>503</v>
      </c>
      <c r="H2854" s="329" t="s">
        <v>465</v>
      </c>
      <c r="I2854" s="336" t="s">
        <v>468</v>
      </c>
      <c r="J2854" s="322" t="s">
        <v>492</v>
      </c>
    </row>
    <row r="2855" spans="1:10" x14ac:dyDescent="0.25">
      <c r="A2855" s="303"/>
      <c r="B2855" s="337" t="s">
        <v>346</v>
      </c>
      <c r="C2855" s="311"/>
      <c r="D2855" s="312"/>
      <c r="E2855" s="313"/>
      <c r="F2855" s="314"/>
      <c r="G2855" s="314"/>
      <c r="H2855" s="329"/>
      <c r="I2855" s="329"/>
      <c r="J2855" s="315"/>
    </row>
    <row r="2856" spans="1:10" x14ac:dyDescent="0.25">
      <c r="A2856" s="303"/>
      <c r="B2856" s="333" t="s">
        <v>346</v>
      </c>
      <c r="C2856" s="317"/>
      <c r="D2856" s="318"/>
      <c r="E2856" s="319"/>
      <c r="F2856" s="320"/>
      <c r="G2856" s="320"/>
      <c r="H2856" s="332"/>
      <c r="I2856" s="332"/>
      <c r="J2856" s="321"/>
    </row>
    <row r="2857" spans="1:10" x14ac:dyDescent="0.25">
      <c r="A2857" s="303"/>
      <c r="B2857" s="333" t="s">
        <v>346</v>
      </c>
      <c r="C2857" s="317"/>
      <c r="D2857" s="318"/>
      <c r="E2857" s="319"/>
      <c r="F2857" s="320"/>
      <c r="G2857" s="320"/>
      <c r="H2857" s="332"/>
      <c r="I2857" s="332"/>
      <c r="J2857" s="321"/>
    </row>
    <row r="2858" spans="1:10" x14ac:dyDescent="0.25">
      <c r="A2858" s="303"/>
      <c r="B2858" s="333" t="s">
        <v>346</v>
      </c>
      <c r="C2858" s="317"/>
      <c r="D2858" s="318"/>
      <c r="E2858" s="319"/>
      <c r="F2858" s="320"/>
      <c r="G2858" s="320"/>
      <c r="H2858" s="332"/>
      <c r="I2858" s="332"/>
      <c r="J2858" s="321"/>
    </row>
    <row r="2859" spans="1:10" x14ac:dyDescent="0.25">
      <c r="A2859" s="303"/>
      <c r="B2859" s="333" t="s">
        <v>346</v>
      </c>
      <c r="C2859" s="317"/>
      <c r="D2859" s="318"/>
      <c r="E2859" s="319"/>
      <c r="F2859" s="320"/>
      <c r="G2859" s="320"/>
      <c r="H2859" s="332"/>
      <c r="I2859" s="332"/>
      <c r="J2859" s="321"/>
    </row>
    <row r="2860" spans="1:10" x14ac:dyDescent="0.25">
      <c r="A2860" s="303"/>
      <c r="B2860" s="310"/>
      <c r="C2860" s="334"/>
      <c r="D2860" s="312"/>
      <c r="E2860" s="313"/>
      <c r="F2860" s="313"/>
      <c r="G2860" s="313"/>
      <c r="H2860" s="343"/>
      <c r="I2860" s="338" t="s">
        <v>507</v>
      </c>
      <c r="J2860" s="315">
        <v>0</v>
      </c>
    </row>
    <row r="2861" spans="1:10" x14ac:dyDescent="0.25">
      <c r="A2861" s="303"/>
      <c r="B2861" s="310" t="s">
        <v>464</v>
      </c>
      <c r="C2861" s="311" t="s">
        <v>508</v>
      </c>
      <c r="D2861" s="345" t="s">
        <v>509</v>
      </c>
      <c r="E2861" s="324" t="s">
        <v>873</v>
      </c>
      <c r="F2861" s="324" t="s">
        <v>874</v>
      </c>
      <c r="G2861" s="324" t="s">
        <v>875</v>
      </c>
      <c r="H2861" s="336" t="s">
        <v>468</v>
      </c>
      <c r="I2861" s="324" t="s">
        <v>491</v>
      </c>
      <c r="J2861" s="322" t="s">
        <v>492</v>
      </c>
    </row>
    <row r="2862" spans="1:10" x14ac:dyDescent="0.25">
      <c r="A2862" s="303"/>
      <c r="B2862" s="337" t="s">
        <v>346</v>
      </c>
      <c r="C2862" s="311"/>
      <c r="D2862" s="345"/>
      <c r="E2862" s="314"/>
      <c r="F2862" s="314"/>
      <c r="G2862" s="314"/>
      <c r="H2862" s="329"/>
      <c r="I2862" s="314"/>
      <c r="J2862" s="315"/>
    </row>
    <row r="2863" spans="1:10" x14ac:dyDescent="0.25">
      <c r="A2863" s="303"/>
      <c r="B2863" s="333" t="s">
        <v>346</v>
      </c>
      <c r="C2863" s="317"/>
      <c r="D2863" s="346"/>
      <c r="E2863" s="320"/>
      <c r="F2863" s="320"/>
      <c r="G2863" s="320"/>
      <c r="H2863" s="332"/>
      <c r="I2863" s="320"/>
      <c r="J2863" s="321"/>
    </row>
    <row r="2864" spans="1:10" x14ac:dyDescent="0.25">
      <c r="A2864" s="303"/>
      <c r="B2864" s="333" t="s">
        <v>346</v>
      </c>
      <c r="C2864" s="317"/>
      <c r="D2864" s="346"/>
      <c r="E2864" s="320"/>
      <c r="F2864" s="320"/>
      <c r="G2864" s="320"/>
      <c r="H2864" s="332"/>
      <c r="I2864" s="320"/>
      <c r="J2864" s="321"/>
    </row>
    <row r="2865" spans="1:10" x14ac:dyDescent="0.25">
      <c r="A2865" s="303"/>
      <c r="B2865" s="333" t="s">
        <v>346</v>
      </c>
      <c r="C2865" s="317"/>
      <c r="D2865" s="346"/>
      <c r="E2865" s="320"/>
      <c r="F2865" s="320"/>
      <c r="G2865" s="320"/>
      <c r="H2865" s="332"/>
      <c r="I2865" s="320"/>
      <c r="J2865" s="321"/>
    </row>
    <row r="2866" spans="1:10" x14ac:dyDescent="0.25">
      <c r="A2866" s="303"/>
      <c r="B2866" s="333" t="s">
        <v>346</v>
      </c>
      <c r="C2866" s="317"/>
      <c r="D2866" s="346"/>
      <c r="E2866" s="320"/>
      <c r="F2866" s="320"/>
      <c r="G2866" s="320"/>
      <c r="H2866" s="332"/>
      <c r="I2866" s="320"/>
      <c r="J2866" s="321"/>
    </row>
    <row r="2867" spans="1:10" x14ac:dyDescent="0.25">
      <c r="A2867" s="303"/>
      <c r="B2867" s="333" t="s">
        <v>346</v>
      </c>
      <c r="C2867" s="317"/>
      <c r="D2867" s="346"/>
      <c r="E2867" s="320"/>
      <c r="F2867" s="320"/>
      <c r="G2867" s="320"/>
      <c r="H2867" s="332"/>
      <c r="I2867" s="320"/>
      <c r="J2867" s="321"/>
    </row>
    <row r="2868" spans="1:10" x14ac:dyDescent="0.25">
      <c r="A2868" s="303"/>
      <c r="B2868" s="333" t="s">
        <v>346</v>
      </c>
      <c r="C2868" s="317"/>
      <c r="D2868" s="346"/>
      <c r="E2868" s="320"/>
      <c r="F2868" s="320"/>
      <c r="G2868" s="320"/>
      <c r="H2868" s="332"/>
      <c r="I2868" s="320"/>
      <c r="J2868" s="321"/>
    </row>
    <row r="2869" spans="1:10" x14ac:dyDescent="0.25">
      <c r="A2869" s="303"/>
      <c r="B2869" s="310"/>
      <c r="C2869" s="334"/>
      <c r="D2869" s="312"/>
      <c r="E2869" s="313"/>
      <c r="F2869" s="313"/>
      <c r="G2869" s="313"/>
      <c r="H2869" s="313"/>
      <c r="I2869" s="338" t="s">
        <v>513</v>
      </c>
      <c r="J2869" s="315">
        <v>0</v>
      </c>
    </row>
    <row r="2870" spans="1:10" x14ac:dyDescent="0.25">
      <c r="A2870" s="303"/>
      <c r="B2870" s="310" t="s">
        <v>514</v>
      </c>
      <c r="C2870" s="334"/>
      <c r="D2870" s="312"/>
      <c r="E2870" s="313"/>
      <c r="F2870" s="313"/>
      <c r="G2870" s="313"/>
      <c r="H2870" s="313"/>
      <c r="I2870" s="313"/>
      <c r="J2870" s="315">
        <v>3.5535999999999999</v>
      </c>
    </row>
    <row r="2871" spans="1:10" x14ac:dyDescent="0.25">
      <c r="A2871" s="303"/>
      <c r="B2871" s="310" t="s">
        <v>515</v>
      </c>
      <c r="C2871" s="334"/>
      <c r="D2871" s="312">
        <v>0</v>
      </c>
      <c r="E2871" s="313"/>
      <c r="F2871" s="313"/>
      <c r="G2871" s="313"/>
      <c r="H2871" s="313"/>
      <c r="I2871" s="313"/>
      <c r="J2871" s="315">
        <v>0</v>
      </c>
    </row>
    <row r="2872" spans="1:10" ht="14.4" thickBot="1" x14ac:dyDescent="0.3">
      <c r="A2872" s="303"/>
      <c r="B2872" s="310" t="s">
        <v>516</v>
      </c>
      <c r="C2872" s="334"/>
      <c r="D2872" s="312"/>
      <c r="E2872" s="313"/>
      <c r="F2872" s="313"/>
      <c r="G2872" s="313"/>
      <c r="H2872" s="313"/>
      <c r="I2872" s="313"/>
      <c r="J2872" s="347">
        <v>3.55</v>
      </c>
    </row>
    <row r="2873" spans="1:10" x14ac:dyDescent="0.25">
      <c r="A2873" s="303"/>
      <c r="B2873" s="304"/>
      <c r="C2873" s="305"/>
      <c r="D2873" s="348"/>
      <c r="E2873" s="308"/>
      <c r="F2873" s="308"/>
      <c r="G2873" s="308"/>
      <c r="H2873" s="308"/>
      <c r="I2873" s="308"/>
      <c r="J2873" s="309"/>
    </row>
    <row r="2874" spans="1:10" x14ac:dyDescent="0.25">
      <c r="A2874" s="303"/>
      <c r="B2874" s="316"/>
      <c r="C2874" s="303"/>
      <c r="D2874" s="318"/>
      <c r="E2874" s="319"/>
      <c r="F2874" s="319"/>
      <c r="G2874" s="319"/>
      <c r="H2874" s="319"/>
      <c r="I2874" s="319"/>
      <c r="J2874" s="349"/>
    </row>
    <row r="2875" spans="1:10" x14ac:dyDescent="0.25">
      <c r="A2875" s="303"/>
      <c r="B2875" s="316"/>
      <c r="C2875" s="303"/>
      <c r="D2875" s="318"/>
      <c r="E2875" s="319"/>
      <c r="F2875" s="319"/>
      <c r="G2875" s="319"/>
      <c r="H2875" s="319"/>
      <c r="I2875" s="319"/>
      <c r="J2875" s="349"/>
    </row>
    <row r="2876" spans="1:10" ht="14.4" thickBot="1" x14ac:dyDescent="0.3">
      <c r="A2876" s="303"/>
      <c r="B2876" s="350"/>
      <c r="C2876" s="303"/>
      <c r="D2876" s="318"/>
      <c r="E2876" s="319"/>
      <c r="F2876" s="319"/>
      <c r="G2876" s="319"/>
      <c r="H2876" s="319"/>
      <c r="I2876" s="319"/>
      <c r="J2876" s="351"/>
    </row>
    <row r="2877" spans="1:10" x14ac:dyDescent="0.25">
      <c r="A2877" s="303"/>
      <c r="B2877" s="305"/>
      <c r="C2877" s="305"/>
      <c r="D2877" s="348"/>
      <c r="E2877" s="308"/>
      <c r="F2877" s="308"/>
      <c r="G2877" s="308"/>
      <c r="H2877" s="308"/>
      <c r="I2877" s="308"/>
      <c r="J2877" s="352"/>
    </row>
    <row r="2878" spans="1:10" ht="14.4" thickBot="1" x14ac:dyDescent="0.3">
      <c r="A2878" s="303"/>
      <c r="B2878" s="303"/>
      <c r="C2878" s="303"/>
      <c r="D2878" s="318"/>
      <c r="E2878" s="319"/>
      <c r="F2878" s="319"/>
      <c r="G2878" s="319"/>
      <c r="H2878" s="319"/>
      <c r="I2878" s="319"/>
      <c r="J2878" s="353"/>
    </row>
    <row r="2879" spans="1:10" x14ac:dyDescent="0.25">
      <c r="A2879" s="303"/>
      <c r="B2879" s="304"/>
      <c r="C2879" s="305"/>
      <c r="D2879" s="306" t="s">
        <v>463</v>
      </c>
      <c r="E2879" s="307"/>
      <c r="F2879" s="307"/>
      <c r="G2879" s="308"/>
      <c r="H2879" s="308"/>
      <c r="I2879" s="308"/>
      <c r="J2879" s="309"/>
    </row>
    <row r="2880" spans="1:10" x14ac:dyDescent="0.25">
      <c r="A2880" s="303"/>
      <c r="B2880" s="310" t="s">
        <v>464</v>
      </c>
      <c r="C2880" s="311" t="s">
        <v>134</v>
      </c>
      <c r="D2880" s="312"/>
      <c r="E2880" s="313"/>
      <c r="F2880" s="313"/>
      <c r="G2880" s="313"/>
      <c r="H2880" s="314"/>
      <c r="I2880" s="313"/>
      <c r="J2880" s="315" t="s">
        <v>465</v>
      </c>
    </row>
    <row r="2881" spans="1:10" x14ac:dyDescent="0.25">
      <c r="A2881" s="303"/>
      <c r="B2881" s="316">
        <v>4915712</v>
      </c>
      <c r="C2881" s="317" t="s">
        <v>401</v>
      </c>
      <c r="D2881" s="318"/>
      <c r="E2881" s="319"/>
      <c r="F2881" s="319"/>
      <c r="G2881" s="319"/>
      <c r="H2881" s="320"/>
      <c r="I2881" s="319"/>
      <c r="J2881" s="321" t="s">
        <v>365</v>
      </c>
    </row>
    <row r="2882" spans="1:10" x14ac:dyDescent="0.25">
      <c r="A2882" s="303"/>
      <c r="B2882" s="310"/>
      <c r="C2882" s="311"/>
      <c r="D2882" s="312"/>
      <c r="E2882" s="314"/>
      <c r="F2882" s="314" t="s">
        <v>466</v>
      </c>
      <c r="G2882" s="314"/>
      <c r="H2882" s="314" t="s">
        <v>467</v>
      </c>
      <c r="I2882" s="314"/>
      <c r="J2882" s="322" t="s">
        <v>468</v>
      </c>
    </row>
    <row r="2883" spans="1:10" x14ac:dyDescent="0.25">
      <c r="A2883" s="303"/>
      <c r="B2883" s="316" t="s">
        <v>464</v>
      </c>
      <c r="C2883" s="317" t="s">
        <v>469</v>
      </c>
      <c r="D2883" s="318"/>
      <c r="E2883" s="323" t="s">
        <v>355</v>
      </c>
      <c r="F2883" s="324" t="s">
        <v>470</v>
      </c>
      <c r="G2883" s="324" t="s">
        <v>471</v>
      </c>
      <c r="H2883" s="324" t="s">
        <v>472</v>
      </c>
      <c r="I2883" s="325" t="s">
        <v>473</v>
      </c>
      <c r="J2883" s="326" t="s">
        <v>474</v>
      </c>
    </row>
    <row r="2884" spans="1:10" x14ac:dyDescent="0.25">
      <c r="A2884" s="303"/>
      <c r="B2884" s="337" t="s">
        <v>346</v>
      </c>
      <c r="C2884" s="311"/>
      <c r="D2884" s="312"/>
      <c r="E2884" s="328"/>
      <c r="F2884" s="328"/>
      <c r="G2884" s="328"/>
      <c r="H2884" s="329"/>
      <c r="I2884" s="329"/>
      <c r="J2884" s="315"/>
    </row>
    <row r="2885" spans="1:10" x14ac:dyDescent="0.25">
      <c r="A2885" s="303"/>
      <c r="B2885" s="333" t="s">
        <v>346</v>
      </c>
      <c r="C2885" s="317"/>
      <c r="D2885" s="318"/>
      <c r="E2885" s="331"/>
      <c r="F2885" s="331"/>
      <c r="G2885" s="331"/>
      <c r="H2885" s="332"/>
      <c r="I2885" s="332"/>
      <c r="J2885" s="321"/>
    </row>
    <row r="2886" spans="1:10" x14ac:dyDescent="0.25">
      <c r="A2886" s="303"/>
      <c r="B2886" s="333" t="s">
        <v>346</v>
      </c>
      <c r="C2886" s="317"/>
      <c r="D2886" s="318"/>
      <c r="E2886" s="331"/>
      <c r="F2886" s="331"/>
      <c r="G2886" s="331"/>
      <c r="H2886" s="332"/>
      <c r="I2886" s="332"/>
      <c r="J2886" s="321"/>
    </row>
    <row r="2887" spans="1:10" x14ac:dyDescent="0.25">
      <c r="A2887" s="303"/>
      <c r="B2887" s="333" t="s">
        <v>346</v>
      </c>
      <c r="C2887" s="317"/>
      <c r="D2887" s="318"/>
      <c r="E2887" s="331"/>
      <c r="F2887" s="331"/>
      <c r="G2887" s="331"/>
      <c r="H2887" s="332"/>
      <c r="I2887" s="332"/>
      <c r="J2887" s="321"/>
    </row>
    <row r="2888" spans="1:10" x14ac:dyDescent="0.25">
      <c r="A2888" s="303"/>
      <c r="B2888" s="333" t="s">
        <v>346</v>
      </c>
      <c r="C2888" s="317"/>
      <c r="D2888" s="318"/>
      <c r="E2888" s="331"/>
      <c r="F2888" s="331"/>
      <c r="G2888" s="331"/>
      <c r="H2888" s="332"/>
      <c r="I2888" s="332"/>
      <c r="J2888" s="321"/>
    </row>
    <row r="2889" spans="1:10" x14ac:dyDescent="0.25">
      <c r="A2889" s="303"/>
      <c r="B2889" s="333" t="s">
        <v>346</v>
      </c>
      <c r="C2889" s="317"/>
      <c r="D2889" s="318"/>
      <c r="E2889" s="331"/>
      <c r="F2889" s="331"/>
      <c r="G2889" s="331"/>
      <c r="H2889" s="332"/>
      <c r="I2889" s="332"/>
      <c r="J2889" s="321"/>
    </row>
    <row r="2890" spans="1:10" x14ac:dyDescent="0.25">
      <c r="A2890" s="303"/>
      <c r="B2890" s="333" t="s">
        <v>346</v>
      </c>
      <c r="C2890" s="317"/>
      <c r="D2890" s="318"/>
      <c r="E2890" s="331"/>
      <c r="F2890" s="331"/>
      <c r="G2890" s="331"/>
      <c r="H2890" s="332"/>
      <c r="I2890" s="332"/>
      <c r="J2890" s="321"/>
    </row>
    <row r="2891" spans="1:10" x14ac:dyDescent="0.25">
      <c r="A2891" s="303"/>
      <c r="B2891" s="310"/>
      <c r="C2891" s="334"/>
      <c r="D2891" s="312"/>
      <c r="E2891" s="313"/>
      <c r="F2891" s="313"/>
      <c r="G2891" s="313"/>
      <c r="H2891" s="313"/>
      <c r="I2891" s="335" t="s">
        <v>479</v>
      </c>
      <c r="J2891" s="315">
        <v>0</v>
      </c>
    </row>
    <row r="2892" spans="1:10" x14ac:dyDescent="0.25">
      <c r="A2892" s="303"/>
      <c r="B2892" s="310" t="s">
        <v>464</v>
      </c>
      <c r="C2892" s="311" t="s">
        <v>480</v>
      </c>
      <c r="D2892" s="312"/>
      <c r="E2892" s="313"/>
      <c r="F2892" s="313"/>
      <c r="G2892" s="313"/>
      <c r="H2892" s="324" t="s">
        <v>355</v>
      </c>
      <c r="I2892" s="336" t="s">
        <v>481</v>
      </c>
      <c r="J2892" s="322" t="s">
        <v>331</v>
      </c>
    </row>
    <row r="2893" spans="1:10" x14ac:dyDescent="0.25">
      <c r="A2893" s="303"/>
      <c r="B2893" s="337" t="s">
        <v>482</v>
      </c>
      <c r="C2893" s="311" t="s">
        <v>483</v>
      </c>
      <c r="D2893" s="312"/>
      <c r="E2893" s="313"/>
      <c r="F2893" s="313"/>
      <c r="G2893" s="313"/>
      <c r="H2893" s="314">
        <v>5</v>
      </c>
      <c r="I2893" s="329">
        <v>17.768000000000001</v>
      </c>
      <c r="J2893" s="315">
        <v>88.84</v>
      </c>
    </row>
    <row r="2894" spans="1:10" x14ac:dyDescent="0.25">
      <c r="A2894" s="303"/>
      <c r="B2894" s="333" t="s">
        <v>346</v>
      </c>
      <c r="C2894" s="317"/>
      <c r="D2894" s="318"/>
      <c r="E2894" s="319"/>
      <c r="F2894" s="319"/>
      <c r="G2894" s="319"/>
      <c r="H2894" s="320"/>
      <c r="I2894" s="332"/>
      <c r="J2894" s="321"/>
    </row>
    <row r="2895" spans="1:10" x14ac:dyDescent="0.25">
      <c r="A2895" s="303"/>
      <c r="B2895" s="333" t="s">
        <v>346</v>
      </c>
      <c r="C2895" s="317"/>
      <c r="D2895" s="318"/>
      <c r="E2895" s="319"/>
      <c r="F2895" s="319"/>
      <c r="G2895" s="319"/>
      <c r="H2895" s="320"/>
      <c r="I2895" s="332"/>
      <c r="J2895" s="321"/>
    </row>
    <row r="2896" spans="1:10" x14ac:dyDescent="0.25">
      <c r="A2896" s="303"/>
      <c r="B2896" s="333" t="s">
        <v>346</v>
      </c>
      <c r="C2896" s="317"/>
      <c r="D2896" s="318"/>
      <c r="E2896" s="319"/>
      <c r="F2896" s="319"/>
      <c r="G2896" s="319"/>
      <c r="H2896" s="320"/>
      <c r="I2896" s="332"/>
      <c r="J2896" s="321"/>
    </row>
    <row r="2897" spans="1:10" x14ac:dyDescent="0.25">
      <c r="A2897" s="303"/>
      <c r="B2897" s="333" t="s">
        <v>346</v>
      </c>
      <c r="C2897" s="317"/>
      <c r="D2897" s="318"/>
      <c r="E2897" s="319"/>
      <c r="F2897" s="319"/>
      <c r="G2897" s="319"/>
      <c r="H2897" s="320"/>
      <c r="I2897" s="332"/>
      <c r="J2897" s="321"/>
    </row>
    <row r="2898" spans="1:10" x14ac:dyDescent="0.25">
      <c r="A2898" s="303"/>
      <c r="B2898" s="333" t="s">
        <v>346</v>
      </c>
      <c r="C2898" s="317"/>
      <c r="D2898" s="318"/>
      <c r="E2898" s="319"/>
      <c r="F2898" s="319"/>
      <c r="G2898" s="319"/>
      <c r="H2898" s="320"/>
      <c r="I2898" s="332"/>
      <c r="J2898" s="321"/>
    </row>
    <row r="2899" spans="1:10" x14ac:dyDescent="0.25">
      <c r="A2899" s="303"/>
      <c r="B2899" s="333" t="s">
        <v>346</v>
      </c>
      <c r="C2899" s="317"/>
      <c r="D2899" s="318"/>
      <c r="E2899" s="319"/>
      <c r="F2899" s="319"/>
      <c r="G2899" s="319"/>
      <c r="H2899" s="320"/>
      <c r="I2899" s="332"/>
      <c r="J2899" s="321"/>
    </row>
    <row r="2900" spans="1:10" x14ac:dyDescent="0.25">
      <c r="A2900" s="303"/>
      <c r="B2900" s="310"/>
      <c r="C2900" s="334"/>
      <c r="D2900" s="312"/>
      <c r="E2900" s="313"/>
      <c r="F2900" s="313"/>
      <c r="G2900" s="313"/>
      <c r="H2900" s="313"/>
      <c r="I2900" s="338" t="s">
        <v>484</v>
      </c>
      <c r="J2900" s="315">
        <v>88.84</v>
      </c>
    </row>
    <row r="2901" spans="1:10" x14ac:dyDescent="0.25">
      <c r="A2901" s="303"/>
      <c r="B2901" s="339"/>
      <c r="C2901" s="334"/>
      <c r="D2901" s="312"/>
      <c r="E2901" s="313"/>
      <c r="F2901" s="313"/>
      <c r="G2901" s="313"/>
      <c r="H2901" s="313"/>
      <c r="I2901" s="338" t="s">
        <v>485</v>
      </c>
      <c r="J2901" s="340">
        <v>88.84</v>
      </c>
    </row>
    <row r="2902" spans="1:10" x14ac:dyDescent="0.25">
      <c r="A2902" s="303"/>
      <c r="B2902" s="339"/>
      <c r="C2902" s="341" t="s">
        <v>486</v>
      </c>
      <c r="D2902" s="312">
        <v>5</v>
      </c>
      <c r="E2902" s="313"/>
      <c r="F2902" s="313"/>
      <c r="G2902" s="313"/>
      <c r="H2902" s="313"/>
      <c r="I2902" s="338" t="s">
        <v>487</v>
      </c>
      <c r="J2902" s="340">
        <v>17.768000000000001</v>
      </c>
    </row>
    <row r="2903" spans="1:10" x14ac:dyDescent="0.25">
      <c r="A2903" s="303"/>
      <c r="B2903" s="310"/>
      <c r="C2903" s="334"/>
      <c r="D2903" s="312"/>
      <c r="E2903" s="313"/>
      <c r="F2903" s="313"/>
      <c r="G2903" s="313"/>
      <c r="H2903" s="338" t="s">
        <v>488</v>
      </c>
      <c r="I2903" s="342">
        <v>0</v>
      </c>
      <c r="J2903" s="315">
        <v>0</v>
      </c>
    </row>
    <row r="2904" spans="1:10" x14ac:dyDescent="0.25">
      <c r="A2904" s="303"/>
      <c r="B2904" s="310"/>
      <c r="C2904" s="334"/>
      <c r="D2904" s="312"/>
      <c r="E2904" s="313"/>
      <c r="F2904" s="313"/>
      <c r="G2904" s="313"/>
      <c r="H2904" s="335" t="s">
        <v>489</v>
      </c>
      <c r="I2904" s="343">
        <v>0</v>
      </c>
      <c r="J2904" s="315">
        <v>0</v>
      </c>
    </row>
    <row r="2905" spans="1:10" x14ac:dyDescent="0.25">
      <c r="A2905" s="303"/>
      <c r="B2905" s="310" t="s">
        <v>464</v>
      </c>
      <c r="C2905" s="311" t="s">
        <v>490</v>
      </c>
      <c r="D2905" s="312"/>
      <c r="E2905" s="313"/>
      <c r="F2905" s="313"/>
      <c r="G2905" s="314" t="s">
        <v>465</v>
      </c>
      <c r="H2905" s="336" t="s">
        <v>468</v>
      </c>
      <c r="I2905" s="336" t="s">
        <v>491</v>
      </c>
      <c r="J2905" s="322" t="s">
        <v>492</v>
      </c>
    </row>
    <row r="2906" spans="1:10" x14ac:dyDescent="0.25">
      <c r="A2906" s="303"/>
      <c r="B2906" s="337" t="s">
        <v>346</v>
      </c>
      <c r="C2906" s="311"/>
      <c r="D2906" s="312"/>
      <c r="E2906" s="313"/>
      <c r="F2906" s="313"/>
      <c r="G2906" s="314"/>
      <c r="H2906" s="329"/>
      <c r="I2906" s="329"/>
      <c r="J2906" s="315"/>
    </row>
    <row r="2907" spans="1:10" x14ac:dyDescent="0.25">
      <c r="A2907" s="303"/>
      <c r="B2907" s="333" t="s">
        <v>346</v>
      </c>
      <c r="C2907" s="317"/>
      <c r="D2907" s="318"/>
      <c r="E2907" s="319"/>
      <c r="F2907" s="319"/>
      <c r="G2907" s="320"/>
      <c r="H2907" s="332"/>
      <c r="I2907" s="332"/>
      <c r="J2907" s="321"/>
    </row>
    <row r="2908" spans="1:10" x14ac:dyDescent="0.25">
      <c r="A2908" s="303"/>
      <c r="B2908" s="333" t="s">
        <v>346</v>
      </c>
      <c r="C2908" s="317"/>
      <c r="D2908" s="318"/>
      <c r="E2908" s="319"/>
      <c r="F2908" s="319"/>
      <c r="G2908" s="320"/>
      <c r="H2908" s="332"/>
      <c r="I2908" s="332"/>
      <c r="J2908" s="321"/>
    </row>
    <row r="2909" spans="1:10" x14ac:dyDescent="0.25">
      <c r="A2909" s="303"/>
      <c r="B2909" s="333" t="s">
        <v>346</v>
      </c>
      <c r="C2909" s="317"/>
      <c r="D2909" s="318"/>
      <c r="E2909" s="319"/>
      <c r="F2909" s="319"/>
      <c r="G2909" s="320"/>
      <c r="H2909" s="332"/>
      <c r="I2909" s="332"/>
      <c r="J2909" s="321"/>
    </row>
    <row r="2910" spans="1:10" x14ac:dyDescent="0.25">
      <c r="A2910" s="303"/>
      <c r="B2910" s="333" t="s">
        <v>346</v>
      </c>
      <c r="C2910" s="317"/>
      <c r="D2910" s="318"/>
      <c r="E2910" s="319"/>
      <c r="F2910" s="319"/>
      <c r="G2910" s="320"/>
      <c r="H2910" s="332"/>
      <c r="I2910" s="332"/>
      <c r="J2910" s="321"/>
    </row>
    <row r="2911" spans="1:10" x14ac:dyDescent="0.25">
      <c r="A2911" s="303"/>
      <c r="B2911" s="333" t="s">
        <v>346</v>
      </c>
      <c r="C2911" s="317"/>
      <c r="D2911" s="318"/>
      <c r="E2911" s="319"/>
      <c r="F2911" s="319"/>
      <c r="G2911" s="320"/>
      <c r="H2911" s="332"/>
      <c r="I2911" s="332"/>
      <c r="J2911" s="321"/>
    </row>
    <row r="2912" spans="1:10" x14ac:dyDescent="0.25">
      <c r="A2912" s="303"/>
      <c r="B2912" s="333" t="s">
        <v>346</v>
      </c>
      <c r="C2912" s="317"/>
      <c r="D2912" s="318"/>
      <c r="E2912" s="319"/>
      <c r="F2912" s="319"/>
      <c r="G2912" s="320"/>
      <c r="H2912" s="332"/>
      <c r="I2912" s="332"/>
      <c r="J2912" s="321"/>
    </row>
    <row r="2913" spans="1:10" x14ac:dyDescent="0.25">
      <c r="A2913" s="303"/>
      <c r="B2913" s="310"/>
      <c r="C2913" s="334"/>
      <c r="D2913" s="312"/>
      <c r="E2913" s="313"/>
      <c r="F2913" s="313"/>
      <c r="G2913" s="313"/>
      <c r="H2913" s="343"/>
      <c r="I2913" s="335" t="s">
        <v>498</v>
      </c>
      <c r="J2913" s="315">
        <v>0</v>
      </c>
    </row>
    <row r="2914" spans="1:10" x14ac:dyDescent="0.25">
      <c r="A2914" s="303"/>
      <c r="B2914" s="310" t="s">
        <v>464</v>
      </c>
      <c r="C2914" s="311" t="s">
        <v>499</v>
      </c>
      <c r="D2914" s="312"/>
      <c r="E2914" s="313"/>
      <c r="F2914" s="313"/>
      <c r="G2914" s="314" t="s">
        <v>465</v>
      </c>
      <c r="H2914" s="336" t="s">
        <v>468</v>
      </c>
      <c r="I2914" s="336" t="s">
        <v>491</v>
      </c>
      <c r="J2914" s="322" t="s">
        <v>492</v>
      </c>
    </row>
    <row r="2915" spans="1:10" x14ac:dyDescent="0.25">
      <c r="A2915" s="303"/>
      <c r="B2915" s="337"/>
      <c r="C2915" s="311"/>
      <c r="D2915" s="312"/>
      <c r="E2915" s="313"/>
      <c r="F2915" s="313"/>
      <c r="G2915" s="314"/>
      <c r="H2915" s="329"/>
      <c r="I2915" s="329"/>
      <c r="J2915" s="315"/>
    </row>
    <row r="2916" spans="1:10" x14ac:dyDescent="0.25">
      <c r="A2916" s="303"/>
      <c r="B2916" s="333"/>
      <c r="C2916" s="317"/>
      <c r="D2916" s="318"/>
      <c r="E2916" s="319"/>
      <c r="F2916" s="319"/>
      <c r="G2916" s="320"/>
      <c r="H2916" s="332"/>
      <c r="I2916" s="332"/>
      <c r="J2916" s="321"/>
    </row>
    <row r="2917" spans="1:10" x14ac:dyDescent="0.25">
      <c r="A2917" s="303"/>
      <c r="B2917" s="333"/>
      <c r="C2917" s="317"/>
      <c r="D2917" s="318"/>
      <c r="E2917" s="319"/>
      <c r="F2917" s="319"/>
      <c r="G2917" s="320"/>
      <c r="H2917" s="332"/>
      <c r="I2917" s="332"/>
      <c r="J2917" s="321"/>
    </row>
    <row r="2918" spans="1:10" x14ac:dyDescent="0.25">
      <c r="A2918" s="303"/>
      <c r="B2918" s="333"/>
      <c r="C2918" s="317"/>
      <c r="D2918" s="318"/>
      <c r="E2918" s="319"/>
      <c r="F2918" s="319"/>
      <c r="G2918" s="320"/>
      <c r="H2918" s="332"/>
      <c r="I2918" s="332"/>
      <c r="J2918" s="321"/>
    </row>
    <row r="2919" spans="1:10" x14ac:dyDescent="0.25">
      <c r="A2919" s="303"/>
      <c r="B2919" s="333"/>
      <c r="C2919" s="317"/>
      <c r="D2919" s="318"/>
      <c r="E2919" s="319"/>
      <c r="F2919" s="319"/>
      <c r="G2919" s="320"/>
      <c r="H2919" s="332"/>
      <c r="I2919" s="332"/>
      <c r="J2919" s="321"/>
    </row>
    <row r="2920" spans="1:10" x14ac:dyDescent="0.25">
      <c r="A2920" s="303"/>
      <c r="B2920" s="310"/>
      <c r="C2920" s="334"/>
      <c r="D2920" s="312"/>
      <c r="E2920" s="313"/>
      <c r="F2920" s="313"/>
      <c r="G2920" s="313"/>
      <c r="H2920" s="343"/>
      <c r="I2920" s="335" t="s">
        <v>501</v>
      </c>
      <c r="J2920" s="315">
        <v>0</v>
      </c>
    </row>
    <row r="2921" spans="1:10" x14ac:dyDescent="0.25">
      <c r="A2921" s="303"/>
      <c r="B2921" s="310" t="s">
        <v>464</v>
      </c>
      <c r="C2921" s="311" t="s">
        <v>502</v>
      </c>
      <c r="D2921" s="312"/>
      <c r="E2921" s="313"/>
      <c r="F2921" s="314" t="s">
        <v>464</v>
      </c>
      <c r="G2921" s="324" t="s">
        <v>503</v>
      </c>
      <c r="H2921" s="329" t="s">
        <v>465</v>
      </c>
      <c r="I2921" s="336" t="s">
        <v>468</v>
      </c>
      <c r="J2921" s="322" t="s">
        <v>492</v>
      </c>
    </row>
    <row r="2922" spans="1:10" x14ac:dyDescent="0.25">
      <c r="A2922" s="303"/>
      <c r="B2922" s="337" t="s">
        <v>346</v>
      </c>
      <c r="C2922" s="311"/>
      <c r="D2922" s="312"/>
      <c r="E2922" s="313"/>
      <c r="F2922" s="314"/>
      <c r="G2922" s="314"/>
      <c r="H2922" s="329"/>
      <c r="I2922" s="329"/>
      <c r="J2922" s="315"/>
    </row>
    <row r="2923" spans="1:10" x14ac:dyDescent="0.25">
      <c r="A2923" s="303"/>
      <c r="B2923" s="333" t="s">
        <v>346</v>
      </c>
      <c r="C2923" s="317"/>
      <c r="D2923" s="318"/>
      <c r="E2923" s="319"/>
      <c r="F2923" s="320"/>
      <c r="G2923" s="320"/>
      <c r="H2923" s="332"/>
      <c r="I2923" s="332"/>
      <c r="J2923" s="321"/>
    </row>
    <row r="2924" spans="1:10" x14ac:dyDescent="0.25">
      <c r="A2924" s="303"/>
      <c r="B2924" s="333" t="s">
        <v>346</v>
      </c>
      <c r="C2924" s="317"/>
      <c r="D2924" s="318"/>
      <c r="E2924" s="319"/>
      <c r="F2924" s="320"/>
      <c r="G2924" s="320"/>
      <c r="H2924" s="332"/>
      <c r="I2924" s="332"/>
      <c r="J2924" s="321"/>
    </row>
    <row r="2925" spans="1:10" x14ac:dyDescent="0.25">
      <c r="A2925" s="303"/>
      <c r="B2925" s="333" t="s">
        <v>346</v>
      </c>
      <c r="C2925" s="317"/>
      <c r="D2925" s="318"/>
      <c r="E2925" s="319"/>
      <c r="F2925" s="320"/>
      <c r="G2925" s="320"/>
      <c r="H2925" s="332"/>
      <c r="I2925" s="332"/>
      <c r="J2925" s="321"/>
    </row>
    <row r="2926" spans="1:10" x14ac:dyDescent="0.25">
      <c r="A2926" s="303"/>
      <c r="B2926" s="333" t="s">
        <v>346</v>
      </c>
      <c r="C2926" s="317"/>
      <c r="D2926" s="318"/>
      <c r="E2926" s="319"/>
      <c r="F2926" s="320"/>
      <c r="G2926" s="320"/>
      <c r="H2926" s="332"/>
      <c r="I2926" s="332"/>
      <c r="J2926" s="321"/>
    </row>
    <row r="2927" spans="1:10" x14ac:dyDescent="0.25">
      <c r="A2927" s="303"/>
      <c r="B2927" s="310"/>
      <c r="C2927" s="334"/>
      <c r="D2927" s="312"/>
      <c r="E2927" s="313"/>
      <c r="F2927" s="313"/>
      <c r="G2927" s="313"/>
      <c r="H2927" s="343"/>
      <c r="I2927" s="338" t="s">
        <v>507</v>
      </c>
      <c r="J2927" s="315">
        <v>0</v>
      </c>
    </row>
    <row r="2928" spans="1:10" x14ac:dyDescent="0.25">
      <c r="A2928" s="303"/>
      <c r="B2928" s="310" t="s">
        <v>464</v>
      </c>
      <c r="C2928" s="311" t="s">
        <v>508</v>
      </c>
      <c r="D2928" s="345" t="s">
        <v>509</v>
      </c>
      <c r="E2928" s="324" t="s">
        <v>873</v>
      </c>
      <c r="F2928" s="324" t="s">
        <v>874</v>
      </c>
      <c r="G2928" s="324" t="s">
        <v>875</v>
      </c>
      <c r="H2928" s="336" t="s">
        <v>468</v>
      </c>
      <c r="I2928" s="324" t="s">
        <v>491</v>
      </c>
      <c r="J2928" s="322" t="s">
        <v>492</v>
      </c>
    </row>
    <row r="2929" spans="1:10" x14ac:dyDescent="0.25">
      <c r="A2929" s="303"/>
      <c r="B2929" s="337" t="s">
        <v>346</v>
      </c>
      <c r="C2929" s="311"/>
      <c r="D2929" s="345"/>
      <c r="E2929" s="314"/>
      <c r="F2929" s="314"/>
      <c r="G2929" s="314"/>
      <c r="H2929" s="329"/>
      <c r="I2929" s="314"/>
      <c r="J2929" s="315"/>
    </row>
    <row r="2930" spans="1:10" x14ac:dyDescent="0.25">
      <c r="A2930" s="303"/>
      <c r="B2930" s="333" t="s">
        <v>346</v>
      </c>
      <c r="C2930" s="317"/>
      <c r="D2930" s="346"/>
      <c r="E2930" s="320"/>
      <c r="F2930" s="320"/>
      <c r="G2930" s="320"/>
      <c r="H2930" s="332"/>
      <c r="I2930" s="320"/>
      <c r="J2930" s="321"/>
    </row>
    <row r="2931" spans="1:10" x14ac:dyDescent="0.25">
      <c r="A2931" s="303"/>
      <c r="B2931" s="333" t="s">
        <v>346</v>
      </c>
      <c r="C2931" s="317"/>
      <c r="D2931" s="346"/>
      <c r="E2931" s="320"/>
      <c r="F2931" s="320"/>
      <c r="G2931" s="320"/>
      <c r="H2931" s="332"/>
      <c r="I2931" s="320"/>
      <c r="J2931" s="321"/>
    </row>
    <row r="2932" spans="1:10" x14ac:dyDescent="0.25">
      <c r="A2932" s="303"/>
      <c r="B2932" s="333" t="s">
        <v>346</v>
      </c>
      <c r="C2932" s="317"/>
      <c r="D2932" s="346"/>
      <c r="E2932" s="320"/>
      <c r="F2932" s="320"/>
      <c r="G2932" s="320"/>
      <c r="H2932" s="332"/>
      <c r="I2932" s="320"/>
      <c r="J2932" s="321"/>
    </row>
    <row r="2933" spans="1:10" x14ac:dyDescent="0.25">
      <c r="A2933" s="303"/>
      <c r="B2933" s="333" t="s">
        <v>346</v>
      </c>
      <c r="C2933" s="317"/>
      <c r="D2933" s="346"/>
      <c r="E2933" s="320"/>
      <c r="F2933" s="320"/>
      <c r="G2933" s="320"/>
      <c r="H2933" s="332"/>
      <c r="I2933" s="320"/>
      <c r="J2933" s="321"/>
    </row>
    <row r="2934" spans="1:10" x14ac:dyDescent="0.25">
      <c r="A2934" s="303"/>
      <c r="B2934" s="333" t="s">
        <v>346</v>
      </c>
      <c r="C2934" s="317"/>
      <c r="D2934" s="346"/>
      <c r="E2934" s="320"/>
      <c r="F2934" s="320"/>
      <c r="G2934" s="320"/>
      <c r="H2934" s="332"/>
      <c r="I2934" s="320"/>
      <c r="J2934" s="321"/>
    </row>
    <row r="2935" spans="1:10" x14ac:dyDescent="0.25">
      <c r="A2935" s="303"/>
      <c r="B2935" s="333" t="s">
        <v>346</v>
      </c>
      <c r="C2935" s="317"/>
      <c r="D2935" s="346"/>
      <c r="E2935" s="320"/>
      <c r="F2935" s="320"/>
      <c r="G2935" s="320"/>
      <c r="H2935" s="332"/>
      <c r="I2935" s="320"/>
      <c r="J2935" s="321"/>
    </row>
    <row r="2936" spans="1:10" x14ac:dyDescent="0.25">
      <c r="A2936" s="303"/>
      <c r="B2936" s="310"/>
      <c r="C2936" s="334"/>
      <c r="D2936" s="312"/>
      <c r="E2936" s="313"/>
      <c r="F2936" s="313"/>
      <c r="G2936" s="313"/>
      <c r="H2936" s="313"/>
      <c r="I2936" s="338" t="s">
        <v>513</v>
      </c>
      <c r="J2936" s="315">
        <v>0</v>
      </c>
    </row>
    <row r="2937" spans="1:10" x14ac:dyDescent="0.25">
      <c r="A2937" s="303"/>
      <c r="B2937" s="310" t="s">
        <v>514</v>
      </c>
      <c r="C2937" s="334"/>
      <c r="D2937" s="312"/>
      <c r="E2937" s="313"/>
      <c r="F2937" s="313"/>
      <c r="G2937" s="313"/>
      <c r="H2937" s="313"/>
      <c r="I2937" s="313"/>
      <c r="J2937" s="315">
        <v>17.768000000000001</v>
      </c>
    </row>
    <row r="2938" spans="1:10" x14ac:dyDescent="0.25">
      <c r="A2938" s="303"/>
      <c r="B2938" s="310" t="s">
        <v>515</v>
      </c>
      <c r="C2938" s="334"/>
      <c r="D2938" s="312">
        <v>0</v>
      </c>
      <c r="E2938" s="313"/>
      <c r="F2938" s="313"/>
      <c r="G2938" s="313"/>
      <c r="H2938" s="313"/>
      <c r="I2938" s="313"/>
      <c r="J2938" s="315">
        <v>0</v>
      </c>
    </row>
    <row r="2939" spans="1:10" ht="14.4" thickBot="1" x14ac:dyDescent="0.3">
      <c r="A2939" s="303"/>
      <c r="B2939" s="310" t="s">
        <v>516</v>
      </c>
      <c r="C2939" s="334"/>
      <c r="D2939" s="312"/>
      <c r="E2939" s="313"/>
      <c r="F2939" s="313"/>
      <c r="G2939" s="313"/>
      <c r="H2939" s="313"/>
      <c r="I2939" s="313"/>
      <c r="J2939" s="347">
        <v>17.77</v>
      </c>
    </row>
    <row r="2940" spans="1:10" x14ac:dyDescent="0.25">
      <c r="A2940" s="303"/>
      <c r="B2940" s="304"/>
      <c r="C2940" s="305"/>
      <c r="D2940" s="348"/>
      <c r="E2940" s="308"/>
      <c r="F2940" s="308"/>
      <c r="G2940" s="308"/>
      <c r="H2940" s="308"/>
      <c r="I2940" s="308"/>
      <c r="J2940" s="309"/>
    </row>
    <row r="2941" spans="1:10" x14ac:dyDescent="0.25">
      <c r="A2941" s="303"/>
      <c r="B2941" s="316"/>
      <c r="C2941" s="303"/>
      <c r="D2941" s="318"/>
      <c r="E2941" s="319"/>
      <c r="F2941" s="319"/>
      <c r="G2941" s="319"/>
      <c r="H2941" s="319"/>
      <c r="I2941" s="319"/>
      <c r="J2941" s="349"/>
    </row>
    <row r="2942" spans="1:10" x14ac:dyDescent="0.25">
      <c r="A2942" s="303"/>
      <c r="B2942" s="316"/>
      <c r="C2942" s="303"/>
      <c r="D2942" s="318"/>
      <c r="E2942" s="319"/>
      <c r="F2942" s="319"/>
      <c r="G2942" s="319"/>
      <c r="H2942" s="319"/>
      <c r="I2942" s="319"/>
      <c r="J2942" s="349"/>
    </row>
    <row r="2943" spans="1:10" ht="14.4" thickBot="1" x14ac:dyDescent="0.3">
      <c r="A2943" s="303"/>
      <c r="B2943" s="350"/>
      <c r="C2943" s="303"/>
      <c r="D2943" s="318"/>
      <c r="E2943" s="319"/>
      <c r="F2943" s="319"/>
      <c r="G2943" s="319"/>
      <c r="H2943" s="319"/>
      <c r="I2943" s="319"/>
      <c r="J2943" s="351"/>
    </row>
    <row r="2944" spans="1:10" x14ac:dyDescent="0.25">
      <c r="A2944" s="303"/>
      <c r="B2944" s="305"/>
      <c r="C2944" s="305"/>
      <c r="D2944" s="348"/>
      <c r="E2944" s="308"/>
      <c r="F2944" s="308"/>
      <c r="G2944" s="308"/>
      <c r="H2944" s="308"/>
      <c r="I2944" s="308"/>
      <c r="J2944" s="352"/>
    </row>
    <row r="2945" spans="1:10" ht="14.4" thickBot="1" x14ac:dyDescent="0.3">
      <c r="A2945" s="303"/>
      <c r="B2945" s="303"/>
      <c r="C2945" s="303"/>
      <c r="D2945" s="318"/>
      <c r="E2945" s="319"/>
      <c r="F2945" s="319"/>
      <c r="G2945" s="319"/>
      <c r="H2945" s="319"/>
      <c r="I2945" s="319"/>
      <c r="J2945" s="353"/>
    </row>
    <row r="2946" spans="1:10" x14ac:dyDescent="0.25">
      <c r="A2946" s="303"/>
      <c r="B2946" s="304"/>
      <c r="C2946" s="305"/>
      <c r="D2946" s="306" t="s">
        <v>463</v>
      </c>
      <c r="E2946" s="307"/>
      <c r="F2946" s="307"/>
      <c r="G2946" s="308"/>
      <c r="H2946" s="308"/>
      <c r="I2946" s="308"/>
      <c r="J2946" s="309"/>
    </row>
    <row r="2947" spans="1:10" x14ac:dyDescent="0.25">
      <c r="A2947" s="303"/>
      <c r="B2947" s="310" t="s">
        <v>464</v>
      </c>
      <c r="C2947" s="311" t="s">
        <v>134</v>
      </c>
      <c r="D2947" s="312"/>
      <c r="E2947" s="313"/>
      <c r="F2947" s="313"/>
      <c r="G2947" s="313"/>
      <c r="H2947" s="314"/>
      <c r="I2947" s="313"/>
      <c r="J2947" s="315" t="s">
        <v>465</v>
      </c>
    </row>
    <row r="2948" spans="1:10" x14ac:dyDescent="0.25">
      <c r="A2948" s="303"/>
      <c r="B2948" s="316">
        <v>4915733</v>
      </c>
      <c r="C2948" s="317" t="s">
        <v>405</v>
      </c>
      <c r="D2948" s="318"/>
      <c r="E2948" s="319"/>
      <c r="F2948" s="319"/>
      <c r="G2948" s="319"/>
      <c r="H2948" s="320"/>
      <c r="I2948" s="319"/>
      <c r="J2948" s="321" t="s">
        <v>365</v>
      </c>
    </row>
    <row r="2949" spans="1:10" x14ac:dyDescent="0.25">
      <c r="A2949" s="303"/>
      <c r="B2949" s="310"/>
      <c r="C2949" s="311"/>
      <c r="D2949" s="312"/>
      <c r="E2949" s="314"/>
      <c r="F2949" s="314" t="s">
        <v>466</v>
      </c>
      <c r="G2949" s="314"/>
      <c r="H2949" s="314" t="s">
        <v>467</v>
      </c>
      <c r="I2949" s="314"/>
      <c r="J2949" s="322" t="s">
        <v>468</v>
      </c>
    </row>
    <row r="2950" spans="1:10" x14ac:dyDescent="0.25">
      <c r="A2950" s="303"/>
      <c r="B2950" s="316" t="s">
        <v>464</v>
      </c>
      <c r="C2950" s="317" t="s">
        <v>469</v>
      </c>
      <c r="D2950" s="318"/>
      <c r="E2950" s="323" t="s">
        <v>355</v>
      </c>
      <c r="F2950" s="324" t="s">
        <v>470</v>
      </c>
      <c r="G2950" s="324" t="s">
        <v>471</v>
      </c>
      <c r="H2950" s="324" t="s">
        <v>472</v>
      </c>
      <c r="I2950" s="325" t="s">
        <v>473</v>
      </c>
      <c r="J2950" s="326" t="s">
        <v>474</v>
      </c>
    </row>
    <row r="2951" spans="1:10" x14ac:dyDescent="0.25">
      <c r="A2951" s="303"/>
      <c r="B2951" s="327" t="s">
        <v>755</v>
      </c>
      <c r="C2951" s="311" t="s">
        <v>992</v>
      </c>
      <c r="D2951" s="312"/>
      <c r="E2951" s="328">
        <v>1</v>
      </c>
      <c r="F2951" s="328">
        <v>1</v>
      </c>
      <c r="G2951" s="328">
        <v>0</v>
      </c>
      <c r="H2951" s="329">
        <v>9.2094000000000005</v>
      </c>
      <c r="I2951" s="329">
        <v>0.8407</v>
      </c>
      <c r="J2951" s="315">
        <v>9.2094000000000005</v>
      </c>
    </row>
    <row r="2952" spans="1:10" x14ac:dyDescent="0.25">
      <c r="A2952" s="303"/>
      <c r="B2952" s="333" t="s">
        <v>346</v>
      </c>
      <c r="C2952" s="317"/>
      <c r="D2952" s="318"/>
      <c r="E2952" s="331"/>
      <c r="F2952" s="331"/>
      <c r="G2952" s="331"/>
      <c r="H2952" s="332"/>
      <c r="I2952" s="332"/>
      <c r="J2952" s="321"/>
    </row>
    <row r="2953" spans="1:10" x14ac:dyDescent="0.25">
      <c r="A2953" s="303"/>
      <c r="B2953" s="333" t="s">
        <v>346</v>
      </c>
      <c r="C2953" s="317"/>
      <c r="D2953" s="318"/>
      <c r="E2953" s="331"/>
      <c r="F2953" s="331"/>
      <c r="G2953" s="331"/>
      <c r="H2953" s="332"/>
      <c r="I2953" s="332"/>
      <c r="J2953" s="321"/>
    </row>
    <row r="2954" spans="1:10" x14ac:dyDescent="0.25">
      <c r="A2954" s="303"/>
      <c r="B2954" s="333" t="s">
        <v>346</v>
      </c>
      <c r="C2954" s="317"/>
      <c r="D2954" s="318"/>
      <c r="E2954" s="331"/>
      <c r="F2954" s="331"/>
      <c r="G2954" s="331"/>
      <c r="H2954" s="332"/>
      <c r="I2954" s="332"/>
      <c r="J2954" s="321"/>
    </row>
    <row r="2955" spans="1:10" x14ac:dyDescent="0.25">
      <c r="A2955" s="303"/>
      <c r="B2955" s="333" t="s">
        <v>346</v>
      </c>
      <c r="C2955" s="317"/>
      <c r="D2955" s="318"/>
      <c r="E2955" s="331"/>
      <c r="F2955" s="331"/>
      <c r="G2955" s="331"/>
      <c r="H2955" s="332"/>
      <c r="I2955" s="332"/>
      <c r="J2955" s="321"/>
    </row>
    <row r="2956" spans="1:10" x14ac:dyDescent="0.25">
      <c r="A2956" s="303"/>
      <c r="B2956" s="333" t="s">
        <v>346</v>
      </c>
      <c r="C2956" s="317"/>
      <c r="D2956" s="318"/>
      <c r="E2956" s="331"/>
      <c r="F2956" s="331"/>
      <c r="G2956" s="331"/>
      <c r="H2956" s="332"/>
      <c r="I2956" s="332"/>
      <c r="J2956" s="321"/>
    </row>
    <row r="2957" spans="1:10" x14ac:dyDescent="0.25">
      <c r="A2957" s="303"/>
      <c r="B2957" s="333" t="s">
        <v>346</v>
      </c>
      <c r="C2957" s="317"/>
      <c r="D2957" s="318"/>
      <c r="E2957" s="331"/>
      <c r="F2957" s="331"/>
      <c r="G2957" s="331"/>
      <c r="H2957" s="332"/>
      <c r="I2957" s="332"/>
      <c r="J2957" s="321"/>
    </row>
    <row r="2958" spans="1:10" x14ac:dyDescent="0.25">
      <c r="A2958" s="303"/>
      <c r="B2958" s="310"/>
      <c r="C2958" s="334"/>
      <c r="D2958" s="312"/>
      <c r="E2958" s="313"/>
      <c r="F2958" s="313"/>
      <c r="G2958" s="313"/>
      <c r="H2958" s="313"/>
      <c r="I2958" s="335" t="s">
        <v>479</v>
      </c>
      <c r="J2958" s="315">
        <v>9.2094000000000005</v>
      </c>
    </row>
    <row r="2959" spans="1:10" x14ac:dyDescent="0.25">
      <c r="A2959" s="303"/>
      <c r="B2959" s="310" t="s">
        <v>464</v>
      </c>
      <c r="C2959" s="311" t="s">
        <v>480</v>
      </c>
      <c r="D2959" s="312"/>
      <c r="E2959" s="313"/>
      <c r="F2959" s="313"/>
      <c r="G2959" s="313"/>
      <c r="H2959" s="324" t="s">
        <v>355</v>
      </c>
      <c r="I2959" s="336" t="s">
        <v>481</v>
      </c>
      <c r="J2959" s="322" t="s">
        <v>331</v>
      </c>
    </row>
    <row r="2960" spans="1:10" x14ac:dyDescent="0.25">
      <c r="A2960" s="303"/>
      <c r="B2960" s="337" t="s">
        <v>482</v>
      </c>
      <c r="C2960" s="311" t="s">
        <v>483</v>
      </c>
      <c r="D2960" s="312"/>
      <c r="E2960" s="313"/>
      <c r="F2960" s="313"/>
      <c r="G2960" s="313"/>
      <c r="H2960" s="314">
        <v>4</v>
      </c>
      <c r="I2960" s="329">
        <v>17.768000000000001</v>
      </c>
      <c r="J2960" s="315">
        <v>71.072000000000003</v>
      </c>
    </row>
    <row r="2961" spans="1:10" x14ac:dyDescent="0.25">
      <c r="A2961" s="303"/>
      <c r="B2961" s="333" t="s">
        <v>346</v>
      </c>
      <c r="C2961" s="317"/>
      <c r="D2961" s="318"/>
      <c r="E2961" s="319"/>
      <c r="F2961" s="319"/>
      <c r="G2961" s="319"/>
      <c r="H2961" s="320"/>
      <c r="I2961" s="332"/>
      <c r="J2961" s="321"/>
    </row>
    <row r="2962" spans="1:10" x14ac:dyDescent="0.25">
      <c r="A2962" s="303"/>
      <c r="B2962" s="333" t="s">
        <v>346</v>
      </c>
      <c r="C2962" s="317"/>
      <c r="D2962" s="318"/>
      <c r="E2962" s="319"/>
      <c r="F2962" s="319"/>
      <c r="G2962" s="319"/>
      <c r="H2962" s="320"/>
      <c r="I2962" s="332"/>
      <c r="J2962" s="321"/>
    </row>
    <row r="2963" spans="1:10" x14ac:dyDescent="0.25">
      <c r="A2963" s="303"/>
      <c r="B2963" s="333" t="s">
        <v>346</v>
      </c>
      <c r="C2963" s="317"/>
      <c r="D2963" s="318"/>
      <c r="E2963" s="319"/>
      <c r="F2963" s="319"/>
      <c r="G2963" s="319"/>
      <c r="H2963" s="320"/>
      <c r="I2963" s="332"/>
      <c r="J2963" s="321"/>
    </row>
    <row r="2964" spans="1:10" x14ac:dyDescent="0.25">
      <c r="A2964" s="303"/>
      <c r="B2964" s="333" t="s">
        <v>346</v>
      </c>
      <c r="C2964" s="317"/>
      <c r="D2964" s="318"/>
      <c r="E2964" s="319"/>
      <c r="F2964" s="319"/>
      <c r="G2964" s="319"/>
      <c r="H2964" s="320"/>
      <c r="I2964" s="332"/>
      <c r="J2964" s="321"/>
    </row>
    <row r="2965" spans="1:10" x14ac:dyDescent="0.25">
      <c r="A2965" s="303"/>
      <c r="B2965" s="333" t="s">
        <v>346</v>
      </c>
      <c r="C2965" s="317"/>
      <c r="D2965" s="318"/>
      <c r="E2965" s="319"/>
      <c r="F2965" s="319"/>
      <c r="G2965" s="319"/>
      <c r="H2965" s="320"/>
      <c r="I2965" s="332"/>
      <c r="J2965" s="321"/>
    </row>
    <row r="2966" spans="1:10" x14ac:dyDescent="0.25">
      <c r="A2966" s="303"/>
      <c r="B2966" s="333" t="s">
        <v>346</v>
      </c>
      <c r="C2966" s="317"/>
      <c r="D2966" s="318"/>
      <c r="E2966" s="319"/>
      <c r="F2966" s="319"/>
      <c r="G2966" s="319"/>
      <c r="H2966" s="320"/>
      <c r="I2966" s="332"/>
      <c r="J2966" s="321"/>
    </row>
    <row r="2967" spans="1:10" x14ac:dyDescent="0.25">
      <c r="A2967" s="303"/>
      <c r="B2967" s="310"/>
      <c r="C2967" s="334"/>
      <c r="D2967" s="312"/>
      <c r="E2967" s="313"/>
      <c r="F2967" s="313"/>
      <c r="G2967" s="313"/>
      <c r="H2967" s="313"/>
      <c r="I2967" s="338" t="s">
        <v>484</v>
      </c>
      <c r="J2967" s="315">
        <v>71.072000000000003</v>
      </c>
    </row>
    <row r="2968" spans="1:10" x14ac:dyDescent="0.25">
      <c r="A2968" s="303"/>
      <c r="B2968" s="339"/>
      <c r="C2968" s="334"/>
      <c r="D2968" s="312"/>
      <c r="E2968" s="313"/>
      <c r="F2968" s="313"/>
      <c r="G2968" s="313"/>
      <c r="H2968" s="313"/>
      <c r="I2968" s="338" t="s">
        <v>485</v>
      </c>
      <c r="J2968" s="340">
        <v>80.281400000000005</v>
      </c>
    </row>
    <row r="2969" spans="1:10" x14ac:dyDescent="0.25">
      <c r="A2969" s="303"/>
      <c r="B2969" s="339"/>
      <c r="C2969" s="341" t="s">
        <v>486</v>
      </c>
      <c r="D2969" s="312">
        <v>2.81</v>
      </c>
      <c r="E2969" s="313"/>
      <c r="F2969" s="313"/>
      <c r="G2969" s="313"/>
      <c r="H2969" s="313"/>
      <c r="I2969" s="338" t="s">
        <v>487</v>
      </c>
      <c r="J2969" s="340">
        <v>28.569900000000001</v>
      </c>
    </row>
    <row r="2970" spans="1:10" x14ac:dyDescent="0.25">
      <c r="A2970" s="303"/>
      <c r="B2970" s="310"/>
      <c r="C2970" s="334"/>
      <c r="D2970" s="312"/>
      <c r="E2970" s="313"/>
      <c r="F2970" s="313"/>
      <c r="G2970" s="313"/>
      <c r="H2970" s="338" t="s">
        <v>488</v>
      </c>
      <c r="I2970" s="342">
        <v>2.7799999999999998E-2</v>
      </c>
      <c r="J2970" s="315">
        <v>0.79420000000000002</v>
      </c>
    </row>
    <row r="2971" spans="1:10" x14ac:dyDescent="0.25">
      <c r="A2971" s="303"/>
      <c r="B2971" s="310"/>
      <c r="C2971" s="334"/>
      <c r="D2971" s="312"/>
      <c r="E2971" s="313"/>
      <c r="F2971" s="313"/>
      <c r="G2971" s="313"/>
      <c r="H2971" s="335" t="s">
        <v>489</v>
      </c>
      <c r="I2971" s="343">
        <v>0</v>
      </c>
      <c r="J2971" s="315">
        <v>0</v>
      </c>
    </row>
    <row r="2972" spans="1:10" x14ac:dyDescent="0.25">
      <c r="A2972" s="303"/>
      <c r="B2972" s="310" t="s">
        <v>464</v>
      </c>
      <c r="C2972" s="311" t="s">
        <v>490</v>
      </c>
      <c r="D2972" s="312"/>
      <c r="E2972" s="313"/>
      <c r="F2972" s="313"/>
      <c r="G2972" s="314" t="s">
        <v>465</v>
      </c>
      <c r="H2972" s="336" t="s">
        <v>468</v>
      </c>
      <c r="I2972" s="336" t="s">
        <v>491</v>
      </c>
      <c r="J2972" s="322" t="s">
        <v>492</v>
      </c>
    </row>
    <row r="2973" spans="1:10" x14ac:dyDescent="0.25">
      <c r="A2973" s="303"/>
      <c r="B2973" s="337" t="s">
        <v>346</v>
      </c>
      <c r="C2973" s="311"/>
      <c r="D2973" s="312"/>
      <c r="E2973" s="313"/>
      <c r="F2973" s="313"/>
      <c r="G2973" s="314"/>
      <c r="H2973" s="329"/>
      <c r="I2973" s="329"/>
      <c r="J2973" s="315"/>
    </row>
    <row r="2974" spans="1:10" x14ac:dyDescent="0.25">
      <c r="A2974" s="303"/>
      <c r="B2974" s="333" t="s">
        <v>346</v>
      </c>
      <c r="C2974" s="317"/>
      <c r="D2974" s="318"/>
      <c r="E2974" s="319"/>
      <c r="F2974" s="319"/>
      <c r="G2974" s="320"/>
      <c r="H2974" s="332"/>
      <c r="I2974" s="332"/>
      <c r="J2974" s="321"/>
    </row>
    <row r="2975" spans="1:10" x14ac:dyDescent="0.25">
      <c r="A2975" s="303"/>
      <c r="B2975" s="333" t="s">
        <v>346</v>
      </c>
      <c r="C2975" s="317"/>
      <c r="D2975" s="318"/>
      <c r="E2975" s="319"/>
      <c r="F2975" s="319"/>
      <c r="G2975" s="320"/>
      <c r="H2975" s="332"/>
      <c r="I2975" s="332"/>
      <c r="J2975" s="321"/>
    </row>
    <row r="2976" spans="1:10" x14ac:dyDescent="0.25">
      <c r="A2976" s="303"/>
      <c r="B2976" s="333" t="s">
        <v>346</v>
      </c>
      <c r="C2976" s="317"/>
      <c r="D2976" s="318"/>
      <c r="E2976" s="319"/>
      <c r="F2976" s="319"/>
      <c r="G2976" s="320"/>
      <c r="H2976" s="332"/>
      <c r="I2976" s="332"/>
      <c r="J2976" s="321"/>
    </row>
    <row r="2977" spans="1:10" x14ac:dyDescent="0.25">
      <c r="A2977" s="303"/>
      <c r="B2977" s="333" t="s">
        <v>346</v>
      </c>
      <c r="C2977" s="317"/>
      <c r="D2977" s="318"/>
      <c r="E2977" s="319"/>
      <c r="F2977" s="319"/>
      <c r="G2977" s="320"/>
      <c r="H2977" s="332"/>
      <c r="I2977" s="332"/>
      <c r="J2977" s="321"/>
    </row>
    <row r="2978" spans="1:10" x14ac:dyDescent="0.25">
      <c r="A2978" s="303"/>
      <c r="B2978" s="333" t="s">
        <v>346</v>
      </c>
      <c r="C2978" s="317"/>
      <c r="D2978" s="318"/>
      <c r="E2978" s="319"/>
      <c r="F2978" s="319"/>
      <c r="G2978" s="320"/>
      <c r="H2978" s="332"/>
      <c r="I2978" s="332"/>
      <c r="J2978" s="321"/>
    </row>
    <row r="2979" spans="1:10" x14ac:dyDescent="0.25">
      <c r="A2979" s="303"/>
      <c r="B2979" s="310"/>
      <c r="C2979" s="334"/>
      <c r="D2979" s="312"/>
      <c r="E2979" s="313"/>
      <c r="F2979" s="313"/>
      <c r="G2979" s="313"/>
      <c r="H2979" s="343"/>
      <c r="I2979" s="335" t="s">
        <v>498</v>
      </c>
      <c r="J2979" s="315">
        <v>0</v>
      </c>
    </row>
    <row r="2980" spans="1:10" x14ac:dyDescent="0.25">
      <c r="A2980" s="303"/>
      <c r="B2980" s="310" t="s">
        <v>464</v>
      </c>
      <c r="C2980" s="311" t="s">
        <v>499</v>
      </c>
      <c r="D2980" s="312"/>
      <c r="E2980" s="313"/>
      <c r="F2980" s="313"/>
      <c r="G2980" s="314" t="s">
        <v>465</v>
      </c>
      <c r="H2980" s="336" t="s">
        <v>468</v>
      </c>
      <c r="I2980" s="336" t="s">
        <v>491</v>
      </c>
      <c r="J2980" s="322" t="s">
        <v>492</v>
      </c>
    </row>
    <row r="2981" spans="1:10" x14ac:dyDescent="0.25">
      <c r="A2981" s="303"/>
      <c r="B2981" s="337">
        <v>4016096</v>
      </c>
      <c r="C2981" s="311" t="s">
        <v>756</v>
      </c>
      <c r="D2981" s="312"/>
      <c r="E2981" s="313"/>
      <c r="F2981" s="313"/>
      <c r="G2981" s="314" t="s">
        <v>365</v>
      </c>
      <c r="H2981" s="329">
        <v>1.05</v>
      </c>
      <c r="I2981" s="329">
        <v>1.1000000000000001</v>
      </c>
      <c r="J2981" s="315">
        <v>1.155</v>
      </c>
    </row>
    <row r="2982" spans="1:10" x14ac:dyDescent="0.25">
      <c r="A2982" s="303"/>
      <c r="B2982" s="333"/>
      <c r="C2982" s="317"/>
      <c r="D2982" s="318"/>
      <c r="E2982" s="319"/>
      <c r="F2982" s="319"/>
      <c r="G2982" s="320"/>
      <c r="H2982" s="332"/>
      <c r="I2982" s="332"/>
      <c r="J2982" s="321"/>
    </row>
    <row r="2983" spans="1:10" x14ac:dyDescent="0.25">
      <c r="A2983" s="303"/>
      <c r="B2983" s="333"/>
      <c r="C2983" s="317"/>
      <c r="D2983" s="318"/>
      <c r="E2983" s="319"/>
      <c r="F2983" s="319"/>
      <c r="G2983" s="320"/>
      <c r="H2983" s="332"/>
      <c r="I2983" s="332"/>
      <c r="J2983" s="321"/>
    </row>
    <row r="2984" spans="1:10" x14ac:dyDescent="0.25">
      <c r="A2984" s="303"/>
      <c r="B2984" s="333"/>
      <c r="C2984" s="317"/>
      <c r="D2984" s="318"/>
      <c r="E2984" s="319"/>
      <c r="F2984" s="319"/>
      <c r="G2984" s="320"/>
      <c r="H2984" s="332"/>
      <c r="I2984" s="332"/>
      <c r="J2984" s="321"/>
    </row>
    <row r="2985" spans="1:10" x14ac:dyDescent="0.25">
      <c r="A2985" s="303"/>
      <c r="B2985" s="333"/>
      <c r="C2985" s="317"/>
      <c r="D2985" s="318"/>
      <c r="E2985" s="319"/>
      <c r="F2985" s="319"/>
      <c r="G2985" s="320"/>
      <c r="H2985" s="332"/>
      <c r="I2985" s="332"/>
      <c r="J2985" s="321"/>
    </row>
    <row r="2986" spans="1:10" x14ac:dyDescent="0.25">
      <c r="A2986" s="303"/>
      <c r="B2986" s="310"/>
      <c r="C2986" s="334"/>
      <c r="D2986" s="312"/>
      <c r="E2986" s="313"/>
      <c r="F2986" s="313"/>
      <c r="G2986" s="313"/>
      <c r="H2986" s="343"/>
      <c r="I2986" s="335" t="s">
        <v>501</v>
      </c>
      <c r="J2986" s="315">
        <v>1.155</v>
      </c>
    </row>
    <row r="2987" spans="1:10" x14ac:dyDescent="0.25">
      <c r="A2987" s="303"/>
      <c r="B2987" s="310" t="s">
        <v>464</v>
      </c>
      <c r="C2987" s="311" t="s">
        <v>502</v>
      </c>
      <c r="D2987" s="312"/>
      <c r="E2987" s="313"/>
      <c r="F2987" s="314" t="s">
        <v>464</v>
      </c>
      <c r="G2987" s="324" t="s">
        <v>503</v>
      </c>
      <c r="H2987" s="329" t="s">
        <v>465</v>
      </c>
      <c r="I2987" s="336" t="s">
        <v>468</v>
      </c>
      <c r="J2987" s="322" t="s">
        <v>492</v>
      </c>
    </row>
    <row r="2988" spans="1:10" x14ac:dyDescent="0.25">
      <c r="A2988" s="303"/>
      <c r="B2988" s="337">
        <v>560964353</v>
      </c>
      <c r="C2988" s="311" t="s">
        <v>757</v>
      </c>
      <c r="D2988" s="312"/>
      <c r="E2988" s="313"/>
      <c r="F2988" s="344" t="s">
        <v>758</v>
      </c>
      <c r="G2988" s="314">
        <v>2.0625</v>
      </c>
      <c r="H2988" s="329" t="s">
        <v>370</v>
      </c>
      <c r="I2988" s="329">
        <v>1.1499999999999999</v>
      </c>
      <c r="J2988" s="315">
        <v>2.3719000000000001</v>
      </c>
    </row>
    <row r="2989" spans="1:10" x14ac:dyDescent="0.25">
      <c r="A2989" s="303"/>
      <c r="B2989" s="333" t="s">
        <v>346</v>
      </c>
      <c r="C2989" s="317"/>
      <c r="D2989" s="318"/>
      <c r="E2989" s="319"/>
      <c r="F2989" s="320"/>
      <c r="G2989" s="320"/>
      <c r="H2989" s="332"/>
      <c r="I2989" s="332"/>
      <c r="J2989" s="321"/>
    </row>
    <row r="2990" spans="1:10" x14ac:dyDescent="0.25">
      <c r="A2990" s="303"/>
      <c r="B2990" s="333" t="s">
        <v>346</v>
      </c>
      <c r="C2990" s="317"/>
      <c r="D2990" s="318"/>
      <c r="E2990" s="319"/>
      <c r="F2990" s="320"/>
      <c r="G2990" s="320"/>
      <c r="H2990" s="332"/>
      <c r="I2990" s="332"/>
      <c r="J2990" s="321"/>
    </row>
    <row r="2991" spans="1:10" x14ac:dyDescent="0.25">
      <c r="A2991" s="303"/>
      <c r="B2991" s="333" t="s">
        <v>346</v>
      </c>
      <c r="C2991" s="317"/>
      <c r="D2991" s="318"/>
      <c r="E2991" s="319"/>
      <c r="F2991" s="320"/>
      <c r="G2991" s="320"/>
      <c r="H2991" s="332"/>
      <c r="I2991" s="332"/>
      <c r="J2991" s="321"/>
    </row>
    <row r="2992" spans="1:10" x14ac:dyDescent="0.25">
      <c r="A2992" s="303"/>
      <c r="B2992" s="333" t="s">
        <v>346</v>
      </c>
      <c r="C2992" s="317"/>
      <c r="D2992" s="318"/>
      <c r="E2992" s="319"/>
      <c r="F2992" s="320"/>
      <c r="G2992" s="320"/>
      <c r="H2992" s="332"/>
      <c r="I2992" s="332"/>
      <c r="J2992" s="321"/>
    </row>
    <row r="2993" spans="1:10" x14ac:dyDescent="0.25">
      <c r="A2993" s="303"/>
      <c r="B2993" s="310"/>
      <c r="C2993" s="334"/>
      <c r="D2993" s="312"/>
      <c r="E2993" s="313"/>
      <c r="F2993" s="313"/>
      <c r="G2993" s="313"/>
      <c r="H2993" s="343"/>
      <c r="I2993" s="338" t="s">
        <v>507</v>
      </c>
      <c r="J2993" s="315">
        <v>2.3719000000000001</v>
      </c>
    </row>
    <row r="2994" spans="1:10" x14ac:dyDescent="0.25">
      <c r="A2994" s="303"/>
      <c r="B2994" s="310" t="s">
        <v>464</v>
      </c>
      <c r="C2994" s="311" t="s">
        <v>508</v>
      </c>
      <c r="D2994" s="345" t="s">
        <v>509</v>
      </c>
      <c r="E2994" s="324" t="s">
        <v>873</v>
      </c>
      <c r="F2994" s="324" t="s">
        <v>874</v>
      </c>
      <c r="G2994" s="324" t="s">
        <v>875</v>
      </c>
      <c r="H2994" s="336" t="s">
        <v>468</v>
      </c>
      <c r="I2994" s="324" t="s">
        <v>491</v>
      </c>
      <c r="J2994" s="322" t="s">
        <v>492</v>
      </c>
    </row>
    <row r="2995" spans="1:10" x14ac:dyDescent="0.25">
      <c r="A2995" s="303"/>
      <c r="B2995" s="337">
        <v>416096</v>
      </c>
      <c r="C2995" s="311" t="s">
        <v>759</v>
      </c>
      <c r="D2995" s="345" t="s">
        <v>510</v>
      </c>
      <c r="E2995" s="314">
        <v>0</v>
      </c>
      <c r="F2995" s="314">
        <v>0</v>
      </c>
      <c r="G2995" s="314">
        <v>10</v>
      </c>
      <c r="H2995" s="329">
        <v>0.55000000000000004</v>
      </c>
      <c r="I2995" s="314">
        <v>2.0625</v>
      </c>
      <c r="J2995" s="315">
        <v>11.3438</v>
      </c>
    </row>
    <row r="2996" spans="1:10" x14ac:dyDescent="0.25">
      <c r="A2996" s="303"/>
      <c r="B2996" s="333" t="s">
        <v>346</v>
      </c>
      <c r="C2996" s="317"/>
      <c r="D2996" s="346"/>
      <c r="E2996" s="320"/>
      <c r="F2996" s="320"/>
      <c r="G2996" s="320"/>
      <c r="H2996" s="332"/>
      <c r="I2996" s="320"/>
      <c r="J2996" s="321"/>
    </row>
    <row r="2997" spans="1:10" x14ac:dyDescent="0.25">
      <c r="A2997" s="303"/>
      <c r="B2997" s="333" t="s">
        <v>346</v>
      </c>
      <c r="C2997" s="317"/>
      <c r="D2997" s="346"/>
      <c r="E2997" s="320"/>
      <c r="F2997" s="320"/>
      <c r="G2997" s="320"/>
      <c r="H2997" s="332"/>
      <c r="I2997" s="320"/>
      <c r="J2997" s="321"/>
    </row>
    <row r="2998" spans="1:10" x14ac:dyDescent="0.25">
      <c r="A2998" s="303"/>
      <c r="B2998" s="333" t="s">
        <v>346</v>
      </c>
      <c r="C2998" s="317"/>
      <c r="D2998" s="346"/>
      <c r="E2998" s="320"/>
      <c r="F2998" s="320"/>
      <c r="G2998" s="320"/>
      <c r="H2998" s="332"/>
      <c r="I2998" s="320"/>
      <c r="J2998" s="321"/>
    </row>
    <row r="2999" spans="1:10" x14ac:dyDescent="0.25">
      <c r="A2999" s="303"/>
      <c r="B2999" s="333" t="s">
        <v>346</v>
      </c>
      <c r="C2999" s="317"/>
      <c r="D2999" s="346"/>
      <c r="E2999" s="320"/>
      <c r="F2999" s="320"/>
      <c r="G2999" s="320"/>
      <c r="H2999" s="332"/>
      <c r="I2999" s="320"/>
      <c r="J2999" s="321"/>
    </row>
    <row r="3000" spans="1:10" x14ac:dyDescent="0.25">
      <c r="A3000" s="303"/>
      <c r="B3000" s="333" t="s">
        <v>346</v>
      </c>
      <c r="C3000" s="317"/>
      <c r="D3000" s="346"/>
      <c r="E3000" s="320"/>
      <c r="F3000" s="320"/>
      <c r="G3000" s="320"/>
      <c r="H3000" s="332"/>
      <c r="I3000" s="320"/>
      <c r="J3000" s="321"/>
    </row>
    <row r="3001" spans="1:10" x14ac:dyDescent="0.25">
      <c r="A3001" s="303"/>
      <c r="B3001" s="333" t="s">
        <v>346</v>
      </c>
      <c r="C3001" s="317"/>
      <c r="D3001" s="346"/>
      <c r="E3001" s="320"/>
      <c r="F3001" s="320"/>
      <c r="G3001" s="320"/>
      <c r="H3001" s="332"/>
      <c r="I3001" s="320"/>
      <c r="J3001" s="321"/>
    </row>
    <row r="3002" spans="1:10" x14ac:dyDescent="0.25">
      <c r="A3002" s="303"/>
      <c r="B3002" s="310"/>
      <c r="C3002" s="334"/>
      <c r="D3002" s="312"/>
      <c r="E3002" s="313"/>
      <c r="F3002" s="313"/>
      <c r="G3002" s="313"/>
      <c r="H3002" s="313"/>
      <c r="I3002" s="338" t="s">
        <v>513</v>
      </c>
      <c r="J3002" s="315">
        <v>11.3438</v>
      </c>
    </row>
    <row r="3003" spans="1:10" x14ac:dyDescent="0.25">
      <c r="A3003" s="303"/>
      <c r="B3003" s="310" t="s">
        <v>514</v>
      </c>
      <c r="C3003" s="334"/>
      <c r="D3003" s="312"/>
      <c r="E3003" s="313"/>
      <c r="F3003" s="313"/>
      <c r="G3003" s="313"/>
      <c r="H3003" s="313"/>
      <c r="I3003" s="313"/>
      <c r="J3003" s="315">
        <v>44.234800000000007</v>
      </c>
    </row>
    <row r="3004" spans="1:10" x14ac:dyDescent="0.25">
      <c r="A3004" s="303"/>
      <c r="B3004" s="310" t="s">
        <v>515</v>
      </c>
      <c r="C3004" s="334"/>
      <c r="D3004" s="312">
        <v>0</v>
      </c>
      <c r="E3004" s="313"/>
      <c r="F3004" s="313"/>
      <c r="G3004" s="313"/>
      <c r="H3004" s="313"/>
      <c r="I3004" s="313"/>
      <c r="J3004" s="315">
        <v>0</v>
      </c>
    </row>
    <row r="3005" spans="1:10" ht="14.4" thickBot="1" x14ac:dyDescent="0.3">
      <c r="A3005" s="303"/>
      <c r="B3005" s="310" t="s">
        <v>516</v>
      </c>
      <c r="C3005" s="334"/>
      <c r="D3005" s="312"/>
      <c r="E3005" s="313"/>
      <c r="F3005" s="313"/>
      <c r="G3005" s="313"/>
      <c r="H3005" s="313"/>
      <c r="I3005" s="313"/>
      <c r="J3005" s="347">
        <v>44.23</v>
      </c>
    </row>
    <row r="3006" spans="1:10" x14ac:dyDescent="0.25">
      <c r="A3006" s="303"/>
      <c r="B3006" s="304"/>
      <c r="C3006" s="305"/>
      <c r="D3006" s="348"/>
      <c r="E3006" s="308"/>
      <c r="F3006" s="308"/>
      <c r="G3006" s="308"/>
      <c r="H3006" s="308"/>
      <c r="I3006" s="308"/>
      <c r="J3006" s="309"/>
    </row>
    <row r="3007" spans="1:10" x14ac:dyDescent="0.25">
      <c r="A3007" s="303"/>
      <c r="B3007" s="316"/>
      <c r="C3007" s="303"/>
      <c r="D3007" s="318"/>
      <c r="E3007" s="319"/>
      <c r="F3007" s="319"/>
      <c r="G3007" s="319"/>
      <c r="H3007" s="319"/>
      <c r="I3007" s="319"/>
      <c r="J3007" s="349"/>
    </row>
    <row r="3008" spans="1:10" x14ac:dyDescent="0.25">
      <c r="A3008" s="303"/>
      <c r="B3008" s="316"/>
      <c r="C3008" s="303"/>
      <c r="D3008" s="318"/>
      <c r="E3008" s="319"/>
      <c r="F3008" s="319"/>
      <c r="G3008" s="319"/>
      <c r="H3008" s="319"/>
      <c r="I3008" s="319"/>
      <c r="J3008" s="349"/>
    </row>
    <row r="3009" spans="1:10" ht="14.4" thickBot="1" x14ac:dyDescent="0.3">
      <c r="A3009" s="303"/>
      <c r="B3009" s="350"/>
      <c r="C3009" s="303"/>
      <c r="D3009" s="318"/>
      <c r="E3009" s="319"/>
      <c r="F3009" s="319"/>
      <c r="G3009" s="319"/>
      <c r="H3009" s="319"/>
      <c r="I3009" s="319"/>
      <c r="J3009" s="351"/>
    </row>
    <row r="3010" spans="1:10" x14ac:dyDescent="0.25">
      <c r="A3010" s="303"/>
      <c r="B3010" s="305"/>
      <c r="C3010" s="305"/>
      <c r="D3010" s="348"/>
      <c r="E3010" s="308"/>
      <c r="F3010" s="308"/>
      <c r="G3010" s="308"/>
      <c r="H3010" s="308"/>
      <c r="I3010" s="308"/>
      <c r="J3010" s="352"/>
    </row>
    <row r="3011" spans="1:10" ht="14.4" thickBot="1" x14ac:dyDescent="0.3">
      <c r="A3011" s="303"/>
      <c r="B3011" s="303"/>
      <c r="C3011" s="303"/>
      <c r="D3011" s="318"/>
      <c r="E3011" s="319"/>
      <c r="F3011" s="319"/>
      <c r="G3011" s="319"/>
      <c r="H3011" s="319"/>
      <c r="I3011" s="319"/>
      <c r="J3011" s="353"/>
    </row>
    <row r="3012" spans="1:10" x14ac:dyDescent="0.25">
      <c r="A3012" s="303"/>
      <c r="B3012" s="304"/>
      <c r="C3012" s="305"/>
      <c r="D3012" s="306" t="s">
        <v>463</v>
      </c>
      <c r="E3012" s="307"/>
      <c r="F3012" s="307"/>
      <c r="G3012" s="308"/>
      <c r="H3012" s="308"/>
      <c r="I3012" s="308"/>
      <c r="J3012" s="309"/>
    </row>
    <row r="3013" spans="1:10" x14ac:dyDescent="0.25">
      <c r="A3013" s="303"/>
      <c r="B3013" s="310" t="s">
        <v>464</v>
      </c>
      <c r="C3013" s="311" t="s">
        <v>134</v>
      </c>
      <c r="D3013" s="312"/>
      <c r="E3013" s="313"/>
      <c r="F3013" s="313"/>
      <c r="G3013" s="313"/>
      <c r="H3013" s="314"/>
      <c r="I3013" s="313"/>
      <c r="J3013" s="315" t="s">
        <v>465</v>
      </c>
    </row>
    <row r="3014" spans="1:10" x14ac:dyDescent="0.25">
      <c r="A3014" s="303"/>
      <c r="B3014" s="316">
        <v>4016096</v>
      </c>
      <c r="C3014" s="317" t="s">
        <v>431</v>
      </c>
      <c r="D3014" s="318"/>
      <c r="E3014" s="319"/>
      <c r="F3014" s="319"/>
      <c r="G3014" s="319"/>
      <c r="H3014" s="320"/>
      <c r="I3014" s="319"/>
      <c r="J3014" s="321" t="s">
        <v>365</v>
      </c>
    </row>
    <row r="3015" spans="1:10" x14ac:dyDescent="0.25">
      <c r="A3015" s="303"/>
      <c r="B3015" s="310"/>
      <c r="C3015" s="311"/>
      <c r="D3015" s="312"/>
      <c r="E3015" s="314"/>
      <c r="F3015" s="314" t="s">
        <v>466</v>
      </c>
      <c r="G3015" s="314"/>
      <c r="H3015" s="314" t="s">
        <v>467</v>
      </c>
      <c r="I3015" s="314"/>
      <c r="J3015" s="322" t="s">
        <v>468</v>
      </c>
    </row>
    <row r="3016" spans="1:10" x14ac:dyDescent="0.25">
      <c r="A3016" s="303"/>
      <c r="B3016" s="316" t="s">
        <v>464</v>
      </c>
      <c r="C3016" s="317" t="s">
        <v>469</v>
      </c>
      <c r="D3016" s="318"/>
      <c r="E3016" s="323" t="s">
        <v>355</v>
      </c>
      <c r="F3016" s="324" t="s">
        <v>470</v>
      </c>
      <c r="G3016" s="324" t="s">
        <v>471</v>
      </c>
      <c r="H3016" s="324" t="s">
        <v>472</v>
      </c>
      <c r="I3016" s="325" t="s">
        <v>473</v>
      </c>
      <c r="J3016" s="326" t="s">
        <v>474</v>
      </c>
    </row>
    <row r="3017" spans="1:10" x14ac:dyDescent="0.25">
      <c r="A3017" s="303"/>
      <c r="B3017" s="327" t="s">
        <v>760</v>
      </c>
      <c r="C3017" s="311" t="s">
        <v>761</v>
      </c>
      <c r="D3017" s="312"/>
      <c r="E3017" s="328">
        <v>1</v>
      </c>
      <c r="F3017" s="328">
        <v>1</v>
      </c>
      <c r="G3017" s="328">
        <v>0</v>
      </c>
      <c r="H3017" s="329">
        <v>217.4796</v>
      </c>
      <c r="I3017" s="329">
        <v>95.677499999999995</v>
      </c>
      <c r="J3017" s="315">
        <v>217.4796</v>
      </c>
    </row>
    <row r="3018" spans="1:10" x14ac:dyDescent="0.25">
      <c r="A3018" s="303"/>
      <c r="B3018" s="333" t="s">
        <v>346</v>
      </c>
      <c r="C3018" s="317"/>
      <c r="D3018" s="318"/>
      <c r="E3018" s="331"/>
      <c r="F3018" s="331"/>
      <c r="G3018" s="331"/>
      <c r="H3018" s="332"/>
      <c r="I3018" s="332"/>
      <c r="J3018" s="321"/>
    </row>
    <row r="3019" spans="1:10" x14ac:dyDescent="0.25">
      <c r="A3019" s="303"/>
      <c r="B3019" s="333" t="s">
        <v>346</v>
      </c>
      <c r="C3019" s="317"/>
      <c r="D3019" s="318"/>
      <c r="E3019" s="331"/>
      <c r="F3019" s="331"/>
      <c r="G3019" s="331"/>
      <c r="H3019" s="332"/>
      <c r="I3019" s="332"/>
      <c r="J3019" s="321"/>
    </row>
    <row r="3020" spans="1:10" x14ac:dyDescent="0.25">
      <c r="A3020" s="303"/>
      <c r="B3020" s="333" t="s">
        <v>346</v>
      </c>
      <c r="C3020" s="317"/>
      <c r="D3020" s="318"/>
      <c r="E3020" s="331"/>
      <c r="F3020" s="331"/>
      <c r="G3020" s="331"/>
      <c r="H3020" s="332"/>
      <c r="I3020" s="332"/>
      <c r="J3020" s="321"/>
    </row>
    <row r="3021" spans="1:10" x14ac:dyDescent="0.25">
      <c r="A3021" s="303"/>
      <c r="B3021" s="333" t="s">
        <v>346</v>
      </c>
      <c r="C3021" s="317"/>
      <c r="D3021" s="318"/>
      <c r="E3021" s="331"/>
      <c r="F3021" s="331"/>
      <c r="G3021" s="331"/>
      <c r="H3021" s="332"/>
      <c r="I3021" s="332"/>
      <c r="J3021" s="321"/>
    </row>
    <row r="3022" spans="1:10" x14ac:dyDescent="0.25">
      <c r="A3022" s="303"/>
      <c r="B3022" s="333" t="s">
        <v>346</v>
      </c>
      <c r="C3022" s="317"/>
      <c r="D3022" s="318"/>
      <c r="E3022" s="331"/>
      <c r="F3022" s="331"/>
      <c r="G3022" s="331"/>
      <c r="H3022" s="332"/>
      <c r="I3022" s="332"/>
      <c r="J3022" s="321"/>
    </row>
    <row r="3023" spans="1:10" x14ac:dyDescent="0.25">
      <c r="A3023" s="303"/>
      <c r="B3023" s="333" t="s">
        <v>346</v>
      </c>
      <c r="C3023" s="317"/>
      <c r="D3023" s="318"/>
      <c r="E3023" s="331"/>
      <c r="F3023" s="331"/>
      <c r="G3023" s="331"/>
      <c r="H3023" s="332"/>
      <c r="I3023" s="332"/>
      <c r="J3023" s="321"/>
    </row>
    <row r="3024" spans="1:10" x14ac:dyDescent="0.25">
      <c r="A3024" s="303"/>
      <c r="B3024" s="310"/>
      <c r="C3024" s="334"/>
      <c r="D3024" s="312"/>
      <c r="E3024" s="313"/>
      <c r="F3024" s="313"/>
      <c r="G3024" s="313"/>
      <c r="H3024" s="313"/>
      <c r="I3024" s="335" t="s">
        <v>479</v>
      </c>
      <c r="J3024" s="315">
        <v>217.4796</v>
      </c>
    </row>
    <row r="3025" spans="1:10" x14ac:dyDescent="0.25">
      <c r="A3025" s="303"/>
      <c r="B3025" s="310" t="s">
        <v>464</v>
      </c>
      <c r="C3025" s="311" t="s">
        <v>480</v>
      </c>
      <c r="D3025" s="312"/>
      <c r="E3025" s="313"/>
      <c r="F3025" s="313"/>
      <c r="G3025" s="313"/>
      <c r="H3025" s="324" t="s">
        <v>355</v>
      </c>
      <c r="I3025" s="336" t="s">
        <v>481</v>
      </c>
      <c r="J3025" s="322" t="s">
        <v>331</v>
      </c>
    </row>
    <row r="3026" spans="1:10" x14ac:dyDescent="0.25">
      <c r="A3026" s="303"/>
      <c r="B3026" s="337" t="s">
        <v>482</v>
      </c>
      <c r="C3026" s="311" t="s">
        <v>483</v>
      </c>
      <c r="D3026" s="312"/>
      <c r="E3026" s="313"/>
      <c r="F3026" s="313"/>
      <c r="G3026" s="313"/>
      <c r="H3026" s="314">
        <v>1</v>
      </c>
      <c r="I3026" s="329">
        <v>17.768000000000001</v>
      </c>
      <c r="J3026" s="315">
        <v>17.768000000000001</v>
      </c>
    </row>
    <row r="3027" spans="1:10" x14ac:dyDescent="0.25">
      <c r="A3027" s="303"/>
      <c r="B3027" s="333" t="s">
        <v>346</v>
      </c>
      <c r="C3027" s="317"/>
      <c r="D3027" s="318"/>
      <c r="E3027" s="319"/>
      <c r="F3027" s="319"/>
      <c r="G3027" s="319"/>
      <c r="H3027" s="320"/>
      <c r="I3027" s="332"/>
      <c r="J3027" s="321"/>
    </row>
    <row r="3028" spans="1:10" x14ac:dyDescent="0.25">
      <c r="A3028" s="303"/>
      <c r="B3028" s="333" t="s">
        <v>346</v>
      </c>
      <c r="C3028" s="317"/>
      <c r="D3028" s="318"/>
      <c r="E3028" s="319"/>
      <c r="F3028" s="319"/>
      <c r="G3028" s="319"/>
      <c r="H3028" s="320"/>
      <c r="I3028" s="332"/>
      <c r="J3028" s="321"/>
    </row>
    <row r="3029" spans="1:10" x14ac:dyDescent="0.25">
      <c r="A3029" s="303"/>
      <c r="B3029" s="333" t="s">
        <v>346</v>
      </c>
      <c r="C3029" s="317"/>
      <c r="D3029" s="318"/>
      <c r="E3029" s="319"/>
      <c r="F3029" s="319"/>
      <c r="G3029" s="319"/>
      <c r="H3029" s="320"/>
      <c r="I3029" s="332"/>
      <c r="J3029" s="321"/>
    </row>
    <row r="3030" spans="1:10" x14ac:dyDescent="0.25">
      <c r="A3030" s="303"/>
      <c r="B3030" s="333" t="s">
        <v>346</v>
      </c>
      <c r="C3030" s="317"/>
      <c r="D3030" s="318"/>
      <c r="E3030" s="319"/>
      <c r="F3030" s="319"/>
      <c r="G3030" s="319"/>
      <c r="H3030" s="320"/>
      <c r="I3030" s="332"/>
      <c r="J3030" s="321"/>
    </row>
    <row r="3031" spans="1:10" x14ac:dyDescent="0.25">
      <c r="A3031" s="303"/>
      <c r="B3031" s="333" t="s">
        <v>346</v>
      </c>
      <c r="C3031" s="317"/>
      <c r="D3031" s="318"/>
      <c r="E3031" s="319"/>
      <c r="F3031" s="319"/>
      <c r="G3031" s="319"/>
      <c r="H3031" s="320"/>
      <c r="I3031" s="332"/>
      <c r="J3031" s="321"/>
    </row>
    <row r="3032" spans="1:10" x14ac:dyDescent="0.25">
      <c r="A3032" s="303"/>
      <c r="B3032" s="333" t="s">
        <v>346</v>
      </c>
      <c r="C3032" s="317"/>
      <c r="D3032" s="318"/>
      <c r="E3032" s="319"/>
      <c r="F3032" s="319"/>
      <c r="G3032" s="319"/>
      <c r="H3032" s="320"/>
      <c r="I3032" s="332"/>
      <c r="J3032" s="321"/>
    </row>
    <row r="3033" spans="1:10" x14ac:dyDescent="0.25">
      <c r="A3033" s="303"/>
      <c r="B3033" s="310"/>
      <c r="C3033" s="334"/>
      <c r="D3033" s="312"/>
      <c r="E3033" s="313"/>
      <c r="F3033" s="313"/>
      <c r="G3033" s="313"/>
      <c r="H3033" s="313"/>
      <c r="I3033" s="338" t="s">
        <v>484</v>
      </c>
      <c r="J3033" s="315">
        <v>17.768000000000001</v>
      </c>
    </row>
    <row r="3034" spans="1:10" x14ac:dyDescent="0.25">
      <c r="A3034" s="303"/>
      <c r="B3034" s="339"/>
      <c r="C3034" s="334"/>
      <c r="D3034" s="312"/>
      <c r="E3034" s="313"/>
      <c r="F3034" s="313"/>
      <c r="G3034" s="313"/>
      <c r="H3034" s="313"/>
      <c r="I3034" s="338" t="s">
        <v>485</v>
      </c>
      <c r="J3034" s="340">
        <v>235.24760000000001</v>
      </c>
    </row>
    <row r="3035" spans="1:10" x14ac:dyDescent="0.25">
      <c r="A3035" s="303"/>
      <c r="B3035" s="339"/>
      <c r="C3035" s="341" t="s">
        <v>486</v>
      </c>
      <c r="D3035" s="312">
        <v>230.19</v>
      </c>
      <c r="E3035" s="313"/>
      <c r="F3035" s="313"/>
      <c r="G3035" s="313"/>
      <c r="H3035" s="313"/>
      <c r="I3035" s="338" t="s">
        <v>487</v>
      </c>
      <c r="J3035" s="340">
        <v>1.022</v>
      </c>
    </row>
    <row r="3036" spans="1:10" x14ac:dyDescent="0.25">
      <c r="A3036" s="303"/>
      <c r="B3036" s="310"/>
      <c r="C3036" s="334"/>
      <c r="D3036" s="312"/>
      <c r="E3036" s="313"/>
      <c r="F3036" s="313"/>
      <c r="G3036" s="313"/>
      <c r="H3036" s="338" t="s">
        <v>488</v>
      </c>
      <c r="I3036" s="342">
        <v>2.7799999999999998E-2</v>
      </c>
      <c r="J3036" s="315">
        <v>2.8400000000000002E-2</v>
      </c>
    </row>
    <row r="3037" spans="1:10" x14ac:dyDescent="0.25">
      <c r="A3037" s="303"/>
      <c r="B3037" s="310"/>
      <c r="C3037" s="334"/>
      <c r="D3037" s="312"/>
      <c r="E3037" s="313"/>
      <c r="F3037" s="313"/>
      <c r="G3037" s="313"/>
      <c r="H3037" s="335" t="s">
        <v>489</v>
      </c>
      <c r="I3037" s="343">
        <v>0</v>
      </c>
      <c r="J3037" s="315">
        <v>0</v>
      </c>
    </row>
    <row r="3038" spans="1:10" x14ac:dyDescent="0.25">
      <c r="A3038" s="303"/>
      <c r="B3038" s="310" t="s">
        <v>464</v>
      </c>
      <c r="C3038" s="311" t="s">
        <v>490</v>
      </c>
      <c r="D3038" s="312"/>
      <c r="E3038" s="313"/>
      <c r="F3038" s="313"/>
      <c r="G3038" s="314" t="s">
        <v>465</v>
      </c>
      <c r="H3038" s="336" t="s">
        <v>468</v>
      </c>
      <c r="I3038" s="336" t="s">
        <v>491</v>
      </c>
      <c r="J3038" s="322" t="s">
        <v>492</v>
      </c>
    </row>
    <row r="3039" spans="1:10" x14ac:dyDescent="0.25">
      <c r="A3039" s="303"/>
      <c r="B3039" s="337" t="s">
        <v>346</v>
      </c>
      <c r="C3039" s="311"/>
      <c r="D3039" s="312"/>
      <c r="E3039" s="313"/>
      <c r="F3039" s="313"/>
      <c r="G3039" s="314"/>
      <c r="H3039" s="329"/>
      <c r="I3039" s="329"/>
      <c r="J3039" s="315"/>
    </row>
    <row r="3040" spans="1:10" x14ac:dyDescent="0.25">
      <c r="A3040" s="303"/>
      <c r="B3040" s="333" t="s">
        <v>346</v>
      </c>
      <c r="C3040" s="317"/>
      <c r="D3040" s="318"/>
      <c r="E3040" s="319"/>
      <c r="F3040" s="319"/>
      <c r="G3040" s="320"/>
      <c r="H3040" s="332"/>
      <c r="I3040" s="332"/>
      <c r="J3040" s="321"/>
    </row>
    <row r="3041" spans="1:10" x14ac:dyDescent="0.25">
      <c r="A3041" s="303"/>
      <c r="B3041" s="333" t="s">
        <v>346</v>
      </c>
      <c r="C3041" s="317"/>
      <c r="D3041" s="318"/>
      <c r="E3041" s="319"/>
      <c r="F3041" s="319"/>
      <c r="G3041" s="320"/>
      <c r="H3041" s="332"/>
      <c r="I3041" s="332"/>
      <c r="J3041" s="321"/>
    </row>
    <row r="3042" spans="1:10" x14ac:dyDescent="0.25">
      <c r="A3042" s="303"/>
      <c r="B3042" s="333" t="s">
        <v>346</v>
      </c>
      <c r="C3042" s="317"/>
      <c r="D3042" s="318"/>
      <c r="E3042" s="319"/>
      <c r="F3042" s="319"/>
      <c r="G3042" s="320"/>
      <c r="H3042" s="332"/>
      <c r="I3042" s="332"/>
      <c r="J3042" s="321"/>
    </row>
    <row r="3043" spans="1:10" x14ac:dyDescent="0.25">
      <c r="A3043" s="303"/>
      <c r="B3043" s="333" t="s">
        <v>346</v>
      </c>
      <c r="C3043" s="317"/>
      <c r="D3043" s="318"/>
      <c r="E3043" s="319"/>
      <c r="F3043" s="319"/>
      <c r="G3043" s="320"/>
      <c r="H3043" s="332"/>
      <c r="I3043" s="332"/>
      <c r="J3043" s="321"/>
    </row>
    <row r="3044" spans="1:10" x14ac:dyDescent="0.25">
      <c r="A3044" s="303"/>
      <c r="B3044" s="333" t="s">
        <v>346</v>
      </c>
      <c r="C3044" s="317"/>
      <c r="D3044" s="318"/>
      <c r="E3044" s="319"/>
      <c r="F3044" s="319"/>
      <c r="G3044" s="320"/>
      <c r="H3044" s="332"/>
      <c r="I3044" s="332"/>
      <c r="J3044" s="321"/>
    </row>
    <row r="3045" spans="1:10" x14ac:dyDescent="0.25">
      <c r="A3045" s="303"/>
      <c r="B3045" s="310"/>
      <c r="C3045" s="334"/>
      <c r="D3045" s="312"/>
      <c r="E3045" s="313"/>
      <c r="F3045" s="313"/>
      <c r="G3045" s="313"/>
      <c r="H3045" s="343"/>
      <c r="I3045" s="335" t="s">
        <v>498</v>
      </c>
      <c r="J3045" s="315">
        <v>0</v>
      </c>
    </row>
    <row r="3046" spans="1:10" x14ac:dyDescent="0.25">
      <c r="A3046" s="303"/>
      <c r="B3046" s="310" t="s">
        <v>464</v>
      </c>
      <c r="C3046" s="311" t="s">
        <v>499</v>
      </c>
      <c r="D3046" s="312"/>
      <c r="E3046" s="313"/>
      <c r="F3046" s="313"/>
      <c r="G3046" s="314" t="s">
        <v>465</v>
      </c>
      <c r="H3046" s="336" t="s">
        <v>468</v>
      </c>
      <c r="I3046" s="336" t="s">
        <v>491</v>
      </c>
      <c r="J3046" s="322" t="s">
        <v>492</v>
      </c>
    </row>
    <row r="3047" spans="1:10" x14ac:dyDescent="0.25">
      <c r="A3047" s="303"/>
      <c r="B3047" s="337"/>
      <c r="C3047" s="311"/>
      <c r="D3047" s="312"/>
      <c r="E3047" s="313"/>
      <c r="F3047" s="313"/>
      <c r="G3047" s="314"/>
      <c r="H3047" s="329"/>
      <c r="I3047" s="329"/>
      <c r="J3047" s="315"/>
    </row>
    <row r="3048" spans="1:10" x14ac:dyDescent="0.25">
      <c r="A3048" s="303"/>
      <c r="B3048" s="333"/>
      <c r="C3048" s="317"/>
      <c r="D3048" s="318"/>
      <c r="E3048" s="319"/>
      <c r="F3048" s="319"/>
      <c r="G3048" s="320"/>
      <c r="H3048" s="332"/>
      <c r="I3048" s="332"/>
      <c r="J3048" s="321"/>
    </row>
    <row r="3049" spans="1:10" x14ac:dyDescent="0.25">
      <c r="A3049" s="303"/>
      <c r="B3049" s="333"/>
      <c r="C3049" s="317"/>
      <c r="D3049" s="318"/>
      <c r="E3049" s="319"/>
      <c r="F3049" s="319"/>
      <c r="G3049" s="320"/>
      <c r="H3049" s="332"/>
      <c r="I3049" s="332"/>
      <c r="J3049" s="321"/>
    </row>
    <row r="3050" spans="1:10" x14ac:dyDescent="0.25">
      <c r="A3050" s="303"/>
      <c r="B3050" s="333"/>
      <c r="C3050" s="317"/>
      <c r="D3050" s="318"/>
      <c r="E3050" s="319"/>
      <c r="F3050" s="319"/>
      <c r="G3050" s="320"/>
      <c r="H3050" s="332"/>
      <c r="I3050" s="332"/>
      <c r="J3050" s="321"/>
    </row>
    <row r="3051" spans="1:10" x14ac:dyDescent="0.25">
      <c r="A3051" s="303"/>
      <c r="B3051" s="333"/>
      <c r="C3051" s="317"/>
      <c r="D3051" s="318"/>
      <c r="E3051" s="319"/>
      <c r="F3051" s="319"/>
      <c r="G3051" s="320"/>
      <c r="H3051" s="332"/>
      <c r="I3051" s="332"/>
      <c r="J3051" s="321"/>
    </row>
    <row r="3052" spans="1:10" x14ac:dyDescent="0.25">
      <c r="A3052" s="303"/>
      <c r="B3052" s="310"/>
      <c r="C3052" s="334"/>
      <c r="D3052" s="312"/>
      <c r="E3052" s="313"/>
      <c r="F3052" s="313"/>
      <c r="G3052" s="313"/>
      <c r="H3052" s="343"/>
      <c r="I3052" s="335" t="s">
        <v>501</v>
      </c>
      <c r="J3052" s="315">
        <v>0</v>
      </c>
    </row>
    <row r="3053" spans="1:10" x14ac:dyDescent="0.25">
      <c r="A3053" s="303"/>
      <c r="B3053" s="310" t="s">
        <v>464</v>
      </c>
      <c r="C3053" s="311" t="s">
        <v>502</v>
      </c>
      <c r="D3053" s="312"/>
      <c r="E3053" s="313"/>
      <c r="F3053" s="314" t="s">
        <v>464</v>
      </c>
      <c r="G3053" s="324" t="s">
        <v>503</v>
      </c>
      <c r="H3053" s="329" t="s">
        <v>465</v>
      </c>
      <c r="I3053" s="336" t="s">
        <v>468</v>
      </c>
      <c r="J3053" s="322" t="s">
        <v>492</v>
      </c>
    </row>
    <row r="3054" spans="1:10" x14ac:dyDescent="0.25">
      <c r="A3054" s="303"/>
      <c r="B3054" s="337" t="s">
        <v>346</v>
      </c>
      <c r="C3054" s="311"/>
      <c r="D3054" s="312"/>
      <c r="E3054" s="313"/>
      <c r="F3054" s="314"/>
      <c r="G3054" s="314"/>
      <c r="H3054" s="329"/>
      <c r="I3054" s="329"/>
      <c r="J3054" s="315"/>
    </row>
    <row r="3055" spans="1:10" x14ac:dyDescent="0.25">
      <c r="A3055" s="303"/>
      <c r="B3055" s="333" t="s">
        <v>346</v>
      </c>
      <c r="C3055" s="317"/>
      <c r="D3055" s="318"/>
      <c r="E3055" s="319"/>
      <c r="F3055" s="320"/>
      <c r="G3055" s="320"/>
      <c r="H3055" s="332"/>
      <c r="I3055" s="332"/>
      <c r="J3055" s="321"/>
    </row>
    <row r="3056" spans="1:10" x14ac:dyDescent="0.25">
      <c r="A3056" s="303"/>
      <c r="B3056" s="333" t="s">
        <v>346</v>
      </c>
      <c r="C3056" s="317"/>
      <c r="D3056" s="318"/>
      <c r="E3056" s="319"/>
      <c r="F3056" s="320"/>
      <c r="G3056" s="320"/>
      <c r="H3056" s="332"/>
      <c r="I3056" s="332"/>
      <c r="J3056" s="321"/>
    </row>
    <row r="3057" spans="1:10" x14ac:dyDescent="0.25">
      <c r="A3057" s="303"/>
      <c r="B3057" s="333" t="s">
        <v>346</v>
      </c>
      <c r="C3057" s="317"/>
      <c r="D3057" s="318"/>
      <c r="E3057" s="319"/>
      <c r="F3057" s="320"/>
      <c r="G3057" s="320"/>
      <c r="H3057" s="332"/>
      <c r="I3057" s="332"/>
      <c r="J3057" s="321"/>
    </row>
    <row r="3058" spans="1:10" x14ac:dyDescent="0.25">
      <c r="A3058" s="303"/>
      <c r="B3058" s="333" t="s">
        <v>346</v>
      </c>
      <c r="C3058" s="317"/>
      <c r="D3058" s="318"/>
      <c r="E3058" s="319"/>
      <c r="F3058" s="320"/>
      <c r="G3058" s="320"/>
      <c r="H3058" s="332"/>
      <c r="I3058" s="332"/>
      <c r="J3058" s="321"/>
    </row>
    <row r="3059" spans="1:10" x14ac:dyDescent="0.25">
      <c r="A3059" s="303"/>
      <c r="B3059" s="310"/>
      <c r="C3059" s="334"/>
      <c r="D3059" s="312"/>
      <c r="E3059" s="313"/>
      <c r="F3059" s="313"/>
      <c r="G3059" s="313"/>
      <c r="H3059" s="343"/>
      <c r="I3059" s="338" t="s">
        <v>507</v>
      </c>
      <c r="J3059" s="315">
        <v>0</v>
      </c>
    </row>
    <row r="3060" spans="1:10" x14ac:dyDescent="0.25">
      <c r="A3060" s="303"/>
      <c r="B3060" s="310" t="s">
        <v>464</v>
      </c>
      <c r="C3060" s="311" t="s">
        <v>508</v>
      </c>
      <c r="D3060" s="345" t="s">
        <v>509</v>
      </c>
      <c r="E3060" s="324" t="s">
        <v>873</v>
      </c>
      <c r="F3060" s="324" t="s">
        <v>874</v>
      </c>
      <c r="G3060" s="324" t="s">
        <v>875</v>
      </c>
      <c r="H3060" s="336" t="s">
        <v>468</v>
      </c>
      <c r="I3060" s="324" t="s">
        <v>491</v>
      </c>
      <c r="J3060" s="322" t="s">
        <v>492</v>
      </c>
    </row>
    <row r="3061" spans="1:10" x14ac:dyDescent="0.25">
      <c r="A3061" s="303"/>
      <c r="B3061" s="337" t="s">
        <v>346</v>
      </c>
      <c r="C3061" s="311"/>
      <c r="D3061" s="345"/>
      <c r="E3061" s="314"/>
      <c r="F3061" s="314"/>
      <c r="G3061" s="314"/>
      <c r="H3061" s="329"/>
      <c r="I3061" s="314"/>
      <c r="J3061" s="315"/>
    </row>
    <row r="3062" spans="1:10" x14ac:dyDescent="0.25">
      <c r="A3062" s="303"/>
      <c r="B3062" s="333" t="s">
        <v>346</v>
      </c>
      <c r="C3062" s="317"/>
      <c r="D3062" s="346"/>
      <c r="E3062" s="320"/>
      <c r="F3062" s="320"/>
      <c r="G3062" s="320"/>
      <c r="H3062" s="332"/>
      <c r="I3062" s="320"/>
      <c r="J3062" s="321"/>
    </row>
    <row r="3063" spans="1:10" x14ac:dyDescent="0.25">
      <c r="A3063" s="303"/>
      <c r="B3063" s="333" t="s">
        <v>346</v>
      </c>
      <c r="C3063" s="317"/>
      <c r="D3063" s="346"/>
      <c r="E3063" s="320"/>
      <c r="F3063" s="320"/>
      <c r="G3063" s="320"/>
      <c r="H3063" s="332"/>
      <c r="I3063" s="320"/>
      <c r="J3063" s="321"/>
    </row>
    <row r="3064" spans="1:10" x14ac:dyDescent="0.25">
      <c r="A3064" s="303"/>
      <c r="B3064" s="333" t="s">
        <v>346</v>
      </c>
      <c r="C3064" s="317"/>
      <c r="D3064" s="346"/>
      <c r="E3064" s="320"/>
      <c r="F3064" s="320"/>
      <c r="G3064" s="320"/>
      <c r="H3064" s="332"/>
      <c r="I3064" s="320"/>
      <c r="J3064" s="321"/>
    </row>
    <row r="3065" spans="1:10" x14ac:dyDescent="0.25">
      <c r="A3065" s="303"/>
      <c r="B3065" s="333" t="s">
        <v>346</v>
      </c>
      <c r="C3065" s="317"/>
      <c r="D3065" s="346"/>
      <c r="E3065" s="320"/>
      <c r="F3065" s="320"/>
      <c r="G3065" s="320"/>
      <c r="H3065" s="332"/>
      <c r="I3065" s="320"/>
      <c r="J3065" s="321"/>
    </row>
    <row r="3066" spans="1:10" x14ac:dyDescent="0.25">
      <c r="A3066" s="303"/>
      <c r="B3066" s="333" t="s">
        <v>346</v>
      </c>
      <c r="C3066" s="317"/>
      <c r="D3066" s="346"/>
      <c r="E3066" s="320"/>
      <c r="F3066" s="320"/>
      <c r="G3066" s="320"/>
      <c r="H3066" s="332"/>
      <c r="I3066" s="320"/>
      <c r="J3066" s="321"/>
    </row>
    <row r="3067" spans="1:10" x14ac:dyDescent="0.25">
      <c r="A3067" s="303"/>
      <c r="B3067" s="333" t="s">
        <v>346</v>
      </c>
      <c r="C3067" s="317"/>
      <c r="D3067" s="346"/>
      <c r="E3067" s="320"/>
      <c r="F3067" s="320"/>
      <c r="G3067" s="320"/>
      <c r="H3067" s="332"/>
      <c r="I3067" s="320"/>
      <c r="J3067" s="321"/>
    </row>
    <row r="3068" spans="1:10" x14ac:dyDescent="0.25">
      <c r="A3068" s="303"/>
      <c r="B3068" s="310"/>
      <c r="C3068" s="334"/>
      <c r="D3068" s="312"/>
      <c r="E3068" s="313"/>
      <c r="F3068" s="313"/>
      <c r="G3068" s="313"/>
      <c r="H3068" s="313"/>
      <c r="I3068" s="338" t="s">
        <v>513</v>
      </c>
      <c r="J3068" s="315">
        <v>0</v>
      </c>
    </row>
    <row r="3069" spans="1:10" x14ac:dyDescent="0.25">
      <c r="A3069" s="303"/>
      <c r="B3069" s="310" t="s">
        <v>514</v>
      </c>
      <c r="C3069" s="334"/>
      <c r="D3069" s="312"/>
      <c r="E3069" s="313"/>
      <c r="F3069" s="313"/>
      <c r="G3069" s="313"/>
      <c r="H3069" s="313"/>
      <c r="I3069" s="313"/>
      <c r="J3069" s="315">
        <v>1.0504</v>
      </c>
    </row>
    <row r="3070" spans="1:10" x14ac:dyDescent="0.25">
      <c r="A3070" s="303"/>
      <c r="B3070" s="310" t="s">
        <v>515</v>
      </c>
      <c r="C3070" s="334"/>
      <c r="D3070" s="312">
        <v>0</v>
      </c>
      <c r="E3070" s="313"/>
      <c r="F3070" s="313"/>
      <c r="G3070" s="313"/>
      <c r="H3070" s="313"/>
      <c r="I3070" s="313"/>
      <c r="J3070" s="315">
        <v>0</v>
      </c>
    </row>
    <row r="3071" spans="1:10" ht="14.4" thickBot="1" x14ac:dyDescent="0.3">
      <c r="A3071" s="303"/>
      <c r="B3071" s="310" t="s">
        <v>516</v>
      </c>
      <c r="C3071" s="334"/>
      <c r="D3071" s="312"/>
      <c r="E3071" s="313"/>
      <c r="F3071" s="313"/>
      <c r="G3071" s="313"/>
      <c r="H3071" s="313"/>
      <c r="I3071" s="313"/>
      <c r="J3071" s="347">
        <v>1.05</v>
      </c>
    </row>
    <row r="3072" spans="1:10" x14ac:dyDescent="0.25">
      <c r="A3072" s="303"/>
      <c r="B3072" s="304"/>
      <c r="C3072" s="305"/>
      <c r="D3072" s="348"/>
      <c r="E3072" s="308"/>
      <c r="F3072" s="308"/>
      <c r="G3072" s="308"/>
      <c r="H3072" s="308"/>
      <c r="I3072" s="308"/>
      <c r="J3072" s="309"/>
    </row>
    <row r="3073" spans="1:10" x14ac:dyDescent="0.25">
      <c r="A3073" s="303"/>
      <c r="B3073" s="316"/>
      <c r="C3073" s="303"/>
      <c r="D3073" s="318"/>
      <c r="E3073" s="319"/>
      <c r="F3073" s="319"/>
      <c r="G3073" s="319"/>
      <c r="H3073" s="319"/>
      <c r="I3073" s="319"/>
      <c r="J3073" s="349"/>
    </row>
    <row r="3074" spans="1:10" x14ac:dyDescent="0.25">
      <c r="A3074" s="303"/>
      <c r="B3074" s="316"/>
      <c r="C3074" s="303"/>
      <c r="D3074" s="318"/>
      <c r="E3074" s="319"/>
      <c r="F3074" s="319"/>
      <c r="G3074" s="319"/>
      <c r="H3074" s="319"/>
      <c r="I3074" s="319"/>
      <c r="J3074" s="349"/>
    </row>
    <row r="3075" spans="1:10" ht="14.4" thickBot="1" x14ac:dyDescent="0.3">
      <c r="A3075" s="303"/>
      <c r="B3075" s="350"/>
      <c r="C3075" s="303"/>
      <c r="D3075" s="318"/>
      <c r="E3075" s="319"/>
      <c r="F3075" s="319"/>
      <c r="G3075" s="319"/>
      <c r="H3075" s="319"/>
      <c r="I3075" s="319"/>
      <c r="J3075" s="351"/>
    </row>
    <row r="3076" spans="1:10" x14ac:dyDescent="0.25">
      <c r="A3076" s="303"/>
      <c r="B3076" s="305"/>
      <c r="C3076" s="305"/>
      <c r="D3076" s="348"/>
      <c r="E3076" s="308"/>
      <c r="F3076" s="308"/>
      <c r="G3076" s="308"/>
      <c r="H3076" s="308"/>
      <c r="I3076" s="308"/>
      <c r="J3076" s="352"/>
    </row>
    <row r="3077" spans="1:10" ht="14.4" thickBot="1" x14ac:dyDescent="0.3">
      <c r="A3077" s="303"/>
      <c r="B3077" s="303"/>
      <c r="C3077" s="303"/>
      <c r="D3077" s="318"/>
      <c r="E3077" s="319"/>
      <c r="F3077" s="319"/>
      <c r="G3077" s="319"/>
      <c r="H3077" s="319"/>
      <c r="I3077" s="319"/>
      <c r="J3077" s="353"/>
    </row>
    <row r="3078" spans="1:10" x14ac:dyDescent="0.25">
      <c r="A3078" s="303"/>
      <c r="B3078" s="304"/>
      <c r="C3078" s="305"/>
      <c r="D3078" s="306" t="s">
        <v>463</v>
      </c>
      <c r="E3078" s="307"/>
      <c r="F3078" s="307"/>
      <c r="G3078" s="308"/>
      <c r="H3078" s="308"/>
      <c r="I3078" s="308"/>
      <c r="J3078" s="309"/>
    </row>
    <row r="3079" spans="1:10" x14ac:dyDescent="0.25">
      <c r="A3079" s="303"/>
      <c r="B3079" s="310" t="s">
        <v>464</v>
      </c>
      <c r="C3079" s="311" t="s">
        <v>134</v>
      </c>
      <c r="D3079" s="312"/>
      <c r="E3079" s="313"/>
      <c r="F3079" s="313"/>
      <c r="G3079" s="313"/>
      <c r="H3079" s="314"/>
      <c r="I3079" s="313"/>
      <c r="J3079" s="315" t="s">
        <v>465</v>
      </c>
    </row>
    <row r="3080" spans="1:10" x14ac:dyDescent="0.25">
      <c r="A3080" s="303"/>
      <c r="B3080" s="316">
        <v>4915734</v>
      </c>
      <c r="C3080" s="317" t="s">
        <v>406</v>
      </c>
      <c r="D3080" s="318"/>
      <c r="E3080" s="319"/>
      <c r="F3080" s="319"/>
      <c r="G3080" s="319"/>
      <c r="H3080" s="320"/>
      <c r="I3080" s="319"/>
      <c r="J3080" s="321" t="s">
        <v>365</v>
      </c>
    </row>
    <row r="3081" spans="1:10" x14ac:dyDescent="0.25">
      <c r="A3081" s="303"/>
      <c r="B3081" s="310"/>
      <c r="C3081" s="311"/>
      <c r="D3081" s="312"/>
      <c r="E3081" s="314"/>
      <c r="F3081" s="314" t="s">
        <v>466</v>
      </c>
      <c r="G3081" s="314"/>
      <c r="H3081" s="314" t="s">
        <v>467</v>
      </c>
      <c r="I3081" s="314"/>
      <c r="J3081" s="322" t="s">
        <v>468</v>
      </c>
    </row>
    <row r="3082" spans="1:10" x14ac:dyDescent="0.25">
      <c r="A3082" s="303"/>
      <c r="B3082" s="316" t="s">
        <v>464</v>
      </c>
      <c r="C3082" s="317" t="s">
        <v>469</v>
      </c>
      <c r="D3082" s="318"/>
      <c r="E3082" s="323" t="s">
        <v>355</v>
      </c>
      <c r="F3082" s="324" t="s">
        <v>470</v>
      </c>
      <c r="G3082" s="324" t="s">
        <v>471</v>
      </c>
      <c r="H3082" s="324" t="s">
        <v>472</v>
      </c>
      <c r="I3082" s="325" t="s">
        <v>473</v>
      </c>
      <c r="J3082" s="326" t="s">
        <v>474</v>
      </c>
    </row>
    <row r="3083" spans="1:10" x14ac:dyDescent="0.25">
      <c r="A3083" s="303"/>
      <c r="B3083" s="327" t="s">
        <v>762</v>
      </c>
      <c r="C3083" s="311" t="s">
        <v>993</v>
      </c>
      <c r="D3083" s="312"/>
      <c r="E3083" s="328">
        <v>1</v>
      </c>
      <c r="F3083" s="328">
        <v>1</v>
      </c>
      <c r="G3083" s="328">
        <v>0</v>
      </c>
      <c r="H3083" s="329">
        <v>176.80959999999999</v>
      </c>
      <c r="I3083" s="329">
        <v>71.483099999999993</v>
      </c>
      <c r="J3083" s="315">
        <v>176.80959999999999</v>
      </c>
    </row>
    <row r="3084" spans="1:10" x14ac:dyDescent="0.25">
      <c r="A3084" s="303"/>
      <c r="B3084" s="330" t="s">
        <v>587</v>
      </c>
      <c r="C3084" s="317" t="s">
        <v>588</v>
      </c>
      <c r="D3084" s="318"/>
      <c r="E3084" s="331">
        <v>1</v>
      </c>
      <c r="F3084" s="331">
        <v>0.53</v>
      </c>
      <c r="G3084" s="331">
        <v>0.47</v>
      </c>
      <c r="H3084" s="332">
        <v>195.91970000000001</v>
      </c>
      <c r="I3084" s="332">
        <v>58.848399999999998</v>
      </c>
      <c r="J3084" s="321">
        <v>131.49619999999999</v>
      </c>
    </row>
    <row r="3085" spans="1:10" x14ac:dyDescent="0.25">
      <c r="A3085" s="303"/>
      <c r="B3085" s="330" t="s">
        <v>763</v>
      </c>
      <c r="C3085" s="317" t="s">
        <v>994</v>
      </c>
      <c r="D3085" s="318"/>
      <c r="E3085" s="331">
        <v>1</v>
      </c>
      <c r="F3085" s="331">
        <v>0.86</v>
      </c>
      <c r="G3085" s="331">
        <v>0.14000000000000001</v>
      </c>
      <c r="H3085" s="332">
        <v>154.65819999999999</v>
      </c>
      <c r="I3085" s="332">
        <v>66.135400000000004</v>
      </c>
      <c r="J3085" s="321">
        <v>142.26499999999999</v>
      </c>
    </row>
    <row r="3086" spans="1:10" x14ac:dyDescent="0.25">
      <c r="A3086" s="303"/>
      <c r="B3086" s="333" t="s">
        <v>346</v>
      </c>
      <c r="C3086" s="317"/>
      <c r="D3086" s="318"/>
      <c r="E3086" s="331"/>
      <c r="F3086" s="331"/>
      <c r="G3086" s="331"/>
      <c r="H3086" s="332"/>
      <c r="I3086" s="332"/>
      <c r="J3086" s="321"/>
    </row>
    <row r="3087" spans="1:10" x14ac:dyDescent="0.25">
      <c r="A3087" s="303"/>
      <c r="B3087" s="333" t="s">
        <v>346</v>
      </c>
      <c r="C3087" s="317"/>
      <c r="D3087" s="318"/>
      <c r="E3087" s="331"/>
      <c r="F3087" s="331"/>
      <c r="G3087" s="331"/>
      <c r="H3087" s="332"/>
      <c r="I3087" s="332"/>
      <c r="J3087" s="321"/>
    </row>
    <row r="3088" spans="1:10" x14ac:dyDescent="0.25">
      <c r="A3088" s="303"/>
      <c r="B3088" s="333" t="s">
        <v>346</v>
      </c>
      <c r="C3088" s="317"/>
      <c r="D3088" s="318"/>
      <c r="E3088" s="331"/>
      <c r="F3088" s="331"/>
      <c r="G3088" s="331"/>
      <c r="H3088" s="332"/>
      <c r="I3088" s="332"/>
      <c r="J3088" s="321"/>
    </row>
    <row r="3089" spans="1:10" x14ac:dyDescent="0.25">
      <c r="A3089" s="303"/>
      <c r="B3089" s="333" t="s">
        <v>346</v>
      </c>
      <c r="C3089" s="317"/>
      <c r="D3089" s="318"/>
      <c r="E3089" s="331"/>
      <c r="F3089" s="331"/>
      <c r="G3089" s="331"/>
      <c r="H3089" s="332"/>
      <c r="I3089" s="332"/>
      <c r="J3089" s="321"/>
    </row>
    <row r="3090" spans="1:10" x14ac:dyDescent="0.25">
      <c r="A3090" s="303"/>
      <c r="B3090" s="310"/>
      <c r="C3090" s="334"/>
      <c r="D3090" s="312"/>
      <c r="E3090" s="313"/>
      <c r="F3090" s="313"/>
      <c r="G3090" s="313"/>
      <c r="H3090" s="313"/>
      <c r="I3090" s="335" t="s">
        <v>479</v>
      </c>
      <c r="J3090" s="315">
        <v>450.57079999999996</v>
      </c>
    </row>
    <row r="3091" spans="1:10" x14ac:dyDescent="0.25">
      <c r="A3091" s="303"/>
      <c r="B3091" s="310" t="s">
        <v>464</v>
      </c>
      <c r="C3091" s="311" t="s">
        <v>480</v>
      </c>
      <c r="D3091" s="312"/>
      <c r="E3091" s="313"/>
      <c r="F3091" s="313"/>
      <c r="G3091" s="313"/>
      <c r="H3091" s="324" t="s">
        <v>355</v>
      </c>
      <c r="I3091" s="336" t="s">
        <v>481</v>
      </c>
      <c r="J3091" s="322" t="s">
        <v>331</v>
      </c>
    </row>
    <row r="3092" spans="1:10" x14ac:dyDescent="0.25">
      <c r="A3092" s="303"/>
      <c r="B3092" s="337" t="s">
        <v>482</v>
      </c>
      <c r="C3092" s="311" t="s">
        <v>483</v>
      </c>
      <c r="D3092" s="312"/>
      <c r="E3092" s="313"/>
      <c r="F3092" s="313"/>
      <c r="G3092" s="313"/>
      <c r="H3092" s="314">
        <v>3</v>
      </c>
      <c r="I3092" s="329">
        <v>17.768000000000001</v>
      </c>
      <c r="J3092" s="315">
        <v>53.304000000000002</v>
      </c>
    </row>
    <row r="3093" spans="1:10" x14ac:dyDescent="0.25">
      <c r="A3093" s="303"/>
      <c r="B3093" s="333" t="s">
        <v>346</v>
      </c>
      <c r="C3093" s="317"/>
      <c r="D3093" s="318"/>
      <c r="E3093" s="319"/>
      <c r="F3093" s="319"/>
      <c r="G3093" s="319"/>
      <c r="H3093" s="320"/>
      <c r="I3093" s="332"/>
      <c r="J3093" s="321"/>
    </row>
    <row r="3094" spans="1:10" x14ac:dyDescent="0.25">
      <c r="A3094" s="303"/>
      <c r="B3094" s="333" t="s">
        <v>346</v>
      </c>
      <c r="C3094" s="317"/>
      <c r="D3094" s="318"/>
      <c r="E3094" s="319"/>
      <c r="F3094" s="319"/>
      <c r="G3094" s="319"/>
      <c r="H3094" s="320"/>
      <c r="I3094" s="332"/>
      <c r="J3094" s="321"/>
    </row>
    <row r="3095" spans="1:10" x14ac:dyDescent="0.25">
      <c r="A3095" s="303"/>
      <c r="B3095" s="333" t="s">
        <v>346</v>
      </c>
      <c r="C3095" s="317"/>
      <c r="D3095" s="318"/>
      <c r="E3095" s="319"/>
      <c r="F3095" s="319"/>
      <c r="G3095" s="319"/>
      <c r="H3095" s="320"/>
      <c r="I3095" s="332"/>
      <c r="J3095" s="321"/>
    </row>
    <row r="3096" spans="1:10" x14ac:dyDescent="0.25">
      <c r="A3096" s="303"/>
      <c r="B3096" s="333" t="s">
        <v>346</v>
      </c>
      <c r="C3096" s="317"/>
      <c r="D3096" s="318"/>
      <c r="E3096" s="319"/>
      <c r="F3096" s="319"/>
      <c r="G3096" s="319"/>
      <c r="H3096" s="320"/>
      <c r="I3096" s="332"/>
      <c r="J3096" s="321"/>
    </row>
    <row r="3097" spans="1:10" x14ac:dyDescent="0.25">
      <c r="A3097" s="303"/>
      <c r="B3097" s="333" t="s">
        <v>346</v>
      </c>
      <c r="C3097" s="317"/>
      <c r="D3097" s="318"/>
      <c r="E3097" s="319"/>
      <c r="F3097" s="319"/>
      <c r="G3097" s="319"/>
      <c r="H3097" s="320"/>
      <c r="I3097" s="332"/>
      <c r="J3097" s="321"/>
    </row>
    <row r="3098" spans="1:10" x14ac:dyDescent="0.25">
      <c r="A3098" s="303"/>
      <c r="B3098" s="333" t="s">
        <v>346</v>
      </c>
      <c r="C3098" s="317"/>
      <c r="D3098" s="318"/>
      <c r="E3098" s="319"/>
      <c r="F3098" s="319"/>
      <c r="G3098" s="319"/>
      <c r="H3098" s="320"/>
      <c r="I3098" s="332"/>
      <c r="J3098" s="321"/>
    </row>
    <row r="3099" spans="1:10" x14ac:dyDescent="0.25">
      <c r="A3099" s="303"/>
      <c r="B3099" s="310"/>
      <c r="C3099" s="334"/>
      <c r="D3099" s="312"/>
      <c r="E3099" s="313"/>
      <c r="F3099" s="313"/>
      <c r="G3099" s="313"/>
      <c r="H3099" s="313"/>
      <c r="I3099" s="338" t="s">
        <v>484</v>
      </c>
      <c r="J3099" s="315">
        <v>53.304000000000002</v>
      </c>
    </row>
    <row r="3100" spans="1:10" x14ac:dyDescent="0.25">
      <c r="A3100" s="303"/>
      <c r="B3100" s="339"/>
      <c r="C3100" s="334"/>
      <c r="D3100" s="312"/>
      <c r="E3100" s="313"/>
      <c r="F3100" s="313"/>
      <c r="G3100" s="313"/>
      <c r="H3100" s="313"/>
      <c r="I3100" s="338" t="s">
        <v>485</v>
      </c>
      <c r="J3100" s="340">
        <v>503.87479999999994</v>
      </c>
    </row>
    <row r="3101" spans="1:10" x14ac:dyDescent="0.25">
      <c r="A3101" s="303"/>
      <c r="B3101" s="339"/>
      <c r="C3101" s="341" t="s">
        <v>486</v>
      </c>
      <c r="D3101" s="312">
        <v>96.9</v>
      </c>
      <c r="E3101" s="313"/>
      <c r="F3101" s="313"/>
      <c r="G3101" s="313"/>
      <c r="H3101" s="313"/>
      <c r="I3101" s="338" t="s">
        <v>487</v>
      </c>
      <c r="J3101" s="340">
        <v>5.1999000000000004</v>
      </c>
    </row>
    <row r="3102" spans="1:10" x14ac:dyDescent="0.25">
      <c r="A3102" s="303"/>
      <c r="B3102" s="310"/>
      <c r="C3102" s="334"/>
      <c r="D3102" s="312"/>
      <c r="E3102" s="313"/>
      <c r="F3102" s="313"/>
      <c r="G3102" s="313"/>
      <c r="H3102" s="338" t="s">
        <v>488</v>
      </c>
      <c r="I3102" s="342">
        <v>2.7799999999999998E-2</v>
      </c>
      <c r="J3102" s="315">
        <v>0.14460000000000001</v>
      </c>
    </row>
    <row r="3103" spans="1:10" x14ac:dyDescent="0.25">
      <c r="A3103" s="303"/>
      <c r="B3103" s="310"/>
      <c r="C3103" s="334"/>
      <c r="D3103" s="312"/>
      <c r="E3103" s="313"/>
      <c r="F3103" s="313"/>
      <c r="G3103" s="313"/>
      <c r="H3103" s="335" t="s">
        <v>489</v>
      </c>
      <c r="I3103" s="343">
        <v>0</v>
      </c>
      <c r="J3103" s="315">
        <v>0</v>
      </c>
    </row>
    <row r="3104" spans="1:10" x14ac:dyDescent="0.25">
      <c r="A3104" s="303"/>
      <c r="B3104" s="310" t="s">
        <v>464</v>
      </c>
      <c r="C3104" s="311" t="s">
        <v>490</v>
      </c>
      <c r="D3104" s="312"/>
      <c r="E3104" s="313"/>
      <c r="F3104" s="313"/>
      <c r="G3104" s="314" t="s">
        <v>465</v>
      </c>
      <c r="H3104" s="336" t="s">
        <v>468</v>
      </c>
      <c r="I3104" s="336" t="s">
        <v>491</v>
      </c>
      <c r="J3104" s="322" t="s">
        <v>492</v>
      </c>
    </row>
    <row r="3105" spans="1:10" x14ac:dyDescent="0.25">
      <c r="A3105" s="303"/>
      <c r="B3105" s="337" t="s">
        <v>346</v>
      </c>
      <c r="C3105" s="311"/>
      <c r="D3105" s="312"/>
      <c r="E3105" s="313"/>
      <c r="F3105" s="313"/>
      <c r="G3105" s="314"/>
      <c r="H3105" s="329"/>
      <c r="I3105" s="329"/>
      <c r="J3105" s="315"/>
    </row>
    <row r="3106" spans="1:10" x14ac:dyDescent="0.25">
      <c r="A3106" s="303"/>
      <c r="B3106" s="333" t="s">
        <v>346</v>
      </c>
      <c r="C3106" s="317"/>
      <c r="D3106" s="318"/>
      <c r="E3106" s="319"/>
      <c r="F3106" s="319"/>
      <c r="G3106" s="320"/>
      <c r="H3106" s="332"/>
      <c r="I3106" s="332"/>
      <c r="J3106" s="321"/>
    </row>
    <row r="3107" spans="1:10" x14ac:dyDescent="0.25">
      <c r="A3107" s="303"/>
      <c r="B3107" s="333" t="s">
        <v>346</v>
      </c>
      <c r="C3107" s="317"/>
      <c r="D3107" s="318"/>
      <c r="E3107" s="319"/>
      <c r="F3107" s="319"/>
      <c r="G3107" s="320"/>
      <c r="H3107" s="332"/>
      <c r="I3107" s="332"/>
      <c r="J3107" s="321"/>
    </row>
    <row r="3108" spans="1:10" x14ac:dyDescent="0.25">
      <c r="A3108" s="303"/>
      <c r="B3108" s="333" t="s">
        <v>346</v>
      </c>
      <c r="C3108" s="317"/>
      <c r="D3108" s="318"/>
      <c r="E3108" s="319"/>
      <c r="F3108" s="319"/>
      <c r="G3108" s="320"/>
      <c r="H3108" s="332"/>
      <c r="I3108" s="332"/>
      <c r="J3108" s="321"/>
    </row>
    <row r="3109" spans="1:10" x14ac:dyDescent="0.25">
      <c r="A3109" s="303"/>
      <c r="B3109" s="333" t="s">
        <v>346</v>
      </c>
      <c r="C3109" s="317"/>
      <c r="D3109" s="318"/>
      <c r="E3109" s="319"/>
      <c r="F3109" s="319"/>
      <c r="G3109" s="320"/>
      <c r="H3109" s="332"/>
      <c r="I3109" s="332"/>
      <c r="J3109" s="321"/>
    </row>
    <row r="3110" spans="1:10" x14ac:dyDescent="0.25">
      <c r="A3110" s="303"/>
      <c r="B3110" s="333" t="s">
        <v>346</v>
      </c>
      <c r="C3110" s="317"/>
      <c r="D3110" s="318"/>
      <c r="E3110" s="319"/>
      <c r="F3110" s="319"/>
      <c r="G3110" s="320"/>
      <c r="H3110" s="332"/>
      <c r="I3110" s="332"/>
      <c r="J3110" s="321"/>
    </row>
    <row r="3111" spans="1:10" x14ac:dyDescent="0.25">
      <c r="A3111" s="303"/>
      <c r="B3111" s="310"/>
      <c r="C3111" s="334"/>
      <c r="D3111" s="312"/>
      <c r="E3111" s="313"/>
      <c r="F3111" s="313"/>
      <c r="G3111" s="313"/>
      <c r="H3111" s="343"/>
      <c r="I3111" s="335" t="s">
        <v>498</v>
      </c>
      <c r="J3111" s="315">
        <v>0</v>
      </c>
    </row>
    <row r="3112" spans="1:10" x14ac:dyDescent="0.25">
      <c r="A3112" s="303"/>
      <c r="B3112" s="310" t="s">
        <v>464</v>
      </c>
      <c r="C3112" s="311" t="s">
        <v>499</v>
      </c>
      <c r="D3112" s="312"/>
      <c r="E3112" s="313"/>
      <c r="F3112" s="313"/>
      <c r="G3112" s="314" t="s">
        <v>465</v>
      </c>
      <c r="H3112" s="336" t="s">
        <v>468</v>
      </c>
      <c r="I3112" s="336" t="s">
        <v>491</v>
      </c>
      <c r="J3112" s="322" t="s">
        <v>492</v>
      </c>
    </row>
    <row r="3113" spans="1:10" x14ac:dyDescent="0.25">
      <c r="A3113" s="303"/>
      <c r="B3113" s="337">
        <v>4016096</v>
      </c>
      <c r="C3113" s="311" t="s">
        <v>756</v>
      </c>
      <c r="D3113" s="312"/>
      <c r="E3113" s="313"/>
      <c r="F3113" s="313"/>
      <c r="G3113" s="314" t="s">
        <v>365</v>
      </c>
      <c r="H3113" s="329">
        <v>1.05</v>
      </c>
      <c r="I3113" s="329">
        <v>1.1000000000000001</v>
      </c>
      <c r="J3113" s="315">
        <v>1.155</v>
      </c>
    </row>
    <row r="3114" spans="1:10" x14ac:dyDescent="0.25">
      <c r="A3114" s="303"/>
      <c r="B3114" s="333"/>
      <c r="C3114" s="317"/>
      <c r="D3114" s="318"/>
      <c r="E3114" s="319"/>
      <c r="F3114" s="319"/>
      <c r="G3114" s="320"/>
      <c r="H3114" s="332"/>
      <c r="I3114" s="332"/>
      <c r="J3114" s="321"/>
    </row>
    <row r="3115" spans="1:10" x14ac:dyDescent="0.25">
      <c r="A3115" s="303"/>
      <c r="B3115" s="333"/>
      <c r="C3115" s="317"/>
      <c r="D3115" s="318"/>
      <c r="E3115" s="319"/>
      <c r="F3115" s="319"/>
      <c r="G3115" s="320"/>
      <c r="H3115" s="332"/>
      <c r="I3115" s="332"/>
      <c r="J3115" s="321"/>
    </row>
    <row r="3116" spans="1:10" x14ac:dyDescent="0.25">
      <c r="A3116" s="303"/>
      <c r="B3116" s="333"/>
      <c r="C3116" s="317"/>
      <c r="D3116" s="318"/>
      <c r="E3116" s="319"/>
      <c r="F3116" s="319"/>
      <c r="G3116" s="320"/>
      <c r="H3116" s="332"/>
      <c r="I3116" s="332"/>
      <c r="J3116" s="321"/>
    </row>
    <row r="3117" spans="1:10" x14ac:dyDescent="0.25">
      <c r="A3117" s="303"/>
      <c r="B3117" s="333"/>
      <c r="C3117" s="317"/>
      <c r="D3117" s="318"/>
      <c r="E3117" s="319"/>
      <c r="F3117" s="319"/>
      <c r="G3117" s="320"/>
      <c r="H3117" s="332"/>
      <c r="I3117" s="332"/>
      <c r="J3117" s="321"/>
    </row>
    <row r="3118" spans="1:10" x14ac:dyDescent="0.25">
      <c r="A3118" s="303"/>
      <c r="B3118" s="310"/>
      <c r="C3118" s="334"/>
      <c r="D3118" s="312"/>
      <c r="E3118" s="313"/>
      <c r="F3118" s="313"/>
      <c r="G3118" s="313"/>
      <c r="H3118" s="343"/>
      <c r="I3118" s="335" t="s">
        <v>501</v>
      </c>
      <c r="J3118" s="315">
        <v>1.155</v>
      </c>
    </row>
    <row r="3119" spans="1:10" x14ac:dyDescent="0.25">
      <c r="A3119" s="303"/>
      <c r="B3119" s="310" t="s">
        <v>464</v>
      </c>
      <c r="C3119" s="311" t="s">
        <v>502</v>
      </c>
      <c r="D3119" s="312"/>
      <c r="E3119" s="313"/>
      <c r="F3119" s="314" t="s">
        <v>464</v>
      </c>
      <c r="G3119" s="324" t="s">
        <v>503</v>
      </c>
      <c r="H3119" s="329" t="s">
        <v>465</v>
      </c>
      <c r="I3119" s="336" t="s">
        <v>468</v>
      </c>
      <c r="J3119" s="322" t="s">
        <v>492</v>
      </c>
    </row>
    <row r="3120" spans="1:10" x14ac:dyDescent="0.25">
      <c r="A3120" s="303"/>
      <c r="B3120" s="337">
        <v>560964353</v>
      </c>
      <c r="C3120" s="311" t="s">
        <v>757</v>
      </c>
      <c r="D3120" s="312"/>
      <c r="E3120" s="313"/>
      <c r="F3120" s="344" t="s">
        <v>758</v>
      </c>
      <c r="G3120" s="314">
        <v>2.0625</v>
      </c>
      <c r="H3120" s="329" t="s">
        <v>370</v>
      </c>
      <c r="I3120" s="329">
        <v>1.1499999999999999</v>
      </c>
      <c r="J3120" s="315">
        <v>2.3719000000000001</v>
      </c>
    </row>
    <row r="3121" spans="1:10" x14ac:dyDescent="0.25">
      <c r="A3121" s="303"/>
      <c r="B3121" s="333" t="s">
        <v>346</v>
      </c>
      <c r="C3121" s="317"/>
      <c r="D3121" s="318"/>
      <c r="E3121" s="319"/>
      <c r="F3121" s="320"/>
      <c r="G3121" s="320"/>
      <c r="H3121" s="332"/>
      <c r="I3121" s="332"/>
      <c r="J3121" s="321"/>
    </row>
    <row r="3122" spans="1:10" x14ac:dyDescent="0.25">
      <c r="A3122" s="303"/>
      <c r="B3122" s="333" t="s">
        <v>346</v>
      </c>
      <c r="C3122" s="317"/>
      <c r="D3122" s="318"/>
      <c r="E3122" s="319"/>
      <c r="F3122" s="320"/>
      <c r="G3122" s="320"/>
      <c r="H3122" s="332"/>
      <c r="I3122" s="332"/>
      <c r="J3122" s="321"/>
    </row>
    <row r="3123" spans="1:10" x14ac:dyDescent="0.25">
      <c r="A3123" s="303"/>
      <c r="B3123" s="333" t="s">
        <v>346</v>
      </c>
      <c r="C3123" s="317"/>
      <c r="D3123" s="318"/>
      <c r="E3123" s="319"/>
      <c r="F3123" s="320"/>
      <c r="G3123" s="320"/>
      <c r="H3123" s="332"/>
      <c r="I3123" s="332"/>
      <c r="J3123" s="321"/>
    </row>
    <row r="3124" spans="1:10" x14ac:dyDescent="0.25">
      <c r="A3124" s="303"/>
      <c r="B3124" s="333" t="s">
        <v>346</v>
      </c>
      <c r="C3124" s="317"/>
      <c r="D3124" s="318"/>
      <c r="E3124" s="319"/>
      <c r="F3124" s="320"/>
      <c r="G3124" s="320"/>
      <c r="H3124" s="332"/>
      <c r="I3124" s="332"/>
      <c r="J3124" s="321"/>
    </row>
    <row r="3125" spans="1:10" x14ac:dyDescent="0.25">
      <c r="A3125" s="303"/>
      <c r="B3125" s="310"/>
      <c r="C3125" s="334"/>
      <c r="D3125" s="312"/>
      <c r="E3125" s="313"/>
      <c r="F3125" s="313"/>
      <c r="G3125" s="313"/>
      <c r="H3125" s="343"/>
      <c r="I3125" s="338" t="s">
        <v>507</v>
      </c>
      <c r="J3125" s="315">
        <v>2.3719000000000001</v>
      </c>
    </row>
    <row r="3126" spans="1:10" x14ac:dyDescent="0.25">
      <c r="A3126" s="303"/>
      <c r="B3126" s="310" t="s">
        <v>464</v>
      </c>
      <c r="C3126" s="311" t="s">
        <v>508</v>
      </c>
      <c r="D3126" s="345" t="s">
        <v>509</v>
      </c>
      <c r="E3126" s="324" t="s">
        <v>873</v>
      </c>
      <c r="F3126" s="324" t="s">
        <v>874</v>
      </c>
      <c r="G3126" s="324" t="s">
        <v>875</v>
      </c>
      <c r="H3126" s="336" t="s">
        <v>468</v>
      </c>
      <c r="I3126" s="324" t="s">
        <v>491</v>
      </c>
      <c r="J3126" s="322" t="s">
        <v>492</v>
      </c>
    </row>
    <row r="3127" spans="1:10" x14ac:dyDescent="0.25">
      <c r="A3127" s="303"/>
      <c r="B3127" s="337">
        <v>416096</v>
      </c>
      <c r="C3127" s="311" t="s">
        <v>759</v>
      </c>
      <c r="D3127" s="345" t="s">
        <v>510</v>
      </c>
      <c r="E3127" s="314">
        <v>0</v>
      </c>
      <c r="F3127" s="314">
        <v>0</v>
      </c>
      <c r="G3127" s="314">
        <v>10</v>
      </c>
      <c r="H3127" s="329">
        <v>0.55000000000000004</v>
      </c>
      <c r="I3127" s="314">
        <v>2.0625</v>
      </c>
      <c r="J3127" s="315">
        <v>11.3438</v>
      </c>
    </row>
    <row r="3128" spans="1:10" x14ac:dyDescent="0.25">
      <c r="A3128" s="303"/>
      <c r="B3128" s="333" t="s">
        <v>346</v>
      </c>
      <c r="C3128" s="317"/>
      <c r="D3128" s="346"/>
      <c r="E3128" s="320"/>
      <c r="F3128" s="320"/>
      <c r="G3128" s="320"/>
      <c r="H3128" s="332"/>
      <c r="I3128" s="320"/>
      <c r="J3128" s="321"/>
    </row>
    <row r="3129" spans="1:10" x14ac:dyDescent="0.25">
      <c r="A3129" s="303"/>
      <c r="B3129" s="333" t="s">
        <v>346</v>
      </c>
      <c r="C3129" s="317"/>
      <c r="D3129" s="346"/>
      <c r="E3129" s="320"/>
      <c r="F3129" s="320"/>
      <c r="G3129" s="320"/>
      <c r="H3129" s="332"/>
      <c r="I3129" s="320"/>
      <c r="J3129" s="321"/>
    </row>
    <row r="3130" spans="1:10" x14ac:dyDescent="0.25">
      <c r="A3130" s="303"/>
      <c r="B3130" s="333" t="s">
        <v>346</v>
      </c>
      <c r="C3130" s="317"/>
      <c r="D3130" s="346"/>
      <c r="E3130" s="320"/>
      <c r="F3130" s="320"/>
      <c r="G3130" s="320"/>
      <c r="H3130" s="332"/>
      <c r="I3130" s="320"/>
      <c r="J3130" s="321"/>
    </row>
    <row r="3131" spans="1:10" x14ac:dyDescent="0.25">
      <c r="A3131" s="303"/>
      <c r="B3131" s="333" t="s">
        <v>346</v>
      </c>
      <c r="C3131" s="317"/>
      <c r="D3131" s="346"/>
      <c r="E3131" s="320"/>
      <c r="F3131" s="320"/>
      <c r="G3131" s="320"/>
      <c r="H3131" s="332"/>
      <c r="I3131" s="320"/>
      <c r="J3131" s="321"/>
    </row>
    <row r="3132" spans="1:10" x14ac:dyDescent="0.25">
      <c r="A3132" s="303"/>
      <c r="B3132" s="333" t="s">
        <v>346</v>
      </c>
      <c r="C3132" s="317"/>
      <c r="D3132" s="346"/>
      <c r="E3132" s="320"/>
      <c r="F3132" s="320"/>
      <c r="G3132" s="320"/>
      <c r="H3132" s="332"/>
      <c r="I3132" s="320"/>
      <c r="J3132" s="321"/>
    </row>
    <row r="3133" spans="1:10" x14ac:dyDescent="0.25">
      <c r="A3133" s="303"/>
      <c r="B3133" s="333" t="s">
        <v>346</v>
      </c>
      <c r="C3133" s="317"/>
      <c r="D3133" s="346"/>
      <c r="E3133" s="320"/>
      <c r="F3133" s="320"/>
      <c r="G3133" s="320"/>
      <c r="H3133" s="332"/>
      <c r="I3133" s="320"/>
      <c r="J3133" s="321"/>
    </row>
    <row r="3134" spans="1:10" x14ac:dyDescent="0.25">
      <c r="A3134" s="303"/>
      <c r="B3134" s="310"/>
      <c r="C3134" s="334"/>
      <c r="D3134" s="312"/>
      <c r="E3134" s="313"/>
      <c r="F3134" s="313"/>
      <c r="G3134" s="313"/>
      <c r="H3134" s="313"/>
      <c r="I3134" s="338" t="s">
        <v>513</v>
      </c>
      <c r="J3134" s="315">
        <v>11.3438</v>
      </c>
    </row>
    <row r="3135" spans="1:10" x14ac:dyDescent="0.25">
      <c r="A3135" s="303"/>
      <c r="B3135" s="310" t="s">
        <v>514</v>
      </c>
      <c r="C3135" s="334"/>
      <c r="D3135" s="312"/>
      <c r="E3135" s="313"/>
      <c r="F3135" s="313"/>
      <c r="G3135" s="313"/>
      <c r="H3135" s="313"/>
      <c r="I3135" s="313"/>
      <c r="J3135" s="315">
        <v>20.215200000000003</v>
      </c>
    </row>
    <row r="3136" spans="1:10" x14ac:dyDescent="0.25">
      <c r="A3136" s="303"/>
      <c r="B3136" s="310" t="s">
        <v>515</v>
      </c>
      <c r="C3136" s="334"/>
      <c r="D3136" s="312">
        <v>0</v>
      </c>
      <c r="E3136" s="313"/>
      <c r="F3136" s="313"/>
      <c r="G3136" s="313"/>
      <c r="H3136" s="313"/>
      <c r="I3136" s="313"/>
      <c r="J3136" s="315">
        <v>0</v>
      </c>
    </row>
    <row r="3137" spans="1:10" ht="14.4" thickBot="1" x14ac:dyDescent="0.3">
      <c r="A3137" s="303"/>
      <c r="B3137" s="310" t="s">
        <v>516</v>
      </c>
      <c r="C3137" s="334"/>
      <c r="D3137" s="312"/>
      <c r="E3137" s="313"/>
      <c r="F3137" s="313"/>
      <c r="G3137" s="313"/>
      <c r="H3137" s="313"/>
      <c r="I3137" s="313"/>
      <c r="J3137" s="347">
        <v>20.22</v>
      </c>
    </row>
    <row r="3138" spans="1:10" x14ac:dyDescent="0.25">
      <c r="A3138" s="303"/>
      <c r="B3138" s="304"/>
      <c r="C3138" s="305"/>
      <c r="D3138" s="348"/>
      <c r="E3138" s="308"/>
      <c r="F3138" s="308"/>
      <c r="G3138" s="308"/>
      <c r="H3138" s="308"/>
      <c r="I3138" s="308"/>
      <c r="J3138" s="309"/>
    </row>
    <row r="3139" spans="1:10" x14ac:dyDescent="0.25">
      <c r="A3139" s="303"/>
      <c r="B3139" s="316"/>
      <c r="C3139" s="303"/>
      <c r="D3139" s="318"/>
      <c r="E3139" s="319"/>
      <c r="F3139" s="319"/>
      <c r="G3139" s="319"/>
      <c r="H3139" s="319"/>
      <c r="I3139" s="319"/>
      <c r="J3139" s="349"/>
    </row>
    <row r="3140" spans="1:10" x14ac:dyDescent="0.25">
      <c r="A3140" s="303"/>
      <c r="B3140" s="316"/>
      <c r="C3140" s="303"/>
      <c r="D3140" s="318"/>
      <c r="E3140" s="319"/>
      <c r="F3140" s="319"/>
      <c r="G3140" s="319"/>
      <c r="H3140" s="319"/>
      <c r="I3140" s="319"/>
      <c r="J3140" s="349"/>
    </row>
    <row r="3141" spans="1:10" ht="14.4" thickBot="1" x14ac:dyDescent="0.3">
      <c r="A3141" s="303"/>
      <c r="B3141" s="350"/>
      <c r="C3141" s="303"/>
      <c r="D3141" s="318"/>
      <c r="E3141" s="319"/>
      <c r="F3141" s="319"/>
      <c r="G3141" s="319"/>
      <c r="H3141" s="319"/>
      <c r="I3141" s="319"/>
      <c r="J3141" s="351"/>
    </row>
    <row r="3142" spans="1:10" x14ac:dyDescent="0.25">
      <c r="A3142" s="303"/>
      <c r="B3142" s="305"/>
      <c r="C3142" s="305"/>
      <c r="D3142" s="348"/>
      <c r="E3142" s="308"/>
      <c r="F3142" s="308"/>
      <c r="G3142" s="308"/>
      <c r="H3142" s="308"/>
      <c r="I3142" s="308"/>
      <c r="J3142" s="352"/>
    </row>
    <row r="3143" spans="1:10" ht="14.4" thickBot="1" x14ac:dyDescent="0.3">
      <c r="A3143" s="303"/>
      <c r="B3143" s="303"/>
      <c r="C3143" s="303"/>
      <c r="D3143" s="318"/>
      <c r="E3143" s="319"/>
      <c r="F3143" s="319"/>
      <c r="G3143" s="319"/>
      <c r="H3143" s="319"/>
      <c r="I3143" s="319"/>
      <c r="J3143" s="353"/>
    </row>
    <row r="3144" spans="1:10" x14ac:dyDescent="0.25">
      <c r="A3144" s="303"/>
      <c r="B3144" s="304"/>
      <c r="C3144" s="305"/>
      <c r="D3144" s="306" t="s">
        <v>463</v>
      </c>
      <c r="E3144" s="307"/>
      <c r="F3144" s="307"/>
      <c r="G3144" s="308"/>
      <c r="H3144" s="308"/>
      <c r="I3144" s="308"/>
      <c r="J3144" s="309"/>
    </row>
    <row r="3145" spans="1:10" x14ac:dyDescent="0.25">
      <c r="A3145" s="303"/>
      <c r="B3145" s="310" t="s">
        <v>464</v>
      </c>
      <c r="C3145" s="311" t="s">
        <v>134</v>
      </c>
      <c r="D3145" s="312"/>
      <c r="E3145" s="313"/>
      <c r="F3145" s="313"/>
      <c r="G3145" s="313"/>
      <c r="H3145" s="314"/>
      <c r="I3145" s="313"/>
      <c r="J3145" s="315" t="s">
        <v>465</v>
      </c>
    </row>
    <row r="3146" spans="1:10" x14ac:dyDescent="0.25">
      <c r="A3146" s="303"/>
      <c r="B3146" s="316">
        <v>4915774</v>
      </c>
      <c r="C3146" s="317" t="s">
        <v>407</v>
      </c>
      <c r="D3146" s="318"/>
      <c r="E3146" s="319"/>
      <c r="F3146" s="319"/>
      <c r="G3146" s="319"/>
      <c r="H3146" s="320"/>
      <c r="I3146" s="319"/>
      <c r="J3146" s="321" t="s">
        <v>365</v>
      </c>
    </row>
    <row r="3147" spans="1:10" x14ac:dyDescent="0.25">
      <c r="A3147" s="303"/>
      <c r="B3147" s="310"/>
      <c r="C3147" s="311"/>
      <c r="D3147" s="312"/>
      <c r="E3147" s="314"/>
      <c r="F3147" s="314" t="s">
        <v>466</v>
      </c>
      <c r="G3147" s="314"/>
      <c r="H3147" s="314" t="s">
        <v>467</v>
      </c>
      <c r="I3147" s="314"/>
      <c r="J3147" s="322" t="s">
        <v>468</v>
      </c>
    </row>
    <row r="3148" spans="1:10" x14ac:dyDescent="0.25">
      <c r="A3148" s="303"/>
      <c r="B3148" s="316" t="s">
        <v>464</v>
      </c>
      <c r="C3148" s="317" t="s">
        <v>469</v>
      </c>
      <c r="D3148" s="318"/>
      <c r="E3148" s="323" t="s">
        <v>355</v>
      </c>
      <c r="F3148" s="324" t="s">
        <v>470</v>
      </c>
      <c r="G3148" s="324" t="s">
        <v>471</v>
      </c>
      <c r="H3148" s="324" t="s">
        <v>472</v>
      </c>
      <c r="I3148" s="325" t="s">
        <v>473</v>
      </c>
      <c r="J3148" s="326" t="s">
        <v>474</v>
      </c>
    </row>
    <row r="3149" spans="1:10" x14ac:dyDescent="0.25">
      <c r="A3149" s="303"/>
      <c r="B3149" s="327" t="s">
        <v>755</v>
      </c>
      <c r="C3149" s="311" t="s">
        <v>992</v>
      </c>
      <c r="D3149" s="312"/>
      <c r="E3149" s="328">
        <v>1</v>
      </c>
      <c r="F3149" s="328">
        <v>1</v>
      </c>
      <c r="G3149" s="328">
        <v>0</v>
      </c>
      <c r="H3149" s="329">
        <v>9.2094000000000005</v>
      </c>
      <c r="I3149" s="329">
        <v>0.8407</v>
      </c>
      <c r="J3149" s="315">
        <v>9.2094000000000005</v>
      </c>
    </row>
    <row r="3150" spans="1:10" x14ac:dyDescent="0.25">
      <c r="A3150" s="303"/>
      <c r="B3150" s="333" t="s">
        <v>346</v>
      </c>
      <c r="C3150" s="317"/>
      <c r="D3150" s="318"/>
      <c r="E3150" s="331"/>
      <c r="F3150" s="331"/>
      <c r="G3150" s="331"/>
      <c r="H3150" s="332"/>
      <c r="I3150" s="332"/>
      <c r="J3150" s="321"/>
    </row>
    <row r="3151" spans="1:10" x14ac:dyDescent="0.25">
      <c r="A3151" s="303"/>
      <c r="B3151" s="333" t="s">
        <v>346</v>
      </c>
      <c r="C3151" s="317"/>
      <c r="D3151" s="318"/>
      <c r="E3151" s="331"/>
      <c r="F3151" s="331"/>
      <c r="G3151" s="331"/>
      <c r="H3151" s="332"/>
      <c r="I3151" s="332"/>
      <c r="J3151" s="321"/>
    </row>
    <row r="3152" spans="1:10" x14ac:dyDescent="0.25">
      <c r="A3152" s="303"/>
      <c r="B3152" s="333" t="s">
        <v>346</v>
      </c>
      <c r="C3152" s="317"/>
      <c r="D3152" s="318"/>
      <c r="E3152" s="331"/>
      <c r="F3152" s="331"/>
      <c r="G3152" s="331"/>
      <c r="H3152" s="332"/>
      <c r="I3152" s="332"/>
      <c r="J3152" s="321"/>
    </row>
    <row r="3153" spans="1:10" x14ac:dyDescent="0.25">
      <c r="A3153" s="303"/>
      <c r="B3153" s="333" t="s">
        <v>346</v>
      </c>
      <c r="C3153" s="317"/>
      <c r="D3153" s="318"/>
      <c r="E3153" s="331"/>
      <c r="F3153" s="331"/>
      <c r="G3153" s="331"/>
      <c r="H3153" s="332"/>
      <c r="I3153" s="332"/>
      <c r="J3153" s="321"/>
    </row>
    <row r="3154" spans="1:10" x14ac:dyDescent="0.25">
      <c r="A3154" s="303"/>
      <c r="B3154" s="333" t="s">
        <v>346</v>
      </c>
      <c r="C3154" s="317"/>
      <c r="D3154" s="318"/>
      <c r="E3154" s="331"/>
      <c r="F3154" s="331"/>
      <c r="G3154" s="331"/>
      <c r="H3154" s="332"/>
      <c r="I3154" s="332"/>
      <c r="J3154" s="321"/>
    </row>
    <row r="3155" spans="1:10" x14ac:dyDescent="0.25">
      <c r="A3155" s="303"/>
      <c r="B3155" s="333" t="s">
        <v>346</v>
      </c>
      <c r="C3155" s="317"/>
      <c r="D3155" s="318"/>
      <c r="E3155" s="331"/>
      <c r="F3155" s="331"/>
      <c r="G3155" s="331"/>
      <c r="H3155" s="332"/>
      <c r="I3155" s="332"/>
      <c r="J3155" s="321"/>
    </row>
    <row r="3156" spans="1:10" x14ac:dyDescent="0.25">
      <c r="A3156" s="303"/>
      <c r="B3156" s="310"/>
      <c r="C3156" s="334"/>
      <c r="D3156" s="312"/>
      <c r="E3156" s="313"/>
      <c r="F3156" s="313"/>
      <c r="G3156" s="313"/>
      <c r="H3156" s="313"/>
      <c r="I3156" s="335" t="s">
        <v>479</v>
      </c>
      <c r="J3156" s="315">
        <v>9.2094000000000005</v>
      </c>
    </row>
    <row r="3157" spans="1:10" x14ac:dyDescent="0.25">
      <c r="A3157" s="303"/>
      <c r="B3157" s="310" t="s">
        <v>464</v>
      </c>
      <c r="C3157" s="311" t="s">
        <v>480</v>
      </c>
      <c r="D3157" s="312"/>
      <c r="E3157" s="313"/>
      <c r="F3157" s="313"/>
      <c r="G3157" s="313"/>
      <c r="H3157" s="324" t="s">
        <v>355</v>
      </c>
      <c r="I3157" s="336" t="s">
        <v>481</v>
      </c>
      <c r="J3157" s="322" t="s">
        <v>331</v>
      </c>
    </row>
    <row r="3158" spans="1:10" x14ac:dyDescent="0.25">
      <c r="A3158" s="303"/>
      <c r="B3158" s="337" t="s">
        <v>482</v>
      </c>
      <c r="C3158" s="311" t="s">
        <v>483</v>
      </c>
      <c r="D3158" s="312"/>
      <c r="E3158" s="313"/>
      <c r="F3158" s="313"/>
      <c r="G3158" s="313"/>
      <c r="H3158" s="314">
        <v>2</v>
      </c>
      <c r="I3158" s="329">
        <v>17.768000000000001</v>
      </c>
      <c r="J3158" s="315">
        <v>35.536000000000001</v>
      </c>
    </row>
    <row r="3159" spans="1:10" x14ac:dyDescent="0.25">
      <c r="A3159" s="303"/>
      <c r="B3159" s="333" t="s">
        <v>346</v>
      </c>
      <c r="C3159" s="317"/>
      <c r="D3159" s="318"/>
      <c r="E3159" s="319"/>
      <c r="F3159" s="319"/>
      <c r="G3159" s="319"/>
      <c r="H3159" s="320"/>
      <c r="I3159" s="332"/>
      <c r="J3159" s="321"/>
    </row>
    <row r="3160" spans="1:10" x14ac:dyDescent="0.25">
      <c r="A3160" s="303"/>
      <c r="B3160" s="333" t="s">
        <v>346</v>
      </c>
      <c r="C3160" s="317"/>
      <c r="D3160" s="318"/>
      <c r="E3160" s="319"/>
      <c r="F3160" s="319"/>
      <c r="G3160" s="319"/>
      <c r="H3160" s="320"/>
      <c r="I3160" s="332"/>
      <c r="J3160" s="321"/>
    </row>
    <row r="3161" spans="1:10" x14ac:dyDescent="0.25">
      <c r="A3161" s="303"/>
      <c r="B3161" s="333" t="s">
        <v>346</v>
      </c>
      <c r="C3161" s="317"/>
      <c r="D3161" s="318"/>
      <c r="E3161" s="319"/>
      <c r="F3161" s="319"/>
      <c r="G3161" s="319"/>
      <c r="H3161" s="320"/>
      <c r="I3161" s="332"/>
      <c r="J3161" s="321"/>
    </row>
    <row r="3162" spans="1:10" x14ac:dyDescent="0.25">
      <c r="A3162" s="303"/>
      <c r="B3162" s="333" t="s">
        <v>346</v>
      </c>
      <c r="C3162" s="317"/>
      <c r="D3162" s="318"/>
      <c r="E3162" s="319"/>
      <c r="F3162" s="319"/>
      <c r="G3162" s="319"/>
      <c r="H3162" s="320"/>
      <c r="I3162" s="332"/>
      <c r="J3162" s="321"/>
    </row>
    <row r="3163" spans="1:10" x14ac:dyDescent="0.25">
      <c r="A3163" s="303"/>
      <c r="B3163" s="333" t="s">
        <v>346</v>
      </c>
      <c r="C3163" s="317"/>
      <c r="D3163" s="318"/>
      <c r="E3163" s="319"/>
      <c r="F3163" s="319"/>
      <c r="G3163" s="319"/>
      <c r="H3163" s="320"/>
      <c r="I3163" s="332"/>
      <c r="J3163" s="321"/>
    </row>
    <row r="3164" spans="1:10" x14ac:dyDescent="0.25">
      <c r="A3164" s="303"/>
      <c r="B3164" s="333" t="s">
        <v>346</v>
      </c>
      <c r="C3164" s="317"/>
      <c r="D3164" s="318"/>
      <c r="E3164" s="319"/>
      <c r="F3164" s="319"/>
      <c r="G3164" s="319"/>
      <c r="H3164" s="320"/>
      <c r="I3164" s="332"/>
      <c r="J3164" s="321"/>
    </row>
    <row r="3165" spans="1:10" x14ac:dyDescent="0.25">
      <c r="A3165" s="303"/>
      <c r="B3165" s="310"/>
      <c r="C3165" s="334"/>
      <c r="D3165" s="312"/>
      <c r="E3165" s="313"/>
      <c r="F3165" s="313"/>
      <c r="G3165" s="313"/>
      <c r="H3165" s="313"/>
      <c r="I3165" s="338" t="s">
        <v>484</v>
      </c>
      <c r="J3165" s="315">
        <v>35.536000000000001</v>
      </c>
    </row>
    <row r="3166" spans="1:10" x14ac:dyDescent="0.25">
      <c r="A3166" s="303"/>
      <c r="B3166" s="339"/>
      <c r="C3166" s="334"/>
      <c r="D3166" s="312"/>
      <c r="E3166" s="313"/>
      <c r="F3166" s="313"/>
      <c r="G3166" s="313"/>
      <c r="H3166" s="313"/>
      <c r="I3166" s="338" t="s">
        <v>485</v>
      </c>
      <c r="J3166" s="340">
        <v>44.745400000000004</v>
      </c>
    </row>
    <row r="3167" spans="1:10" x14ac:dyDescent="0.25">
      <c r="A3167" s="303"/>
      <c r="B3167" s="339"/>
      <c r="C3167" s="341" t="s">
        <v>486</v>
      </c>
      <c r="D3167" s="312">
        <v>2.8125</v>
      </c>
      <c r="E3167" s="313"/>
      <c r="F3167" s="313"/>
      <c r="G3167" s="313"/>
      <c r="H3167" s="313"/>
      <c r="I3167" s="338" t="s">
        <v>487</v>
      </c>
      <c r="J3167" s="340">
        <v>15.9095</v>
      </c>
    </row>
    <row r="3168" spans="1:10" x14ac:dyDescent="0.25">
      <c r="A3168" s="303"/>
      <c r="B3168" s="310"/>
      <c r="C3168" s="334"/>
      <c r="D3168" s="312"/>
      <c r="E3168" s="313"/>
      <c r="F3168" s="313"/>
      <c r="G3168" s="313"/>
      <c r="H3168" s="338" t="s">
        <v>488</v>
      </c>
      <c r="I3168" s="342">
        <v>2.7799999999999998E-2</v>
      </c>
      <c r="J3168" s="315">
        <v>0.44230000000000003</v>
      </c>
    </row>
    <row r="3169" spans="1:10" x14ac:dyDescent="0.25">
      <c r="A3169" s="303"/>
      <c r="B3169" s="310"/>
      <c r="C3169" s="334"/>
      <c r="D3169" s="312"/>
      <c r="E3169" s="313"/>
      <c r="F3169" s="313"/>
      <c r="G3169" s="313"/>
      <c r="H3169" s="335" t="s">
        <v>489</v>
      </c>
      <c r="I3169" s="343">
        <v>0</v>
      </c>
      <c r="J3169" s="315">
        <v>0</v>
      </c>
    </row>
    <row r="3170" spans="1:10" x14ac:dyDescent="0.25">
      <c r="A3170" s="303"/>
      <c r="B3170" s="310" t="s">
        <v>464</v>
      </c>
      <c r="C3170" s="311" t="s">
        <v>490</v>
      </c>
      <c r="D3170" s="312"/>
      <c r="E3170" s="313"/>
      <c r="F3170" s="313"/>
      <c r="G3170" s="314" t="s">
        <v>465</v>
      </c>
      <c r="H3170" s="336" t="s">
        <v>468</v>
      </c>
      <c r="I3170" s="336" t="s">
        <v>491</v>
      </c>
      <c r="J3170" s="322" t="s">
        <v>492</v>
      </c>
    </row>
    <row r="3171" spans="1:10" x14ac:dyDescent="0.25">
      <c r="A3171" s="303"/>
      <c r="B3171" s="337" t="s">
        <v>346</v>
      </c>
      <c r="C3171" s="311"/>
      <c r="D3171" s="312"/>
      <c r="E3171" s="313"/>
      <c r="F3171" s="313"/>
      <c r="G3171" s="314"/>
      <c r="H3171" s="329"/>
      <c r="I3171" s="329"/>
      <c r="J3171" s="315"/>
    </row>
    <row r="3172" spans="1:10" x14ac:dyDescent="0.25">
      <c r="A3172" s="303"/>
      <c r="B3172" s="333" t="s">
        <v>346</v>
      </c>
      <c r="C3172" s="317"/>
      <c r="D3172" s="318"/>
      <c r="E3172" s="319"/>
      <c r="F3172" s="319"/>
      <c r="G3172" s="320"/>
      <c r="H3172" s="332"/>
      <c r="I3172" s="332"/>
      <c r="J3172" s="321"/>
    </row>
    <row r="3173" spans="1:10" x14ac:dyDescent="0.25">
      <c r="A3173" s="303"/>
      <c r="B3173" s="333" t="s">
        <v>346</v>
      </c>
      <c r="C3173" s="317"/>
      <c r="D3173" s="318"/>
      <c r="E3173" s="319"/>
      <c r="F3173" s="319"/>
      <c r="G3173" s="320"/>
      <c r="H3173" s="332"/>
      <c r="I3173" s="332"/>
      <c r="J3173" s="321"/>
    </row>
    <row r="3174" spans="1:10" x14ac:dyDescent="0.25">
      <c r="A3174" s="303"/>
      <c r="B3174" s="333" t="s">
        <v>346</v>
      </c>
      <c r="C3174" s="317"/>
      <c r="D3174" s="318"/>
      <c r="E3174" s="319"/>
      <c r="F3174" s="319"/>
      <c r="G3174" s="320"/>
      <c r="H3174" s="332"/>
      <c r="I3174" s="332"/>
      <c r="J3174" s="321"/>
    </row>
    <row r="3175" spans="1:10" x14ac:dyDescent="0.25">
      <c r="A3175" s="303"/>
      <c r="B3175" s="333" t="s">
        <v>346</v>
      </c>
      <c r="C3175" s="317"/>
      <c r="D3175" s="318"/>
      <c r="E3175" s="319"/>
      <c r="F3175" s="319"/>
      <c r="G3175" s="320"/>
      <c r="H3175" s="332"/>
      <c r="I3175" s="332"/>
      <c r="J3175" s="321"/>
    </row>
    <row r="3176" spans="1:10" x14ac:dyDescent="0.25">
      <c r="A3176" s="303"/>
      <c r="B3176" s="333" t="s">
        <v>346</v>
      </c>
      <c r="C3176" s="317"/>
      <c r="D3176" s="318"/>
      <c r="E3176" s="319"/>
      <c r="F3176" s="319"/>
      <c r="G3176" s="320"/>
      <c r="H3176" s="332"/>
      <c r="I3176" s="332"/>
      <c r="J3176" s="321"/>
    </row>
    <row r="3177" spans="1:10" x14ac:dyDescent="0.25">
      <c r="A3177" s="303"/>
      <c r="B3177" s="310"/>
      <c r="C3177" s="334"/>
      <c r="D3177" s="312"/>
      <c r="E3177" s="313"/>
      <c r="F3177" s="313"/>
      <c r="G3177" s="313"/>
      <c r="H3177" s="343"/>
      <c r="I3177" s="335" t="s">
        <v>498</v>
      </c>
      <c r="J3177" s="315">
        <v>0</v>
      </c>
    </row>
    <row r="3178" spans="1:10" x14ac:dyDescent="0.25">
      <c r="A3178" s="303"/>
      <c r="B3178" s="310" t="s">
        <v>464</v>
      </c>
      <c r="C3178" s="311" t="s">
        <v>499</v>
      </c>
      <c r="D3178" s="312"/>
      <c r="E3178" s="313"/>
      <c r="F3178" s="313"/>
      <c r="G3178" s="314" t="s">
        <v>465</v>
      </c>
      <c r="H3178" s="336" t="s">
        <v>468</v>
      </c>
      <c r="I3178" s="336" t="s">
        <v>491</v>
      </c>
      <c r="J3178" s="322" t="s">
        <v>492</v>
      </c>
    </row>
    <row r="3179" spans="1:10" x14ac:dyDescent="0.25">
      <c r="A3179" s="303"/>
      <c r="B3179" s="337">
        <v>4016096</v>
      </c>
      <c r="C3179" s="311" t="s">
        <v>756</v>
      </c>
      <c r="D3179" s="312"/>
      <c r="E3179" s="313"/>
      <c r="F3179" s="313"/>
      <c r="G3179" s="314" t="s">
        <v>365</v>
      </c>
      <c r="H3179" s="329">
        <v>1.05</v>
      </c>
      <c r="I3179" s="329">
        <v>1.1000000000000001</v>
      </c>
      <c r="J3179" s="315">
        <v>1.155</v>
      </c>
    </row>
    <row r="3180" spans="1:10" x14ac:dyDescent="0.25">
      <c r="A3180" s="303"/>
      <c r="B3180" s="333"/>
      <c r="C3180" s="317"/>
      <c r="D3180" s="318"/>
      <c r="E3180" s="319"/>
      <c r="F3180" s="319"/>
      <c r="G3180" s="320"/>
      <c r="H3180" s="332"/>
      <c r="I3180" s="332"/>
      <c r="J3180" s="321"/>
    </row>
    <row r="3181" spans="1:10" x14ac:dyDescent="0.25">
      <c r="A3181" s="303"/>
      <c r="B3181" s="333"/>
      <c r="C3181" s="317"/>
      <c r="D3181" s="318"/>
      <c r="E3181" s="319"/>
      <c r="F3181" s="319"/>
      <c r="G3181" s="320"/>
      <c r="H3181" s="332"/>
      <c r="I3181" s="332"/>
      <c r="J3181" s="321"/>
    </row>
    <row r="3182" spans="1:10" x14ac:dyDescent="0.25">
      <c r="A3182" s="303"/>
      <c r="B3182" s="333"/>
      <c r="C3182" s="317"/>
      <c r="D3182" s="318"/>
      <c r="E3182" s="319"/>
      <c r="F3182" s="319"/>
      <c r="G3182" s="320"/>
      <c r="H3182" s="332"/>
      <c r="I3182" s="332"/>
      <c r="J3182" s="321"/>
    </row>
    <row r="3183" spans="1:10" x14ac:dyDescent="0.25">
      <c r="A3183" s="303"/>
      <c r="B3183" s="333"/>
      <c r="C3183" s="317"/>
      <c r="D3183" s="318"/>
      <c r="E3183" s="319"/>
      <c r="F3183" s="319"/>
      <c r="G3183" s="320"/>
      <c r="H3183" s="332"/>
      <c r="I3183" s="332"/>
      <c r="J3183" s="321"/>
    </row>
    <row r="3184" spans="1:10" x14ac:dyDescent="0.25">
      <c r="A3184" s="303"/>
      <c r="B3184" s="310"/>
      <c r="C3184" s="334"/>
      <c r="D3184" s="312"/>
      <c r="E3184" s="313"/>
      <c r="F3184" s="313"/>
      <c r="G3184" s="313"/>
      <c r="H3184" s="343"/>
      <c r="I3184" s="335" t="s">
        <v>501</v>
      </c>
      <c r="J3184" s="315">
        <v>1.155</v>
      </c>
    </row>
    <row r="3185" spans="1:10" x14ac:dyDescent="0.25">
      <c r="A3185" s="303"/>
      <c r="B3185" s="310" t="s">
        <v>464</v>
      </c>
      <c r="C3185" s="311" t="s">
        <v>502</v>
      </c>
      <c r="D3185" s="312"/>
      <c r="E3185" s="313"/>
      <c r="F3185" s="314" t="s">
        <v>464</v>
      </c>
      <c r="G3185" s="324" t="s">
        <v>503</v>
      </c>
      <c r="H3185" s="329" t="s">
        <v>465</v>
      </c>
      <c r="I3185" s="336" t="s">
        <v>468</v>
      </c>
      <c r="J3185" s="322" t="s">
        <v>492</v>
      </c>
    </row>
    <row r="3186" spans="1:10" x14ac:dyDescent="0.25">
      <c r="A3186" s="303"/>
      <c r="B3186" s="337">
        <v>560964353</v>
      </c>
      <c r="C3186" s="311" t="s">
        <v>757</v>
      </c>
      <c r="D3186" s="312"/>
      <c r="E3186" s="313"/>
      <c r="F3186" s="344" t="s">
        <v>758</v>
      </c>
      <c r="G3186" s="314">
        <v>2.0625</v>
      </c>
      <c r="H3186" s="329" t="s">
        <v>370</v>
      </c>
      <c r="I3186" s="329">
        <v>1.1499999999999999</v>
      </c>
      <c r="J3186" s="315">
        <v>2.3719000000000001</v>
      </c>
    </row>
    <row r="3187" spans="1:10" x14ac:dyDescent="0.25">
      <c r="A3187" s="303"/>
      <c r="B3187" s="333" t="s">
        <v>346</v>
      </c>
      <c r="C3187" s="317"/>
      <c r="D3187" s="318"/>
      <c r="E3187" s="319"/>
      <c r="F3187" s="320"/>
      <c r="G3187" s="320"/>
      <c r="H3187" s="332"/>
      <c r="I3187" s="332"/>
      <c r="J3187" s="321"/>
    </row>
    <row r="3188" spans="1:10" x14ac:dyDescent="0.25">
      <c r="A3188" s="303"/>
      <c r="B3188" s="333" t="s">
        <v>346</v>
      </c>
      <c r="C3188" s="317"/>
      <c r="D3188" s="318"/>
      <c r="E3188" s="319"/>
      <c r="F3188" s="320"/>
      <c r="G3188" s="320"/>
      <c r="H3188" s="332"/>
      <c r="I3188" s="332"/>
      <c r="J3188" s="321"/>
    </row>
    <row r="3189" spans="1:10" x14ac:dyDescent="0.25">
      <c r="A3189" s="303"/>
      <c r="B3189" s="333" t="s">
        <v>346</v>
      </c>
      <c r="C3189" s="317"/>
      <c r="D3189" s="318"/>
      <c r="E3189" s="319"/>
      <c r="F3189" s="320"/>
      <c r="G3189" s="320"/>
      <c r="H3189" s="332"/>
      <c r="I3189" s="332"/>
      <c r="J3189" s="321"/>
    </row>
    <row r="3190" spans="1:10" x14ac:dyDescent="0.25">
      <c r="A3190" s="303"/>
      <c r="B3190" s="333" t="s">
        <v>346</v>
      </c>
      <c r="C3190" s="317"/>
      <c r="D3190" s="318"/>
      <c r="E3190" s="319"/>
      <c r="F3190" s="320"/>
      <c r="G3190" s="320"/>
      <c r="H3190" s="332"/>
      <c r="I3190" s="332"/>
      <c r="J3190" s="321"/>
    </row>
    <row r="3191" spans="1:10" x14ac:dyDescent="0.25">
      <c r="A3191" s="303"/>
      <c r="B3191" s="310"/>
      <c r="C3191" s="334"/>
      <c r="D3191" s="312"/>
      <c r="E3191" s="313"/>
      <c r="F3191" s="313"/>
      <c r="G3191" s="313"/>
      <c r="H3191" s="343"/>
      <c r="I3191" s="338" t="s">
        <v>507</v>
      </c>
      <c r="J3191" s="315">
        <v>2.3719000000000001</v>
      </c>
    </row>
    <row r="3192" spans="1:10" x14ac:dyDescent="0.25">
      <c r="A3192" s="303"/>
      <c r="B3192" s="310" t="s">
        <v>464</v>
      </c>
      <c r="C3192" s="311" t="s">
        <v>508</v>
      </c>
      <c r="D3192" s="345" t="s">
        <v>509</v>
      </c>
      <c r="E3192" s="324" t="s">
        <v>873</v>
      </c>
      <c r="F3192" s="324" t="s">
        <v>874</v>
      </c>
      <c r="G3192" s="324" t="s">
        <v>875</v>
      </c>
      <c r="H3192" s="336" t="s">
        <v>468</v>
      </c>
      <c r="I3192" s="324" t="s">
        <v>491</v>
      </c>
      <c r="J3192" s="322" t="s">
        <v>492</v>
      </c>
    </row>
    <row r="3193" spans="1:10" x14ac:dyDescent="0.25">
      <c r="A3193" s="303"/>
      <c r="B3193" s="337">
        <v>416096</v>
      </c>
      <c r="C3193" s="311" t="s">
        <v>759</v>
      </c>
      <c r="D3193" s="345" t="s">
        <v>510</v>
      </c>
      <c r="E3193" s="314">
        <v>0</v>
      </c>
      <c r="F3193" s="314">
        <v>0</v>
      </c>
      <c r="G3193" s="314">
        <v>10</v>
      </c>
      <c r="H3193" s="329">
        <v>0.55000000000000004</v>
      </c>
      <c r="I3193" s="314">
        <v>2.0625</v>
      </c>
      <c r="J3193" s="315">
        <v>11.3438</v>
      </c>
    </row>
    <row r="3194" spans="1:10" x14ac:dyDescent="0.25">
      <c r="A3194" s="303"/>
      <c r="B3194" s="333" t="s">
        <v>346</v>
      </c>
      <c r="C3194" s="317"/>
      <c r="D3194" s="346"/>
      <c r="E3194" s="320"/>
      <c r="F3194" s="320"/>
      <c r="G3194" s="320"/>
      <c r="H3194" s="332"/>
      <c r="I3194" s="320"/>
      <c r="J3194" s="321"/>
    </row>
    <row r="3195" spans="1:10" x14ac:dyDescent="0.25">
      <c r="A3195" s="303"/>
      <c r="B3195" s="333" t="s">
        <v>346</v>
      </c>
      <c r="C3195" s="317"/>
      <c r="D3195" s="346"/>
      <c r="E3195" s="320"/>
      <c r="F3195" s="320"/>
      <c r="G3195" s="320"/>
      <c r="H3195" s="332"/>
      <c r="I3195" s="320"/>
      <c r="J3195" s="321"/>
    </row>
    <row r="3196" spans="1:10" x14ac:dyDescent="0.25">
      <c r="A3196" s="303"/>
      <c r="B3196" s="333" t="s">
        <v>346</v>
      </c>
      <c r="C3196" s="317"/>
      <c r="D3196" s="346"/>
      <c r="E3196" s="320"/>
      <c r="F3196" s="320"/>
      <c r="G3196" s="320"/>
      <c r="H3196" s="332"/>
      <c r="I3196" s="320"/>
      <c r="J3196" s="321"/>
    </row>
    <row r="3197" spans="1:10" x14ac:dyDescent="0.25">
      <c r="A3197" s="303"/>
      <c r="B3197" s="333" t="s">
        <v>346</v>
      </c>
      <c r="C3197" s="317"/>
      <c r="D3197" s="346"/>
      <c r="E3197" s="320"/>
      <c r="F3197" s="320"/>
      <c r="G3197" s="320"/>
      <c r="H3197" s="332"/>
      <c r="I3197" s="320"/>
      <c r="J3197" s="321"/>
    </row>
    <row r="3198" spans="1:10" x14ac:dyDescent="0.25">
      <c r="A3198" s="303"/>
      <c r="B3198" s="333" t="s">
        <v>346</v>
      </c>
      <c r="C3198" s="317"/>
      <c r="D3198" s="346"/>
      <c r="E3198" s="320"/>
      <c r="F3198" s="320"/>
      <c r="G3198" s="320"/>
      <c r="H3198" s="332"/>
      <c r="I3198" s="320"/>
      <c r="J3198" s="321"/>
    </row>
    <row r="3199" spans="1:10" x14ac:dyDescent="0.25">
      <c r="A3199" s="303"/>
      <c r="B3199" s="333" t="s">
        <v>346</v>
      </c>
      <c r="C3199" s="317"/>
      <c r="D3199" s="346"/>
      <c r="E3199" s="320"/>
      <c r="F3199" s="320"/>
      <c r="G3199" s="320"/>
      <c r="H3199" s="332"/>
      <c r="I3199" s="320"/>
      <c r="J3199" s="321"/>
    </row>
    <row r="3200" spans="1:10" x14ac:dyDescent="0.25">
      <c r="A3200" s="303"/>
      <c r="B3200" s="310"/>
      <c r="C3200" s="334"/>
      <c r="D3200" s="312"/>
      <c r="E3200" s="313"/>
      <c r="F3200" s="313"/>
      <c r="G3200" s="313"/>
      <c r="H3200" s="313"/>
      <c r="I3200" s="338" t="s">
        <v>513</v>
      </c>
      <c r="J3200" s="315">
        <v>11.3438</v>
      </c>
    </row>
    <row r="3201" spans="1:10" x14ac:dyDescent="0.25">
      <c r="A3201" s="303"/>
      <c r="B3201" s="310" t="s">
        <v>514</v>
      </c>
      <c r="C3201" s="334"/>
      <c r="D3201" s="312"/>
      <c r="E3201" s="313"/>
      <c r="F3201" s="313"/>
      <c r="G3201" s="313"/>
      <c r="H3201" s="313"/>
      <c r="I3201" s="313"/>
      <c r="J3201" s="315">
        <v>31.222500000000004</v>
      </c>
    </row>
    <row r="3202" spans="1:10" x14ac:dyDescent="0.25">
      <c r="A3202" s="303"/>
      <c r="B3202" s="310" t="s">
        <v>515</v>
      </c>
      <c r="C3202" s="334"/>
      <c r="D3202" s="312">
        <v>0</v>
      </c>
      <c r="E3202" s="313"/>
      <c r="F3202" s="313"/>
      <c r="G3202" s="313"/>
      <c r="H3202" s="313"/>
      <c r="I3202" s="313"/>
      <c r="J3202" s="315">
        <v>0</v>
      </c>
    </row>
    <row r="3203" spans="1:10" ht="14.4" thickBot="1" x14ac:dyDescent="0.3">
      <c r="A3203" s="303"/>
      <c r="B3203" s="310" t="s">
        <v>516</v>
      </c>
      <c r="C3203" s="334"/>
      <c r="D3203" s="312"/>
      <c r="E3203" s="313"/>
      <c r="F3203" s="313"/>
      <c r="G3203" s="313"/>
      <c r="H3203" s="313"/>
      <c r="I3203" s="313"/>
      <c r="J3203" s="347">
        <v>31.22</v>
      </c>
    </row>
    <row r="3204" spans="1:10" x14ac:dyDescent="0.25">
      <c r="A3204" s="303"/>
      <c r="B3204" s="304"/>
      <c r="C3204" s="305"/>
      <c r="D3204" s="348"/>
      <c r="E3204" s="308"/>
      <c r="F3204" s="308"/>
      <c r="G3204" s="308"/>
      <c r="H3204" s="308"/>
      <c r="I3204" s="308"/>
      <c r="J3204" s="309"/>
    </row>
    <row r="3205" spans="1:10" x14ac:dyDescent="0.25">
      <c r="A3205" s="303"/>
      <c r="B3205" s="316"/>
      <c r="C3205" s="303"/>
      <c r="D3205" s="318"/>
      <c r="E3205" s="319"/>
      <c r="F3205" s="319"/>
      <c r="G3205" s="319"/>
      <c r="H3205" s="319"/>
      <c r="I3205" s="319"/>
      <c r="J3205" s="349"/>
    </row>
    <row r="3206" spans="1:10" x14ac:dyDescent="0.25">
      <c r="A3206" s="303"/>
      <c r="B3206" s="316"/>
      <c r="C3206" s="303"/>
      <c r="D3206" s="318"/>
      <c r="E3206" s="319"/>
      <c r="F3206" s="319"/>
      <c r="G3206" s="319"/>
      <c r="H3206" s="319"/>
      <c r="I3206" s="319"/>
      <c r="J3206" s="349"/>
    </row>
    <row r="3207" spans="1:10" ht="14.4" thickBot="1" x14ac:dyDescent="0.3">
      <c r="A3207" s="303"/>
      <c r="B3207" s="350"/>
      <c r="C3207" s="303"/>
      <c r="D3207" s="318"/>
      <c r="E3207" s="319"/>
      <c r="F3207" s="319"/>
      <c r="G3207" s="319"/>
      <c r="H3207" s="319"/>
      <c r="I3207" s="319"/>
      <c r="J3207" s="351"/>
    </row>
    <row r="3208" spans="1:10" x14ac:dyDescent="0.25">
      <c r="A3208" s="303"/>
      <c r="B3208" s="305"/>
      <c r="C3208" s="305"/>
      <c r="D3208" s="348"/>
      <c r="E3208" s="308"/>
      <c r="F3208" s="308"/>
      <c r="G3208" s="308"/>
      <c r="H3208" s="308"/>
      <c r="I3208" s="308"/>
      <c r="J3208" s="352"/>
    </row>
    <row r="3209" spans="1:10" ht="14.4" thickBot="1" x14ac:dyDescent="0.3">
      <c r="A3209" s="303"/>
      <c r="B3209" s="303"/>
      <c r="C3209" s="303"/>
      <c r="D3209" s="318"/>
      <c r="E3209" s="319"/>
      <c r="F3209" s="319"/>
      <c r="G3209" s="319"/>
      <c r="H3209" s="319"/>
      <c r="I3209" s="319"/>
      <c r="J3209" s="353"/>
    </row>
    <row r="3210" spans="1:10" x14ac:dyDescent="0.25">
      <c r="A3210" s="303"/>
      <c r="B3210" s="304"/>
      <c r="C3210" s="305"/>
      <c r="D3210" s="306" t="s">
        <v>463</v>
      </c>
      <c r="E3210" s="307"/>
      <c r="F3210" s="307"/>
      <c r="G3210" s="308"/>
      <c r="H3210" s="308"/>
      <c r="I3210" s="308"/>
      <c r="J3210" s="309"/>
    </row>
    <row r="3211" spans="1:10" x14ac:dyDescent="0.25">
      <c r="A3211" s="303"/>
      <c r="B3211" s="310" t="s">
        <v>464</v>
      </c>
      <c r="C3211" s="311" t="s">
        <v>134</v>
      </c>
      <c r="D3211" s="312"/>
      <c r="E3211" s="313"/>
      <c r="F3211" s="313"/>
      <c r="G3211" s="313"/>
      <c r="H3211" s="314"/>
      <c r="I3211" s="313"/>
      <c r="J3211" s="315" t="s">
        <v>465</v>
      </c>
    </row>
    <row r="3212" spans="1:10" x14ac:dyDescent="0.25">
      <c r="A3212" s="303"/>
      <c r="B3212" s="316">
        <v>4915740</v>
      </c>
      <c r="C3212" s="317" t="s">
        <v>410</v>
      </c>
      <c r="D3212" s="318"/>
      <c r="E3212" s="319"/>
      <c r="F3212" s="319"/>
      <c r="G3212" s="319"/>
      <c r="H3212" s="320"/>
      <c r="I3212" s="319"/>
      <c r="J3212" s="321" t="s">
        <v>411</v>
      </c>
    </row>
    <row r="3213" spans="1:10" x14ac:dyDescent="0.25">
      <c r="A3213" s="303"/>
      <c r="B3213" s="310"/>
      <c r="C3213" s="311"/>
      <c r="D3213" s="312"/>
      <c r="E3213" s="314"/>
      <c r="F3213" s="314" t="s">
        <v>466</v>
      </c>
      <c r="G3213" s="314"/>
      <c r="H3213" s="314" t="s">
        <v>467</v>
      </c>
      <c r="I3213" s="314"/>
      <c r="J3213" s="322" t="s">
        <v>468</v>
      </c>
    </row>
    <row r="3214" spans="1:10" x14ac:dyDescent="0.25">
      <c r="A3214" s="303"/>
      <c r="B3214" s="316" t="s">
        <v>464</v>
      </c>
      <c r="C3214" s="317" t="s">
        <v>469</v>
      </c>
      <c r="D3214" s="318"/>
      <c r="E3214" s="323" t="s">
        <v>355</v>
      </c>
      <c r="F3214" s="324" t="s">
        <v>470</v>
      </c>
      <c r="G3214" s="324" t="s">
        <v>471</v>
      </c>
      <c r="H3214" s="324" t="s">
        <v>472</v>
      </c>
      <c r="I3214" s="325" t="s">
        <v>473</v>
      </c>
      <c r="J3214" s="326" t="s">
        <v>474</v>
      </c>
    </row>
    <row r="3215" spans="1:10" x14ac:dyDescent="0.25">
      <c r="A3215" s="303"/>
      <c r="B3215" s="337" t="s">
        <v>346</v>
      </c>
      <c r="C3215" s="311"/>
      <c r="D3215" s="312"/>
      <c r="E3215" s="328"/>
      <c r="F3215" s="328"/>
      <c r="G3215" s="328"/>
      <c r="H3215" s="329"/>
      <c r="I3215" s="329"/>
      <c r="J3215" s="315"/>
    </row>
    <row r="3216" spans="1:10" x14ac:dyDescent="0.25">
      <c r="A3216" s="303"/>
      <c r="B3216" s="333" t="s">
        <v>346</v>
      </c>
      <c r="C3216" s="317"/>
      <c r="D3216" s="318"/>
      <c r="E3216" s="331"/>
      <c r="F3216" s="331"/>
      <c r="G3216" s="331"/>
      <c r="H3216" s="332"/>
      <c r="I3216" s="332"/>
      <c r="J3216" s="321"/>
    </row>
    <row r="3217" spans="1:10" x14ac:dyDescent="0.25">
      <c r="A3217" s="303"/>
      <c r="B3217" s="333" t="s">
        <v>346</v>
      </c>
      <c r="C3217" s="317"/>
      <c r="D3217" s="318"/>
      <c r="E3217" s="331"/>
      <c r="F3217" s="331"/>
      <c r="G3217" s="331"/>
      <c r="H3217" s="332"/>
      <c r="I3217" s="332"/>
      <c r="J3217" s="321"/>
    </row>
    <row r="3218" spans="1:10" x14ac:dyDescent="0.25">
      <c r="A3218" s="303"/>
      <c r="B3218" s="333" t="s">
        <v>346</v>
      </c>
      <c r="C3218" s="317"/>
      <c r="D3218" s="318"/>
      <c r="E3218" s="331"/>
      <c r="F3218" s="331"/>
      <c r="G3218" s="331"/>
      <c r="H3218" s="332"/>
      <c r="I3218" s="332"/>
      <c r="J3218" s="321"/>
    </row>
    <row r="3219" spans="1:10" x14ac:dyDescent="0.25">
      <c r="A3219" s="303"/>
      <c r="B3219" s="333" t="s">
        <v>346</v>
      </c>
      <c r="C3219" s="317"/>
      <c r="D3219" s="318"/>
      <c r="E3219" s="331"/>
      <c r="F3219" s="331"/>
      <c r="G3219" s="331"/>
      <c r="H3219" s="332"/>
      <c r="I3219" s="332"/>
      <c r="J3219" s="321"/>
    </row>
    <row r="3220" spans="1:10" x14ac:dyDescent="0.25">
      <c r="A3220" s="303"/>
      <c r="B3220" s="333" t="s">
        <v>346</v>
      </c>
      <c r="C3220" s="317"/>
      <c r="D3220" s="318"/>
      <c r="E3220" s="331"/>
      <c r="F3220" s="331"/>
      <c r="G3220" s="331"/>
      <c r="H3220" s="332"/>
      <c r="I3220" s="332"/>
      <c r="J3220" s="321"/>
    </row>
    <row r="3221" spans="1:10" x14ac:dyDescent="0.25">
      <c r="A3221" s="303"/>
      <c r="B3221" s="333" t="s">
        <v>346</v>
      </c>
      <c r="C3221" s="317"/>
      <c r="D3221" s="318"/>
      <c r="E3221" s="331"/>
      <c r="F3221" s="331"/>
      <c r="G3221" s="331"/>
      <c r="H3221" s="332"/>
      <c r="I3221" s="332"/>
      <c r="J3221" s="321"/>
    </row>
    <row r="3222" spans="1:10" x14ac:dyDescent="0.25">
      <c r="A3222" s="303"/>
      <c r="B3222" s="310"/>
      <c r="C3222" s="334"/>
      <c r="D3222" s="312"/>
      <c r="E3222" s="313"/>
      <c r="F3222" s="313"/>
      <c r="G3222" s="313"/>
      <c r="H3222" s="313"/>
      <c r="I3222" s="335" t="s">
        <v>479</v>
      </c>
      <c r="J3222" s="315">
        <v>0</v>
      </c>
    </row>
    <row r="3223" spans="1:10" x14ac:dyDescent="0.25">
      <c r="A3223" s="303"/>
      <c r="B3223" s="310" t="s">
        <v>464</v>
      </c>
      <c r="C3223" s="311" t="s">
        <v>480</v>
      </c>
      <c r="D3223" s="312"/>
      <c r="E3223" s="313"/>
      <c r="F3223" s="313"/>
      <c r="G3223" s="313"/>
      <c r="H3223" s="324" t="s">
        <v>355</v>
      </c>
      <c r="I3223" s="336" t="s">
        <v>481</v>
      </c>
      <c r="J3223" s="322" t="s">
        <v>331</v>
      </c>
    </row>
    <row r="3224" spans="1:10" x14ac:dyDescent="0.25">
      <c r="A3224" s="303"/>
      <c r="B3224" s="337" t="s">
        <v>482</v>
      </c>
      <c r="C3224" s="311" t="s">
        <v>483</v>
      </c>
      <c r="D3224" s="312"/>
      <c r="E3224" s="313"/>
      <c r="F3224" s="313"/>
      <c r="G3224" s="313"/>
      <c r="H3224" s="314">
        <v>10</v>
      </c>
      <c r="I3224" s="329">
        <v>17.768000000000001</v>
      </c>
      <c r="J3224" s="315">
        <v>177.68</v>
      </c>
    </row>
    <row r="3225" spans="1:10" x14ac:dyDescent="0.25">
      <c r="A3225" s="303"/>
      <c r="B3225" s="333" t="s">
        <v>346</v>
      </c>
      <c r="C3225" s="317"/>
      <c r="D3225" s="318"/>
      <c r="E3225" s="319"/>
      <c r="F3225" s="319"/>
      <c r="G3225" s="319"/>
      <c r="H3225" s="320"/>
      <c r="I3225" s="332"/>
      <c r="J3225" s="321"/>
    </row>
    <row r="3226" spans="1:10" x14ac:dyDescent="0.25">
      <c r="A3226" s="303"/>
      <c r="B3226" s="333" t="s">
        <v>346</v>
      </c>
      <c r="C3226" s="317"/>
      <c r="D3226" s="318"/>
      <c r="E3226" s="319"/>
      <c r="F3226" s="319"/>
      <c r="G3226" s="319"/>
      <c r="H3226" s="320"/>
      <c r="I3226" s="332"/>
      <c r="J3226" s="321"/>
    </row>
    <row r="3227" spans="1:10" x14ac:dyDescent="0.25">
      <c r="A3227" s="303"/>
      <c r="B3227" s="333" t="s">
        <v>346</v>
      </c>
      <c r="C3227" s="317"/>
      <c r="D3227" s="318"/>
      <c r="E3227" s="319"/>
      <c r="F3227" s="319"/>
      <c r="G3227" s="319"/>
      <c r="H3227" s="320"/>
      <c r="I3227" s="332"/>
      <c r="J3227" s="321"/>
    </row>
    <row r="3228" spans="1:10" x14ac:dyDescent="0.25">
      <c r="A3228" s="303"/>
      <c r="B3228" s="333" t="s">
        <v>346</v>
      </c>
      <c r="C3228" s="317"/>
      <c r="D3228" s="318"/>
      <c r="E3228" s="319"/>
      <c r="F3228" s="319"/>
      <c r="G3228" s="319"/>
      <c r="H3228" s="320"/>
      <c r="I3228" s="332"/>
      <c r="J3228" s="321"/>
    </row>
    <row r="3229" spans="1:10" x14ac:dyDescent="0.25">
      <c r="A3229" s="303"/>
      <c r="B3229" s="333" t="s">
        <v>346</v>
      </c>
      <c r="C3229" s="317"/>
      <c r="D3229" s="318"/>
      <c r="E3229" s="319"/>
      <c r="F3229" s="319"/>
      <c r="G3229" s="319"/>
      <c r="H3229" s="320"/>
      <c r="I3229" s="332"/>
      <c r="J3229" s="321"/>
    </row>
    <row r="3230" spans="1:10" x14ac:dyDescent="0.25">
      <c r="A3230" s="303"/>
      <c r="B3230" s="333" t="s">
        <v>346</v>
      </c>
      <c r="C3230" s="317"/>
      <c r="D3230" s="318"/>
      <c r="E3230" s="319"/>
      <c r="F3230" s="319"/>
      <c r="G3230" s="319"/>
      <c r="H3230" s="320"/>
      <c r="I3230" s="332"/>
      <c r="J3230" s="321"/>
    </row>
    <row r="3231" spans="1:10" x14ac:dyDescent="0.25">
      <c r="A3231" s="303"/>
      <c r="B3231" s="310"/>
      <c r="C3231" s="334"/>
      <c r="D3231" s="312"/>
      <c r="E3231" s="313"/>
      <c r="F3231" s="313"/>
      <c r="G3231" s="313"/>
      <c r="H3231" s="313"/>
      <c r="I3231" s="338" t="s">
        <v>484</v>
      </c>
      <c r="J3231" s="315">
        <v>177.68</v>
      </c>
    </row>
    <row r="3232" spans="1:10" x14ac:dyDescent="0.25">
      <c r="A3232" s="303"/>
      <c r="B3232" s="339"/>
      <c r="C3232" s="334"/>
      <c r="D3232" s="312"/>
      <c r="E3232" s="313"/>
      <c r="F3232" s="313"/>
      <c r="G3232" s="313"/>
      <c r="H3232" s="313"/>
      <c r="I3232" s="338" t="s">
        <v>485</v>
      </c>
      <c r="J3232" s="340">
        <v>177.68</v>
      </c>
    </row>
    <row r="3233" spans="1:10" x14ac:dyDescent="0.25">
      <c r="A3233" s="303"/>
      <c r="B3233" s="339"/>
      <c r="C3233" s="341" t="s">
        <v>486</v>
      </c>
      <c r="D3233" s="312">
        <v>0.12</v>
      </c>
      <c r="E3233" s="313"/>
      <c r="F3233" s="313"/>
      <c r="G3233" s="313"/>
      <c r="H3233" s="313"/>
      <c r="I3233" s="338" t="s">
        <v>487</v>
      </c>
      <c r="J3233" s="340">
        <v>1480.6667</v>
      </c>
    </row>
    <row r="3234" spans="1:10" x14ac:dyDescent="0.25">
      <c r="A3234" s="303"/>
      <c r="B3234" s="310"/>
      <c r="C3234" s="334"/>
      <c r="D3234" s="312"/>
      <c r="E3234" s="313"/>
      <c r="F3234" s="313"/>
      <c r="G3234" s="313"/>
      <c r="H3234" s="338" t="s">
        <v>488</v>
      </c>
      <c r="I3234" s="342">
        <v>2.7799999999999998E-2</v>
      </c>
      <c r="J3234" s="315">
        <v>41.162500000000001</v>
      </c>
    </row>
    <row r="3235" spans="1:10" x14ac:dyDescent="0.25">
      <c r="A3235" s="303"/>
      <c r="B3235" s="310"/>
      <c r="C3235" s="334"/>
      <c r="D3235" s="312"/>
      <c r="E3235" s="313"/>
      <c r="F3235" s="313"/>
      <c r="G3235" s="313"/>
      <c r="H3235" s="335" t="s">
        <v>489</v>
      </c>
      <c r="I3235" s="343">
        <v>0</v>
      </c>
      <c r="J3235" s="315">
        <v>0</v>
      </c>
    </row>
    <row r="3236" spans="1:10" x14ac:dyDescent="0.25">
      <c r="A3236" s="303"/>
      <c r="B3236" s="310" t="s">
        <v>464</v>
      </c>
      <c r="C3236" s="311" t="s">
        <v>490</v>
      </c>
      <c r="D3236" s="312"/>
      <c r="E3236" s="313"/>
      <c r="F3236" s="313"/>
      <c r="G3236" s="314" t="s">
        <v>465</v>
      </c>
      <c r="H3236" s="336" t="s">
        <v>468</v>
      </c>
      <c r="I3236" s="336" t="s">
        <v>491</v>
      </c>
      <c r="J3236" s="322" t="s">
        <v>492</v>
      </c>
    </row>
    <row r="3237" spans="1:10" x14ac:dyDescent="0.25">
      <c r="A3237" s="303"/>
      <c r="B3237" s="337" t="s">
        <v>346</v>
      </c>
      <c r="C3237" s="311"/>
      <c r="D3237" s="312"/>
      <c r="E3237" s="313"/>
      <c r="F3237" s="313"/>
      <c r="G3237" s="314"/>
      <c r="H3237" s="329"/>
      <c r="I3237" s="329"/>
      <c r="J3237" s="315"/>
    </row>
    <row r="3238" spans="1:10" x14ac:dyDescent="0.25">
      <c r="A3238" s="303"/>
      <c r="B3238" s="333" t="s">
        <v>346</v>
      </c>
      <c r="C3238" s="317"/>
      <c r="D3238" s="318"/>
      <c r="E3238" s="319"/>
      <c r="F3238" s="319"/>
      <c r="G3238" s="320"/>
      <c r="H3238" s="332"/>
      <c r="I3238" s="332"/>
      <c r="J3238" s="321"/>
    </row>
    <row r="3239" spans="1:10" x14ac:dyDescent="0.25">
      <c r="A3239" s="303"/>
      <c r="B3239" s="333" t="s">
        <v>346</v>
      </c>
      <c r="C3239" s="317"/>
      <c r="D3239" s="318"/>
      <c r="E3239" s="319"/>
      <c r="F3239" s="319"/>
      <c r="G3239" s="320"/>
      <c r="H3239" s="332"/>
      <c r="I3239" s="332"/>
      <c r="J3239" s="321"/>
    </row>
    <row r="3240" spans="1:10" x14ac:dyDescent="0.25">
      <c r="A3240" s="303"/>
      <c r="B3240" s="333" t="s">
        <v>346</v>
      </c>
      <c r="C3240" s="317"/>
      <c r="D3240" s="318"/>
      <c r="E3240" s="319"/>
      <c r="F3240" s="319"/>
      <c r="G3240" s="320"/>
      <c r="H3240" s="332"/>
      <c r="I3240" s="332"/>
      <c r="J3240" s="321"/>
    </row>
    <row r="3241" spans="1:10" x14ac:dyDescent="0.25">
      <c r="A3241" s="303"/>
      <c r="B3241" s="333" t="s">
        <v>346</v>
      </c>
      <c r="C3241" s="317"/>
      <c r="D3241" s="318"/>
      <c r="E3241" s="319"/>
      <c r="F3241" s="319"/>
      <c r="G3241" s="320"/>
      <c r="H3241" s="332"/>
      <c r="I3241" s="332"/>
      <c r="J3241" s="321"/>
    </row>
    <row r="3242" spans="1:10" x14ac:dyDescent="0.25">
      <c r="A3242" s="303"/>
      <c r="B3242" s="333" t="s">
        <v>346</v>
      </c>
      <c r="C3242" s="317"/>
      <c r="D3242" s="318"/>
      <c r="E3242" s="319"/>
      <c r="F3242" s="319"/>
      <c r="G3242" s="320"/>
      <c r="H3242" s="332"/>
      <c r="I3242" s="332"/>
      <c r="J3242" s="321"/>
    </row>
    <row r="3243" spans="1:10" x14ac:dyDescent="0.25">
      <c r="A3243" s="303"/>
      <c r="B3243" s="310"/>
      <c r="C3243" s="334"/>
      <c r="D3243" s="312"/>
      <c r="E3243" s="313"/>
      <c r="F3243" s="313"/>
      <c r="G3243" s="313"/>
      <c r="H3243" s="343"/>
      <c r="I3243" s="335" t="s">
        <v>498</v>
      </c>
      <c r="J3243" s="315">
        <v>0</v>
      </c>
    </row>
    <row r="3244" spans="1:10" x14ac:dyDescent="0.25">
      <c r="A3244" s="303"/>
      <c r="B3244" s="310" t="s">
        <v>464</v>
      </c>
      <c r="C3244" s="311" t="s">
        <v>499</v>
      </c>
      <c r="D3244" s="312"/>
      <c r="E3244" s="313"/>
      <c r="F3244" s="313"/>
      <c r="G3244" s="314" t="s">
        <v>465</v>
      </c>
      <c r="H3244" s="336" t="s">
        <v>468</v>
      </c>
      <c r="I3244" s="336" t="s">
        <v>491</v>
      </c>
      <c r="J3244" s="322" t="s">
        <v>492</v>
      </c>
    </row>
    <row r="3245" spans="1:10" x14ac:dyDescent="0.25">
      <c r="A3245" s="303"/>
      <c r="B3245" s="337"/>
      <c r="C3245" s="311"/>
      <c r="D3245" s="312"/>
      <c r="E3245" s="313"/>
      <c r="F3245" s="313"/>
      <c r="G3245" s="314"/>
      <c r="H3245" s="329"/>
      <c r="I3245" s="329"/>
      <c r="J3245" s="315"/>
    </row>
    <row r="3246" spans="1:10" x14ac:dyDescent="0.25">
      <c r="A3246" s="303"/>
      <c r="B3246" s="333"/>
      <c r="C3246" s="317"/>
      <c r="D3246" s="318"/>
      <c r="E3246" s="319"/>
      <c r="F3246" s="319"/>
      <c r="G3246" s="320"/>
      <c r="H3246" s="332"/>
      <c r="I3246" s="332"/>
      <c r="J3246" s="321"/>
    </row>
    <row r="3247" spans="1:10" x14ac:dyDescent="0.25">
      <c r="A3247" s="303"/>
      <c r="B3247" s="333"/>
      <c r="C3247" s="317"/>
      <c r="D3247" s="318"/>
      <c r="E3247" s="319"/>
      <c r="F3247" s="319"/>
      <c r="G3247" s="320"/>
      <c r="H3247" s="332"/>
      <c r="I3247" s="332"/>
      <c r="J3247" s="321"/>
    </row>
    <row r="3248" spans="1:10" x14ac:dyDescent="0.25">
      <c r="A3248" s="303"/>
      <c r="B3248" s="333"/>
      <c r="C3248" s="317"/>
      <c r="D3248" s="318"/>
      <c r="E3248" s="319"/>
      <c r="F3248" s="319"/>
      <c r="G3248" s="320"/>
      <c r="H3248" s="332"/>
      <c r="I3248" s="332"/>
      <c r="J3248" s="321"/>
    </row>
    <row r="3249" spans="1:10" x14ac:dyDescent="0.25">
      <c r="A3249" s="303"/>
      <c r="B3249" s="333"/>
      <c r="C3249" s="317"/>
      <c r="D3249" s="318"/>
      <c r="E3249" s="319"/>
      <c r="F3249" s="319"/>
      <c r="G3249" s="320"/>
      <c r="H3249" s="332"/>
      <c r="I3249" s="332"/>
      <c r="J3249" s="321"/>
    </row>
    <row r="3250" spans="1:10" x14ac:dyDescent="0.25">
      <c r="A3250" s="303"/>
      <c r="B3250" s="310"/>
      <c r="C3250" s="334"/>
      <c r="D3250" s="312"/>
      <c r="E3250" s="313"/>
      <c r="F3250" s="313"/>
      <c r="G3250" s="313"/>
      <c r="H3250" s="343"/>
      <c r="I3250" s="335" t="s">
        <v>501</v>
      </c>
      <c r="J3250" s="315">
        <v>0</v>
      </c>
    </row>
    <row r="3251" spans="1:10" x14ac:dyDescent="0.25">
      <c r="A3251" s="303"/>
      <c r="B3251" s="310" t="s">
        <v>464</v>
      </c>
      <c r="C3251" s="311" t="s">
        <v>502</v>
      </c>
      <c r="D3251" s="312"/>
      <c r="E3251" s="313"/>
      <c r="F3251" s="314" t="s">
        <v>464</v>
      </c>
      <c r="G3251" s="324" t="s">
        <v>503</v>
      </c>
      <c r="H3251" s="329" t="s">
        <v>465</v>
      </c>
      <c r="I3251" s="336" t="s">
        <v>468</v>
      </c>
      <c r="J3251" s="322" t="s">
        <v>492</v>
      </c>
    </row>
    <row r="3252" spans="1:10" x14ac:dyDescent="0.25">
      <c r="A3252" s="303"/>
      <c r="B3252" s="337" t="s">
        <v>346</v>
      </c>
      <c r="C3252" s="311"/>
      <c r="D3252" s="312"/>
      <c r="E3252" s="313"/>
      <c r="F3252" s="314"/>
      <c r="G3252" s="314"/>
      <c r="H3252" s="329"/>
      <c r="I3252" s="329"/>
      <c r="J3252" s="315"/>
    </row>
    <row r="3253" spans="1:10" x14ac:dyDescent="0.25">
      <c r="A3253" s="303"/>
      <c r="B3253" s="333" t="s">
        <v>346</v>
      </c>
      <c r="C3253" s="317"/>
      <c r="D3253" s="318"/>
      <c r="E3253" s="319"/>
      <c r="F3253" s="320"/>
      <c r="G3253" s="320"/>
      <c r="H3253" s="332"/>
      <c r="I3253" s="332"/>
      <c r="J3253" s="321"/>
    </row>
    <row r="3254" spans="1:10" x14ac:dyDescent="0.25">
      <c r="A3254" s="303"/>
      <c r="B3254" s="333" t="s">
        <v>346</v>
      </c>
      <c r="C3254" s="317"/>
      <c r="D3254" s="318"/>
      <c r="E3254" s="319"/>
      <c r="F3254" s="320"/>
      <c r="G3254" s="320"/>
      <c r="H3254" s="332"/>
      <c r="I3254" s="332"/>
      <c r="J3254" s="321"/>
    </row>
    <row r="3255" spans="1:10" x14ac:dyDescent="0.25">
      <c r="A3255" s="303"/>
      <c r="B3255" s="333" t="s">
        <v>346</v>
      </c>
      <c r="C3255" s="317"/>
      <c r="D3255" s="318"/>
      <c r="E3255" s="319"/>
      <c r="F3255" s="320"/>
      <c r="G3255" s="320"/>
      <c r="H3255" s="332"/>
      <c r="I3255" s="332"/>
      <c r="J3255" s="321"/>
    </row>
    <row r="3256" spans="1:10" x14ac:dyDescent="0.25">
      <c r="A3256" s="303"/>
      <c r="B3256" s="333" t="s">
        <v>346</v>
      </c>
      <c r="C3256" s="317"/>
      <c r="D3256" s="318"/>
      <c r="E3256" s="319"/>
      <c r="F3256" s="320"/>
      <c r="G3256" s="320"/>
      <c r="H3256" s="332"/>
      <c r="I3256" s="332"/>
      <c r="J3256" s="321"/>
    </row>
    <row r="3257" spans="1:10" x14ac:dyDescent="0.25">
      <c r="A3257" s="303"/>
      <c r="B3257" s="310"/>
      <c r="C3257" s="334"/>
      <c r="D3257" s="312"/>
      <c r="E3257" s="313"/>
      <c r="F3257" s="313"/>
      <c r="G3257" s="313"/>
      <c r="H3257" s="343"/>
      <c r="I3257" s="338" t="s">
        <v>507</v>
      </c>
      <c r="J3257" s="315">
        <v>0</v>
      </c>
    </row>
    <row r="3258" spans="1:10" x14ac:dyDescent="0.25">
      <c r="A3258" s="303"/>
      <c r="B3258" s="310" t="s">
        <v>464</v>
      </c>
      <c r="C3258" s="311" t="s">
        <v>508</v>
      </c>
      <c r="D3258" s="345" t="s">
        <v>509</v>
      </c>
      <c r="E3258" s="324" t="s">
        <v>873</v>
      </c>
      <c r="F3258" s="324" t="s">
        <v>874</v>
      </c>
      <c r="G3258" s="324" t="s">
        <v>875</v>
      </c>
      <c r="H3258" s="336" t="s">
        <v>468</v>
      </c>
      <c r="I3258" s="324" t="s">
        <v>491</v>
      </c>
      <c r="J3258" s="322" t="s">
        <v>492</v>
      </c>
    </row>
    <row r="3259" spans="1:10" x14ac:dyDescent="0.25">
      <c r="A3259" s="303"/>
      <c r="B3259" s="337" t="s">
        <v>346</v>
      </c>
      <c r="C3259" s="311"/>
      <c r="D3259" s="345"/>
      <c r="E3259" s="314"/>
      <c r="F3259" s="314"/>
      <c r="G3259" s="314"/>
      <c r="H3259" s="329"/>
      <c r="I3259" s="314"/>
      <c r="J3259" s="315"/>
    </row>
    <row r="3260" spans="1:10" x14ac:dyDescent="0.25">
      <c r="A3260" s="303"/>
      <c r="B3260" s="333" t="s">
        <v>346</v>
      </c>
      <c r="C3260" s="317"/>
      <c r="D3260" s="346"/>
      <c r="E3260" s="320"/>
      <c r="F3260" s="320"/>
      <c r="G3260" s="320"/>
      <c r="H3260" s="332"/>
      <c r="I3260" s="320"/>
      <c r="J3260" s="321"/>
    </row>
    <row r="3261" spans="1:10" x14ac:dyDescent="0.25">
      <c r="A3261" s="303"/>
      <c r="B3261" s="333" t="s">
        <v>346</v>
      </c>
      <c r="C3261" s="317"/>
      <c r="D3261" s="346"/>
      <c r="E3261" s="320"/>
      <c r="F3261" s="320"/>
      <c r="G3261" s="320"/>
      <c r="H3261" s="332"/>
      <c r="I3261" s="320"/>
      <c r="J3261" s="321"/>
    </row>
    <row r="3262" spans="1:10" x14ac:dyDescent="0.25">
      <c r="A3262" s="303"/>
      <c r="B3262" s="333" t="s">
        <v>346</v>
      </c>
      <c r="C3262" s="317"/>
      <c r="D3262" s="346"/>
      <c r="E3262" s="320"/>
      <c r="F3262" s="320"/>
      <c r="G3262" s="320"/>
      <c r="H3262" s="332"/>
      <c r="I3262" s="320"/>
      <c r="J3262" s="321"/>
    </row>
    <row r="3263" spans="1:10" x14ac:dyDescent="0.25">
      <c r="A3263" s="303"/>
      <c r="B3263" s="333" t="s">
        <v>346</v>
      </c>
      <c r="C3263" s="317"/>
      <c r="D3263" s="346"/>
      <c r="E3263" s="320"/>
      <c r="F3263" s="320"/>
      <c r="G3263" s="320"/>
      <c r="H3263" s="332"/>
      <c r="I3263" s="320"/>
      <c r="J3263" s="321"/>
    </row>
    <row r="3264" spans="1:10" x14ac:dyDescent="0.25">
      <c r="A3264" s="303"/>
      <c r="B3264" s="333" t="s">
        <v>346</v>
      </c>
      <c r="C3264" s="317"/>
      <c r="D3264" s="346"/>
      <c r="E3264" s="320"/>
      <c r="F3264" s="320"/>
      <c r="G3264" s="320"/>
      <c r="H3264" s="332"/>
      <c r="I3264" s="320"/>
      <c r="J3264" s="321"/>
    </row>
    <row r="3265" spans="1:10" x14ac:dyDescent="0.25">
      <c r="A3265" s="303"/>
      <c r="B3265" s="333" t="s">
        <v>346</v>
      </c>
      <c r="C3265" s="317"/>
      <c r="D3265" s="346"/>
      <c r="E3265" s="320"/>
      <c r="F3265" s="320"/>
      <c r="G3265" s="320"/>
      <c r="H3265" s="332"/>
      <c r="I3265" s="320"/>
      <c r="J3265" s="321"/>
    </row>
    <row r="3266" spans="1:10" x14ac:dyDescent="0.25">
      <c r="A3266" s="303"/>
      <c r="B3266" s="310"/>
      <c r="C3266" s="334"/>
      <c r="D3266" s="312"/>
      <c r="E3266" s="313"/>
      <c r="F3266" s="313"/>
      <c r="G3266" s="313"/>
      <c r="H3266" s="313"/>
      <c r="I3266" s="338" t="s">
        <v>513</v>
      </c>
      <c r="J3266" s="315">
        <v>0</v>
      </c>
    </row>
    <row r="3267" spans="1:10" x14ac:dyDescent="0.25">
      <c r="A3267" s="303"/>
      <c r="B3267" s="310" t="s">
        <v>514</v>
      </c>
      <c r="C3267" s="334"/>
      <c r="D3267" s="312"/>
      <c r="E3267" s="313"/>
      <c r="F3267" s="313"/>
      <c r="G3267" s="313"/>
      <c r="H3267" s="313"/>
      <c r="I3267" s="313"/>
      <c r="J3267" s="315">
        <v>1521.8291999999999</v>
      </c>
    </row>
    <row r="3268" spans="1:10" x14ac:dyDescent="0.25">
      <c r="A3268" s="303"/>
      <c r="B3268" s="310" t="s">
        <v>515</v>
      </c>
      <c r="C3268" s="334"/>
      <c r="D3268" s="312">
        <v>0</v>
      </c>
      <c r="E3268" s="313"/>
      <c r="F3268" s="313"/>
      <c r="G3268" s="313"/>
      <c r="H3268" s="313"/>
      <c r="I3268" s="313"/>
      <c r="J3268" s="315">
        <v>0</v>
      </c>
    </row>
    <row r="3269" spans="1:10" ht="14.4" thickBot="1" x14ac:dyDescent="0.3">
      <c r="A3269" s="303"/>
      <c r="B3269" s="310" t="s">
        <v>516</v>
      </c>
      <c r="C3269" s="334"/>
      <c r="D3269" s="312"/>
      <c r="E3269" s="313"/>
      <c r="F3269" s="313"/>
      <c r="G3269" s="313"/>
      <c r="H3269" s="313"/>
      <c r="I3269" s="313"/>
      <c r="J3269" s="347">
        <v>1521.83</v>
      </c>
    </row>
    <row r="3270" spans="1:10" x14ac:dyDescent="0.25">
      <c r="A3270" s="303"/>
      <c r="B3270" s="304"/>
      <c r="C3270" s="305"/>
      <c r="D3270" s="348"/>
      <c r="E3270" s="308"/>
      <c r="F3270" s="308"/>
      <c r="G3270" s="308"/>
      <c r="H3270" s="308"/>
      <c r="I3270" s="308"/>
      <c r="J3270" s="309"/>
    </row>
    <row r="3271" spans="1:10" x14ac:dyDescent="0.25">
      <c r="A3271" s="303"/>
      <c r="B3271" s="316"/>
      <c r="C3271" s="303"/>
      <c r="D3271" s="318"/>
      <c r="E3271" s="319"/>
      <c r="F3271" s="319"/>
      <c r="G3271" s="319"/>
      <c r="H3271" s="319"/>
      <c r="I3271" s="319"/>
      <c r="J3271" s="349"/>
    </row>
    <row r="3272" spans="1:10" x14ac:dyDescent="0.25">
      <c r="A3272" s="303"/>
      <c r="B3272" s="316"/>
      <c r="C3272" s="303"/>
      <c r="D3272" s="318"/>
      <c r="E3272" s="319"/>
      <c r="F3272" s="319"/>
      <c r="G3272" s="319"/>
      <c r="H3272" s="319"/>
      <c r="I3272" s="319"/>
      <c r="J3272" s="349"/>
    </row>
    <row r="3273" spans="1:10" ht="14.4" thickBot="1" x14ac:dyDescent="0.3">
      <c r="A3273" s="303"/>
      <c r="B3273" s="350"/>
      <c r="C3273" s="303"/>
      <c r="D3273" s="318"/>
      <c r="E3273" s="319"/>
      <c r="F3273" s="319"/>
      <c r="G3273" s="319"/>
      <c r="H3273" s="319"/>
      <c r="I3273" s="319"/>
      <c r="J3273" s="351"/>
    </row>
    <row r="3274" spans="1:10" x14ac:dyDescent="0.25">
      <c r="A3274" s="303"/>
      <c r="B3274" s="305"/>
      <c r="C3274" s="305"/>
      <c r="D3274" s="348"/>
      <c r="E3274" s="308"/>
      <c r="F3274" s="308"/>
      <c r="G3274" s="308"/>
      <c r="H3274" s="308"/>
      <c r="I3274" s="308"/>
      <c r="J3274" s="352"/>
    </row>
    <row r="3275" spans="1:10" ht="14.4" thickBot="1" x14ac:dyDescent="0.3">
      <c r="A3275" s="303"/>
      <c r="B3275" s="303"/>
      <c r="C3275" s="303"/>
      <c r="D3275" s="318"/>
      <c r="E3275" s="319"/>
      <c r="F3275" s="319"/>
      <c r="G3275" s="319"/>
      <c r="H3275" s="319"/>
      <c r="I3275" s="319"/>
      <c r="J3275" s="353"/>
    </row>
    <row r="3276" spans="1:10" x14ac:dyDescent="0.25">
      <c r="A3276" s="303"/>
      <c r="B3276" s="304"/>
      <c r="C3276" s="305"/>
      <c r="D3276" s="306" t="s">
        <v>463</v>
      </c>
      <c r="E3276" s="307"/>
      <c r="F3276" s="307"/>
      <c r="G3276" s="308"/>
      <c r="H3276" s="308"/>
      <c r="I3276" s="308"/>
      <c r="J3276" s="309"/>
    </row>
    <row r="3277" spans="1:10" x14ac:dyDescent="0.25">
      <c r="A3277" s="303"/>
      <c r="B3277" s="310" t="s">
        <v>464</v>
      </c>
      <c r="C3277" s="311" t="s">
        <v>134</v>
      </c>
      <c r="D3277" s="312"/>
      <c r="E3277" s="313"/>
      <c r="F3277" s="313"/>
      <c r="G3277" s="313"/>
      <c r="H3277" s="314"/>
      <c r="I3277" s="313"/>
      <c r="J3277" s="315" t="s">
        <v>465</v>
      </c>
    </row>
    <row r="3278" spans="1:10" x14ac:dyDescent="0.25">
      <c r="A3278" s="303"/>
      <c r="B3278" s="316">
        <v>4915742</v>
      </c>
      <c r="C3278" s="317" t="s">
        <v>412</v>
      </c>
      <c r="D3278" s="318"/>
      <c r="E3278" s="319"/>
      <c r="F3278" s="319"/>
      <c r="G3278" s="319"/>
      <c r="H3278" s="320"/>
      <c r="I3278" s="319"/>
      <c r="J3278" s="321" t="s">
        <v>411</v>
      </c>
    </row>
    <row r="3279" spans="1:10" x14ac:dyDescent="0.25">
      <c r="A3279" s="303"/>
      <c r="B3279" s="310"/>
      <c r="C3279" s="311"/>
      <c r="D3279" s="312"/>
      <c r="E3279" s="314"/>
      <c r="F3279" s="314" t="s">
        <v>466</v>
      </c>
      <c r="G3279" s="314"/>
      <c r="H3279" s="314" t="s">
        <v>467</v>
      </c>
      <c r="I3279" s="314"/>
      <c r="J3279" s="322" t="s">
        <v>468</v>
      </c>
    </row>
    <row r="3280" spans="1:10" x14ac:dyDescent="0.25">
      <c r="A3280" s="303"/>
      <c r="B3280" s="316" t="s">
        <v>464</v>
      </c>
      <c r="C3280" s="317" t="s">
        <v>469</v>
      </c>
      <c r="D3280" s="318"/>
      <c r="E3280" s="323" t="s">
        <v>355</v>
      </c>
      <c r="F3280" s="324" t="s">
        <v>470</v>
      </c>
      <c r="G3280" s="324" t="s">
        <v>471</v>
      </c>
      <c r="H3280" s="324" t="s">
        <v>472</v>
      </c>
      <c r="I3280" s="325" t="s">
        <v>473</v>
      </c>
      <c r="J3280" s="326" t="s">
        <v>474</v>
      </c>
    </row>
    <row r="3281" spans="1:10" x14ac:dyDescent="0.25">
      <c r="A3281" s="303"/>
      <c r="B3281" s="327" t="s">
        <v>764</v>
      </c>
      <c r="C3281" s="311" t="s">
        <v>995</v>
      </c>
      <c r="D3281" s="312"/>
      <c r="E3281" s="328">
        <v>1</v>
      </c>
      <c r="F3281" s="328">
        <v>1</v>
      </c>
      <c r="G3281" s="328">
        <v>0</v>
      </c>
      <c r="H3281" s="329">
        <v>102.37090000000001</v>
      </c>
      <c r="I3281" s="329">
        <v>34.879600000000003</v>
      </c>
      <c r="J3281" s="315">
        <v>102.37090000000001</v>
      </c>
    </row>
    <row r="3282" spans="1:10" x14ac:dyDescent="0.25">
      <c r="A3282" s="303"/>
      <c r="B3282" s="333" t="s">
        <v>346</v>
      </c>
      <c r="C3282" s="317"/>
      <c r="D3282" s="318"/>
      <c r="E3282" s="331"/>
      <c r="F3282" s="331"/>
      <c r="G3282" s="331"/>
      <c r="H3282" s="332"/>
      <c r="I3282" s="332"/>
      <c r="J3282" s="321"/>
    </row>
    <row r="3283" spans="1:10" x14ac:dyDescent="0.25">
      <c r="A3283" s="303"/>
      <c r="B3283" s="333" t="s">
        <v>346</v>
      </c>
      <c r="C3283" s="317"/>
      <c r="D3283" s="318"/>
      <c r="E3283" s="331"/>
      <c r="F3283" s="331"/>
      <c r="G3283" s="331"/>
      <c r="H3283" s="332"/>
      <c r="I3283" s="332"/>
      <c r="J3283" s="321"/>
    </row>
    <row r="3284" spans="1:10" x14ac:dyDescent="0.25">
      <c r="A3284" s="303"/>
      <c r="B3284" s="333" t="s">
        <v>346</v>
      </c>
      <c r="C3284" s="317"/>
      <c r="D3284" s="318"/>
      <c r="E3284" s="331"/>
      <c r="F3284" s="331"/>
      <c r="G3284" s="331"/>
      <c r="H3284" s="332"/>
      <c r="I3284" s="332"/>
      <c r="J3284" s="321"/>
    </row>
    <row r="3285" spans="1:10" x14ac:dyDescent="0.25">
      <c r="A3285" s="303"/>
      <c r="B3285" s="333" t="s">
        <v>346</v>
      </c>
      <c r="C3285" s="317"/>
      <c r="D3285" s="318"/>
      <c r="E3285" s="331"/>
      <c r="F3285" s="331"/>
      <c r="G3285" s="331"/>
      <c r="H3285" s="332"/>
      <c r="I3285" s="332"/>
      <c r="J3285" s="321"/>
    </row>
    <row r="3286" spans="1:10" x14ac:dyDescent="0.25">
      <c r="A3286" s="303"/>
      <c r="B3286" s="333" t="s">
        <v>346</v>
      </c>
      <c r="C3286" s="317"/>
      <c r="D3286" s="318"/>
      <c r="E3286" s="331"/>
      <c r="F3286" s="331"/>
      <c r="G3286" s="331"/>
      <c r="H3286" s="332"/>
      <c r="I3286" s="332"/>
      <c r="J3286" s="321"/>
    </row>
    <row r="3287" spans="1:10" x14ac:dyDescent="0.25">
      <c r="A3287" s="303"/>
      <c r="B3287" s="333" t="s">
        <v>346</v>
      </c>
      <c r="C3287" s="317"/>
      <c r="D3287" s="318"/>
      <c r="E3287" s="331"/>
      <c r="F3287" s="331"/>
      <c r="G3287" s="331"/>
      <c r="H3287" s="332"/>
      <c r="I3287" s="332"/>
      <c r="J3287" s="321"/>
    </row>
    <row r="3288" spans="1:10" x14ac:dyDescent="0.25">
      <c r="A3288" s="303"/>
      <c r="B3288" s="310"/>
      <c r="C3288" s="334"/>
      <c r="D3288" s="312"/>
      <c r="E3288" s="313"/>
      <c r="F3288" s="313"/>
      <c r="G3288" s="313"/>
      <c r="H3288" s="313"/>
      <c r="I3288" s="335" t="s">
        <v>479</v>
      </c>
      <c r="J3288" s="315">
        <v>102.37090000000001</v>
      </c>
    </row>
    <row r="3289" spans="1:10" x14ac:dyDescent="0.25">
      <c r="A3289" s="303"/>
      <c r="B3289" s="310" t="s">
        <v>464</v>
      </c>
      <c r="C3289" s="311" t="s">
        <v>480</v>
      </c>
      <c r="D3289" s="312"/>
      <c r="E3289" s="313"/>
      <c r="F3289" s="313"/>
      <c r="G3289" s="313"/>
      <c r="H3289" s="324" t="s">
        <v>355</v>
      </c>
      <c r="I3289" s="336" t="s">
        <v>481</v>
      </c>
      <c r="J3289" s="322" t="s">
        <v>331</v>
      </c>
    </row>
    <row r="3290" spans="1:10" x14ac:dyDescent="0.25">
      <c r="A3290" s="303"/>
      <c r="B3290" s="337" t="s">
        <v>482</v>
      </c>
      <c r="C3290" s="311" t="s">
        <v>483</v>
      </c>
      <c r="D3290" s="312"/>
      <c r="E3290" s="313"/>
      <c r="F3290" s="313"/>
      <c r="G3290" s="313"/>
      <c r="H3290" s="314">
        <v>2</v>
      </c>
      <c r="I3290" s="329">
        <v>17.768000000000001</v>
      </c>
      <c r="J3290" s="315">
        <v>35.536000000000001</v>
      </c>
    </row>
    <row r="3291" spans="1:10" x14ac:dyDescent="0.25">
      <c r="A3291" s="303"/>
      <c r="B3291" s="333" t="s">
        <v>346</v>
      </c>
      <c r="C3291" s="317"/>
      <c r="D3291" s="318"/>
      <c r="E3291" s="319"/>
      <c r="F3291" s="319"/>
      <c r="G3291" s="319"/>
      <c r="H3291" s="320"/>
      <c r="I3291" s="332"/>
      <c r="J3291" s="321"/>
    </row>
    <row r="3292" spans="1:10" x14ac:dyDescent="0.25">
      <c r="A3292" s="303"/>
      <c r="B3292" s="333" t="s">
        <v>346</v>
      </c>
      <c r="C3292" s="317"/>
      <c r="D3292" s="318"/>
      <c r="E3292" s="319"/>
      <c r="F3292" s="319"/>
      <c r="G3292" s="319"/>
      <c r="H3292" s="320"/>
      <c r="I3292" s="332"/>
      <c r="J3292" s="321"/>
    </row>
    <row r="3293" spans="1:10" x14ac:dyDescent="0.25">
      <c r="A3293" s="303"/>
      <c r="B3293" s="333" t="s">
        <v>346</v>
      </c>
      <c r="C3293" s="317"/>
      <c r="D3293" s="318"/>
      <c r="E3293" s="319"/>
      <c r="F3293" s="319"/>
      <c r="G3293" s="319"/>
      <c r="H3293" s="320"/>
      <c r="I3293" s="332"/>
      <c r="J3293" s="321"/>
    </row>
    <row r="3294" spans="1:10" x14ac:dyDescent="0.25">
      <c r="A3294" s="303"/>
      <c r="B3294" s="333" t="s">
        <v>346</v>
      </c>
      <c r="C3294" s="317"/>
      <c r="D3294" s="318"/>
      <c r="E3294" s="319"/>
      <c r="F3294" s="319"/>
      <c r="G3294" s="319"/>
      <c r="H3294" s="320"/>
      <c r="I3294" s="332"/>
      <c r="J3294" s="321"/>
    </row>
    <row r="3295" spans="1:10" x14ac:dyDescent="0.25">
      <c r="A3295" s="303"/>
      <c r="B3295" s="333" t="s">
        <v>346</v>
      </c>
      <c r="C3295" s="317"/>
      <c r="D3295" s="318"/>
      <c r="E3295" s="319"/>
      <c r="F3295" s="319"/>
      <c r="G3295" s="319"/>
      <c r="H3295" s="320"/>
      <c r="I3295" s="332"/>
      <c r="J3295" s="321"/>
    </row>
    <row r="3296" spans="1:10" x14ac:dyDescent="0.25">
      <c r="A3296" s="303"/>
      <c r="B3296" s="333" t="s">
        <v>346</v>
      </c>
      <c r="C3296" s="317"/>
      <c r="D3296" s="318"/>
      <c r="E3296" s="319"/>
      <c r="F3296" s="319"/>
      <c r="G3296" s="319"/>
      <c r="H3296" s="320"/>
      <c r="I3296" s="332"/>
      <c r="J3296" s="321"/>
    </row>
    <row r="3297" spans="1:10" x14ac:dyDescent="0.25">
      <c r="A3297" s="303"/>
      <c r="B3297" s="310"/>
      <c r="C3297" s="334"/>
      <c r="D3297" s="312"/>
      <c r="E3297" s="313"/>
      <c r="F3297" s="313"/>
      <c r="G3297" s="313"/>
      <c r="H3297" s="313"/>
      <c r="I3297" s="338" t="s">
        <v>484</v>
      </c>
      <c r="J3297" s="315">
        <v>35.536000000000001</v>
      </c>
    </row>
    <row r="3298" spans="1:10" x14ac:dyDescent="0.25">
      <c r="A3298" s="303"/>
      <c r="B3298" s="339"/>
      <c r="C3298" s="334"/>
      <c r="D3298" s="312"/>
      <c r="E3298" s="313"/>
      <c r="F3298" s="313"/>
      <c r="G3298" s="313"/>
      <c r="H3298" s="313"/>
      <c r="I3298" s="338" t="s">
        <v>485</v>
      </c>
      <c r="J3298" s="340">
        <v>137.90690000000001</v>
      </c>
    </row>
    <row r="3299" spans="1:10" x14ac:dyDescent="0.25">
      <c r="A3299" s="303"/>
      <c r="B3299" s="339"/>
      <c r="C3299" s="341" t="s">
        <v>486</v>
      </c>
      <c r="D3299" s="312">
        <v>0.43874999999999997</v>
      </c>
      <c r="E3299" s="313"/>
      <c r="F3299" s="313"/>
      <c r="G3299" s="313"/>
      <c r="H3299" s="313"/>
      <c r="I3299" s="338" t="s">
        <v>487</v>
      </c>
      <c r="J3299" s="340">
        <v>314.3177</v>
      </c>
    </row>
    <row r="3300" spans="1:10" x14ac:dyDescent="0.25">
      <c r="A3300" s="303"/>
      <c r="B3300" s="310"/>
      <c r="C3300" s="334"/>
      <c r="D3300" s="312"/>
      <c r="E3300" s="313"/>
      <c r="F3300" s="313"/>
      <c r="G3300" s="313"/>
      <c r="H3300" s="338" t="s">
        <v>488</v>
      </c>
      <c r="I3300" s="342">
        <v>2.7799999999999998E-2</v>
      </c>
      <c r="J3300" s="315">
        <v>8.7379999999999995</v>
      </c>
    </row>
    <row r="3301" spans="1:10" x14ac:dyDescent="0.25">
      <c r="A3301" s="303"/>
      <c r="B3301" s="310"/>
      <c r="C3301" s="334"/>
      <c r="D3301" s="312"/>
      <c r="E3301" s="313"/>
      <c r="F3301" s="313"/>
      <c r="G3301" s="313"/>
      <c r="H3301" s="335" t="s">
        <v>489</v>
      </c>
      <c r="I3301" s="343">
        <v>0</v>
      </c>
      <c r="J3301" s="315">
        <v>0</v>
      </c>
    </row>
    <row r="3302" spans="1:10" x14ac:dyDescent="0.25">
      <c r="A3302" s="303"/>
      <c r="B3302" s="310" t="s">
        <v>464</v>
      </c>
      <c r="C3302" s="311" t="s">
        <v>490</v>
      </c>
      <c r="D3302" s="312"/>
      <c r="E3302" s="313"/>
      <c r="F3302" s="313"/>
      <c r="G3302" s="314" t="s">
        <v>465</v>
      </c>
      <c r="H3302" s="336" t="s">
        <v>468</v>
      </c>
      <c r="I3302" s="336" t="s">
        <v>491</v>
      </c>
      <c r="J3302" s="322" t="s">
        <v>492</v>
      </c>
    </row>
    <row r="3303" spans="1:10" x14ac:dyDescent="0.25">
      <c r="A3303" s="303"/>
      <c r="B3303" s="337" t="s">
        <v>346</v>
      </c>
      <c r="C3303" s="311"/>
      <c r="D3303" s="312"/>
      <c r="E3303" s="313"/>
      <c r="F3303" s="313"/>
      <c r="G3303" s="314"/>
      <c r="H3303" s="329"/>
      <c r="I3303" s="329"/>
      <c r="J3303" s="315"/>
    </row>
    <row r="3304" spans="1:10" x14ac:dyDescent="0.25">
      <c r="A3304" s="303"/>
      <c r="B3304" s="333" t="s">
        <v>346</v>
      </c>
      <c r="C3304" s="317"/>
      <c r="D3304" s="318"/>
      <c r="E3304" s="319"/>
      <c r="F3304" s="319"/>
      <c r="G3304" s="320"/>
      <c r="H3304" s="332"/>
      <c r="I3304" s="332"/>
      <c r="J3304" s="321"/>
    </row>
    <row r="3305" spans="1:10" x14ac:dyDescent="0.25">
      <c r="A3305" s="303"/>
      <c r="B3305" s="333" t="s">
        <v>346</v>
      </c>
      <c r="C3305" s="317"/>
      <c r="D3305" s="318"/>
      <c r="E3305" s="319"/>
      <c r="F3305" s="319"/>
      <c r="G3305" s="320"/>
      <c r="H3305" s="332"/>
      <c r="I3305" s="332"/>
      <c r="J3305" s="321"/>
    </row>
    <row r="3306" spans="1:10" x14ac:dyDescent="0.25">
      <c r="A3306" s="303"/>
      <c r="B3306" s="333" t="s">
        <v>346</v>
      </c>
      <c r="C3306" s="317"/>
      <c r="D3306" s="318"/>
      <c r="E3306" s="319"/>
      <c r="F3306" s="319"/>
      <c r="G3306" s="320"/>
      <c r="H3306" s="332"/>
      <c r="I3306" s="332"/>
      <c r="J3306" s="321"/>
    </row>
    <row r="3307" spans="1:10" x14ac:dyDescent="0.25">
      <c r="A3307" s="303"/>
      <c r="B3307" s="333" t="s">
        <v>346</v>
      </c>
      <c r="C3307" s="317"/>
      <c r="D3307" s="318"/>
      <c r="E3307" s="319"/>
      <c r="F3307" s="319"/>
      <c r="G3307" s="320"/>
      <c r="H3307" s="332"/>
      <c r="I3307" s="332"/>
      <c r="J3307" s="321"/>
    </row>
    <row r="3308" spans="1:10" x14ac:dyDescent="0.25">
      <c r="A3308" s="303"/>
      <c r="B3308" s="333" t="s">
        <v>346</v>
      </c>
      <c r="C3308" s="317"/>
      <c r="D3308" s="318"/>
      <c r="E3308" s="319"/>
      <c r="F3308" s="319"/>
      <c r="G3308" s="320"/>
      <c r="H3308" s="332"/>
      <c r="I3308" s="332"/>
      <c r="J3308" s="321"/>
    </row>
    <row r="3309" spans="1:10" x14ac:dyDescent="0.25">
      <c r="A3309" s="303"/>
      <c r="B3309" s="310"/>
      <c r="C3309" s="334"/>
      <c r="D3309" s="312"/>
      <c r="E3309" s="313"/>
      <c r="F3309" s="313"/>
      <c r="G3309" s="313"/>
      <c r="H3309" s="343"/>
      <c r="I3309" s="335" t="s">
        <v>498</v>
      </c>
      <c r="J3309" s="315">
        <v>0</v>
      </c>
    </row>
    <row r="3310" spans="1:10" x14ac:dyDescent="0.25">
      <c r="A3310" s="303"/>
      <c r="B3310" s="310" t="s">
        <v>464</v>
      </c>
      <c r="C3310" s="311" t="s">
        <v>499</v>
      </c>
      <c r="D3310" s="312"/>
      <c r="E3310" s="313"/>
      <c r="F3310" s="313"/>
      <c r="G3310" s="314" t="s">
        <v>465</v>
      </c>
      <c r="H3310" s="336" t="s">
        <v>468</v>
      </c>
      <c r="I3310" s="336" t="s">
        <v>491</v>
      </c>
      <c r="J3310" s="322" t="s">
        <v>492</v>
      </c>
    </row>
    <row r="3311" spans="1:10" x14ac:dyDescent="0.25">
      <c r="A3311" s="303"/>
      <c r="B3311" s="337"/>
      <c r="C3311" s="311"/>
      <c r="D3311" s="312"/>
      <c r="E3311" s="313"/>
      <c r="F3311" s="313"/>
      <c r="G3311" s="314"/>
      <c r="H3311" s="329"/>
      <c r="I3311" s="329"/>
      <c r="J3311" s="315"/>
    </row>
    <row r="3312" spans="1:10" x14ac:dyDescent="0.25">
      <c r="A3312" s="303"/>
      <c r="B3312" s="333"/>
      <c r="C3312" s="317"/>
      <c r="D3312" s="318"/>
      <c r="E3312" s="319"/>
      <c r="F3312" s="319"/>
      <c r="G3312" s="320"/>
      <c r="H3312" s="332"/>
      <c r="I3312" s="332"/>
      <c r="J3312" s="321"/>
    </row>
    <row r="3313" spans="1:10" x14ac:dyDescent="0.25">
      <c r="A3313" s="303"/>
      <c r="B3313" s="333"/>
      <c r="C3313" s="317"/>
      <c r="D3313" s="318"/>
      <c r="E3313" s="319"/>
      <c r="F3313" s="319"/>
      <c r="G3313" s="320"/>
      <c r="H3313" s="332"/>
      <c r="I3313" s="332"/>
      <c r="J3313" s="321"/>
    </row>
    <row r="3314" spans="1:10" x14ac:dyDescent="0.25">
      <c r="A3314" s="303"/>
      <c r="B3314" s="333"/>
      <c r="C3314" s="317"/>
      <c r="D3314" s="318"/>
      <c r="E3314" s="319"/>
      <c r="F3314" s="319"/>
      <c r="G3314" s="320"/>
      <c r="H3314" s="332"/>
      <c r="I3314" s="332"/>
      <c r="J3314" s="321"/>
    </row>
    <row r="3315" spans="1:10" x14ac:dyDescent="0.25">
      <c r="A3315" s="303"/>
      <c r="B3315" s="333"/>
      <c r="C3315" s="317"/>
      <c r="D3315" s="318"/>
      <c r="E3315" s="319"/>
      <c r="F3315" s="319"/>
      <c r="G3315" s="320"/>
      <c r="H3315" s="332"/>
      <c r="I3315" s="332"/>
      <c r="J3315" s="321"/>
    </row>
    <row r="3316" spans="1:10" x14ac:dyDescent="0.25">
      <c r="A3316" s="303"/>
      <c r="B3316" s="310"/>
      <c r="C3316" s="334"/>
      <c r="D3316" s="312"/>
      <c r="E3316" s="313"/>
      <c r="F3316" s="313"/>
      <c r="G3316" s="313"/>
      <c r="H3316" s="343"/>
      <c r="I3316" s="335" t="s">
        <v>501</v>
      </c>
      <c r="J3316" s="315">
        <v>0</v>
      </c>
    </row>
    <row r="3317" spans="1:10" x14ac:dyDescent="0.25">
      <c r="A3317" s="303"/>
      <c r="B3317" s="310" t="s">
        <v>464</v>
      </c>
      <c r="C3317" s="311" t="s">
        <v>502</v>
      </c>
      <c r="D3317" s="312"/>
      <c r="E3317" s="313"/>
      <c r="F3317" s="314" t="s">
        <v>464</v>
      </c>
      <c r="G3317" s="324" t="s">
        <v>503</v>
      </c>
      <c r="H3317" s="329" t="s">
        <v>465</v>
      </c>
      <c r="I3317" s="336" t="s">
        <v>468</v>
      </c>
      <c r="J3317" s="322" t="s">
        <v>492</v>
      </c>
    </row>
    <row r="3318" spans="1:10" x14ac:dyDescent="0.25">
      <c r="A3318" s="303"/>
      <c r="B3318" s="337" t="s">
        <v>346</v>
      </c>
      <c r="C3318" s="311"/>
      <c r="D3318" s="312"/>
      <c r="E3318" s="313"/>
      <c r="F3318" s="314"/>
      <c r="G3318" s="314"/>
      <c r="H3318" s="329"/>
      <c r="I3318" s="329"/>
      <c r="J3318" s="315"/>
    </row>
    <row r="3319" spans="1:10" x14ac:dyDescent="0.25">
      <c r="A3319" s="303"/>
      <c r="B3319" s="333" t="s">
        <v>346</v>
      </c>
      <c r="C3319" s="317"/>
      <c r="D3319" s="318"/>
      <c r="E3319" s="319"/>
      <c r="F3319" s="320"/>
      <c r="G3319" s="320"/>
      <c r="H3319" s="332"/>
      <c r="I3319" s="332"/>
      <c r="J3319" s="321"/>
    </row>
    <row r="3320" spans="1:10" x14ac:dyDescent="0.25">
      <c r="A3320" s="303"/>
      <c r="B3320" s="333" t="s">
        <v>346</v>
      </c>
      <c r="C3320" s="317"/>
      <c r="D3320" s="318"/>
      <c r="E3320" s="319"/>
      <c r="F3320" s="320"/>
      <c r="G3320" s="320"/>
      <c r="H3320" s="332"/>
      <c r="I3320" s="332"/>
      <c r="J3320" s="321"/>
    </row>
    <row r="3321" spans="1:10" x14ac:dyDescent="0.25">
      <c r="A3321" s="303"/>
      <c r="B3321" s="333" t="s">
        <v>346</v>
      </c>
      <c r="C3321" s="317"/>
      <c r="D3321" s="318"/>
      <c r="E3321" s="319"/>
      <c r="F3321" s="320"/>
      <c r="G3321" s="320"/>
      <c r="H3321" s="332"/>
      <c r="I3321" s="332"/>
      <c r="J3321" s="321"/>
    </row>
    <row r="3322" spans="1:10" x14ac:dyDescent="0.25">
      <c r="A3322" s="303"/>
      <c r="B3322" s="333" t="s">
        <v>346</v>
      </c>
      <c r="C3322" s="317"/>
      <c r="D3322" s="318"/>
      <c r="E3322" s="319"/>
      <c r="F3322" s="320"/>
      <c r="G3322" s="320"/>
      <c r="H3322" s="332"/>
      <c r="I3322" s="332"/>
      <c r="J3322" s="321"/>
    </row>
    <row r="3323" spans="1:10" x14ac:dyDescent="0.25">
      <c r="A3323" s="303"/>
      <c r="B3323" s="310"/>
      <c r="C3323" s="334"/>
      <c r="D3323" s="312"/>
      <c r="E3323" s="313"/>
      <c r="F3323" s="313"/>
      <c r="G3323" s="313"/>
      <c r="H3323" s="343"/>
      <c r="I3323" s="338" t="s">
        <v>507</v>
      </c>
      <c r="J3323" s="315">
        <v>0</v>
      </c>
    </row>
    <row r="3324" spans="1:10" x14ac:dyDescent="0.25">
      <c r="A3324" s="303"/>
      <c r="B3324" s="310" t="s">
        <v>464</v>
      </c>
      <c r="C3324" s="311" t="s">
        <v>508</v>
      </c>
      <c r="D3324" s="345" t="s">
        <v>509</v>
      </c>
      <c r="E3324" s="324" t="s">
        <v>873</v>
      </c>
      <c r="F3324" s="324" t="s">
        <v>874</v>
      </c>
      <c r="G3324" s="324" t="s">
        <v>875</v>
      </c>
      <c r="H3324" s="336" t="s">
        <v>468</v>
      </c>
      <c r="I3324" s="324" t="s">
        <v>491</v>
      </c>
      <c r="J3324" s="322" t="s">
        <v>492</v>
      </c>
    </row>
    <row r="3325" spans="1:10" x14ac:dyDescent="0.25">
      <c r="A3325" s="303"/>
      <c r="B3325" s="337" t="s">
        <v>346</v>
      </c>
      <c r="C3325" s="311"/>
      <c r="D3325" s="345"/>
      <c r="E3325" s="314"/>
      <c r="F3325" s="314"/>
      <c r="G3325" s="314"/>
      <c r="H3325" s="329"/>
      <c r="I3325" s="314"/>
      <c r="J3325" s="315"/>
    </row>
    <row r="3326" spans="1:10" x14ac:dyDescent="0.25">
      <c r="A3326" s="303"/>
      <c r="B3326" s="333" t="s">
        <v>346</v>
      </c>
      <c r="C3326" s="317"/>
      <c r="D3326" s="346"/>
      <c r="E3326" s="320"/>
      <c r="F3326" s="320"/>
      <c r="G3326" s="320"/>
      <c r="H3326" s="332"/>
      <c r="I3326" s="320"/>
      <c r="J3326" s="321"/>
    </row>
    <row r="3327" spans="1:10" x14ac:dyDescent="0.25">
      <c r="A3327" s="303"/>
      <c r="B3327" s="333" t="s">
        <v>346</v>
      </c>
      <c r="C3327" s="317"/>
      <c r="D3327" s="346"/>
      <c r="E3327" s="320"/>
      <c r="F3327" s="320"/>
      <c r="G3327" s="320"/>
      <c r="H3327" s="332"/>
      <c r="I3327" s="320"/>
      <c r="J3327" s="321"/>
    </row>
    <row r="3328" spans="1:10" x14ac:dyDescent="0.25">
      <c r="A3328" s="303"/>
      <c r="B3328" s="333" t="s">
        <v>346</v>
      </c>
      <c r="C3328" s="317"/>
      <c r="D3328" s="346"/>
      <c r="E3328" s="320"/>
      <c r="F3328" s="320"/>
      <c r="G3328" s="320"/>
      <c r="H3328" s="332"/>
      <c r="I3328" s="320"/>
      <c r="J3328" s="321"/>
    </row>
    <row r="3329" spans="1:10" x14ac:dyDescent="0.25">
      <c r="A3329" s="303"/>
      <c r="B3329" s="333" t="s">
        <v>346</v>
      </c>
      <c r="C3329" s="317"/>
      <c r="D3329" s="346"/>
      <c r="E3329" s="320"/>
      <c r="F3329" s="320"/>
      <c r="G3329" s="320"/>
      <c r="H3329" s="332"/>
      <c r="I3329" s="320"/>
      <c r="J3329" s="321"/>
    </row>
    <row r="3330" spans="1:10" x14ac:dyDescent="0.25">
      <c r="A3330" s="303"/>
      <c r="B3330" s="333" t="s">
        <v>346</v>
      </c>
      <c r="C3330" s="317"/>
      <c r="D3330" s="346"/>
      <c r="E3330" s="320"/>
      <c r="F3330" s="320"/>
      <c r="G3330" s="320"/>
      <c r="H3330" s="332"/>
      <c r="I3330" s="320"/>
      <c r="J3330" s="321"/>
    </row>
    <row r="3331" spans="1:10" x14ac:dyDescent="0.25">
      <c r="A3331" s="303"/>
      <c r="B3331" s="333" t="s">
        <v>346</v>
      </c>
      <c r="C3331" s="317"/>
      <c r="D3331" s="346"/>
      <c r="E3331" s="320"/>
      <c r="F3331" s="320"/>
      <c r="G3331" s="320"/>
      <c r="H3331" s="332"/>
      <c r="I3331" s="320"/>
      <c r="J3331" s="321"/>
    </row>
    <row r="3332" spans="1:10" x14ac:dyDescent="0.25">
      <c r="A3332" s="303"/>
      <c r="B3332" s="310"/>
      <c r="C3332" s="334"/>
      <c r="D3332" s="312"/>
      <c r="E3332" s="313"/>
      <c r="F3332" s="313"/>
      <c r="G3332" s="313"/>
      <c r="H3332" s="313"/>
      <c r="I3332" s="338" t="s">
        <v>513</v>
      </c>
      <c r="J3332" s="315">
        <v>0</v>
      </c>
    </row>
    <row r="3333" spans="1:10" x14ac:dyDescent="0.25">
      <c r="A3333" s="303"/>
      <c r="B3333" s="310" t="s">
        <v>514</v>
      </c>
      <c r="C3333" s="334"/>
      <c r="D3333" s="312"/>
      <c r="E3333" s="313"/>
      <c r="F3333" s="313"/>
      <c r="G3333" s="313"/>
      <c r="H3333" s="313"/>
      <c r="I3333" s="313"/>
      <c r="J3333" s="315">
        <v>323.0557</v>
      </c>
    </row>
    <row r="3334" spans="1:10" x14ac:dyDescent="0.25">
      <c r="A3334" s="303"/>
      <c r="B3334" s="310" t="s">
        <v>515</v>
      </c>
      <c r="C3334" s="334"/>
      <c r="D3334" s="312">
        <v>0</v>
      </c>
      <c r="E3334" s="313"/>
      <c r="F3334" s="313"/>
      <c r="G3334" s="313"/>
      <c r="H3334" s="313"/>
      <c r="I3334" s="313"/>
      <c r="J3334" s="315">
        <v>0</v>
      </c>
    </row>
    <row r="3335" spans="1:10" ht="14.4" thickBot="1" x14ac:dyDescent="0.3">
      <c r="A3335" s="303"/>
      <c r="B3335" s="310" t="s">
        <v>516</v>
      </c>
      <c r="C3335" s="334"/>
      <c r="D3335" s="312"/>
      <c r="E3335" s="313"/>
      <c r="F3335" s="313"/>
      <c r="G3335" s="313"/>
      <c r="H3335" s="313"/>
      <c r="I3335" s="313"/>
      <c r="J3335" s="347">
        <v>323.06</v>
      </c>
    </row>
    <row r="3336" spans="1:10" x14ac:dyDescent="0.25">
      <c r="A3336" s="303"/>
      <c r="B3336" s="304"/>
      <c r="C3336" s="305"/>
      <c r="D3336" s="348"/>
      <c r="E3336" s="308"/>
      <c r="F3336" s="308"/>
      <c r="G3336" s="308"/>
      <c r="H3336" s="308"/>
      <c r="I3336" s="308"/>
      <c r="J3336" s="309"/>
    </row>
    <row r="3337" spans="1:10" x14ac:dyDescent="0.25">
      <c r="A3337" s="303"/>
      <c r="B3337" s="316"/>
      <c r="C3337" s="303"/>
      <c r="D3337" s="318"/>
      <c r="E3337" s="319"/>
      <c r="F3337" s="319"/>
      <c r="G3337" s="319"/>
      <c r="H3337" s="319"/>
      <c r="I3337" s="319"/>
      <c r="J3337" s="349"/>
    </row>
    <row r="3338" spans="1:10" x14ac:dyDescent="0.25">
      <c r="A3338" s="303"/>
      <c r="B3338" s="316"/>
      <c r="C3338" s="303"/>
      <c r="D3338" s="318"/>
      <c r="E3338" s="319"/>
      <c r="F3338" s="319"/>
      <c r="G3338" s="319"/>
      <c r="H3338" s="319"/>
      <c r="I3338" s="319"/>
      <c r="J3338" s="349"/>
    </row>
    <row r="3339" spans="1:10" ht="14.4" thickBot="1" x14ac:dyDescent="0.3">
      <c r="A3339" s="303"/>
      <c r="B3339" s="350"/>
      <c r="C3339" s="303"/>
      <c r="D3339" s="318"/>
      <c r="E3339" s="319"/>
      <c r="F3339" s="319"/>
      <c r="G3339" s="319"/>
      <c r="H3339" s="319"/>
      <c r="I3339" s="319"/>
      <c r="J3339" s="351"/>
    </row>
    <row r="3340" spans="1:10" x14ac:dyDescent="0.25">
      <c r="A3340" s="303"/>
      <c r="B3340" s="305"/>
      <c r="C3340" s="305"/>
      <c r="D3340" s="348"/>
      <c r="E3340" s="308"/>
      <c r="F3340" s="308"/>
      <c r="G3340" s="308"/>
      <c r="H3340" s="308"/>
      <c r="I3340" s="308"/>
      <c r="J3340" s="352"/>
    </row>
    <row r="3341" spans="1:10" ht="14.4" thickBot="1" x14ac:dyDescent="0.3">
      <c r="A3341" s="303"/>
      <c r="B3341" s="303"/>
      <c r="C3341" s="303"/>
      <c r="D3341" s="318"/>
      <c r="E3341" s="319"/>
      <c r="F3341" s="319"/>
      <c r="G3341" s="319"/>
      <c r="H3341" s="319"/>
      <c r="I3341" s="319"/>
      <c r="J3341" s="353"/>
    </row>
    <row r="3342" spans="1:10" x14ac:dyDescent="0.25">
      <c r="A3342" s="303"/>
      <c r="B3342" s="304"/>
      <c r="C3342" s="305"/>
      <c r="D3342" s="306" t="s">
        <v>463</v>
      </c>
      <c r="E3342" s="307"/>
      <c r="F3342" s="307"/>
      <c r="G3342" s="308"/>
      <c r="H3342" s="308"/>
      <c r="I3342" s="308"/>
      <c r="J3342" s="309"/>
    </row>
    <row r="3343" spans="1:10" x14ac:dyDescent="0.25">
      <c r="A3343" s="303"/>
      <c r="B3343" s="310" t="s">
        <v>464</v>
      </c>
      <c r="C3343" s="311" t="s">
        <v>134</v>
      </c>
      <c r="D3343" s="312"/>
      <c r="E3343" s="313"/>
      <c r="F3343" s="313"/>
      <c r="G3343" s="313"/>
      <c r="H3343" s="314"/>
      <c r="I3343" s="313"/>
      <c r="J3343" s="315" t="s">
        <v>465</v>
      </c>
    </row>
    <row r="3344" spans="1:10" x14ac:dyDescent="0.25">
      <c r="A3344" s="303"/>
      <c r="B3344" s="316">
        <v>4915744</v>
      </c>
      <c r="C3344" s="317" t="s">
        <v>413</v>
      </c>
      <c r="D3344" s="318"/>
      <c r="E3344" s="319"/>
      <c r="F3344" s="319"/>
      <c r="G3344" s="319"/>
      <c r="H3344" s="320"/>
      <c r="I3344" s="319"/>
      <c r="J3344" s="321" t="s">
        <v>368</v>
      </c>
    </row>
    <row r="3345" spans="1:10" x14ac:dyDescent="0.25">
      <c r="A3345" s="303"/>
      <c r="B3345" s="310"/>
      <c r="C3345" s="311"/>
      <c r="D3345" s="312"/>
      <c r="E3345" s="314"/>
      <c r="F3345" s="314" t="s">
        <v>466</v>
      </c>
      <c r="G3345" s="314"/>
      <c r="H3345" s="314" t="s">
        <v>467</v>
      </c>
      <c r="I3345" s="314"/>
      <c r="J3345" s="322" t="s">
        <v>468</v>
      </c>
    </row>
    <row r="3346" spans="1:10" x14ac:dyDescent="0.25">
      <c r="A3346" s="303"/>
      <c r="B3346" s="316" t="s">
        <v>464</v>
      </c>
      <c r="C3346" s="317" t="s">
        <v>469</v>
      </c>
      <c r="D3346" s="318"/>
      <c r="E3346" s="323" t="s">
        <v>355</v>
      </c>
      <c r="F3346" s="324" t="s">
        <v>470</v>
      </c>
      <c r="G3346" s="324" t="s">
        <v>471</v>
      </c>
      <c r="H3346" s="324" t="s">
        <v>472</v>
      </c>
      <c r="I3346" s="325" t="s">
        <v>473</v>
      </c>
      <c r="J3346" s="326" t="s">
        <v>474</v>
      </c>
    </row>
    <row r="3347" spans="1:10" x14ac:dyDescent="0.25">
      <c r="A3347" s="303"/>
      <c r="B3347" s="337" t="s">
        <v>346</v>
      </c>
      <c r="C3347" s="311"/>
      <c r="D3347" s="312"/>
      <c r="E3347" s="328"/>
      <c r="F3347" s="328"/>
      <c r="G3347" s="328"/>
      <c r="H3347" s="329"/>
      <c r="I3347" s="329"/>
      <c r="J3347" s="315"/>
    </row>
    <row r="3348" spans="1:10" x14ac:dyDescent="0.25">
      <c r="A3348" s="303"/>
      <c r="B3348" s="333" t="s">
        <v>346</v>
      </c>
      <c r="C3348" s="317"/>
      <c r="D3348" s="318"/>
      <c r="E3348" s="331"/>
      <c r="F3348" s="331"/>
      <c r="G3348" s="331"/>
      <c r="H3348" s="332"/>
      <c r="I3348" s="332"/>
      <c r="J3348" s="321"/>
    </row>
    <row r="3349" spans="1:10" x14ac:dyDescent="0.25">
      <c r="A3349" s="303"/>
      <c r="B3349" s="333" t="s">
        <v>346</v>
      </c>
      <c r="C3349" s="317"/>
      <c r="D3349" s="318"/>
      <c r="E3349" s="331"/>
      <c r="F3349" s="331"/>
      <c r="G3349" s="331"/>
      <c r="H3349" s="332"/>
      <c r="I3349" s="332"/>
      <c r="J3349" s="321"/>
    </row>
    <row r="3350" spans="1:10" x14ac:dyDescent="0.25">
      <c r="A3350" s="303"/>
      <c r="B3350" s="333" t="s">
        <v>346</v>
      </c>
      <c r="C3350" s="317"/>
      <c r="D3350" s="318"/>
      <c r="E3350" s="331"/>
      <c r="F3350" s="331"/>
      <c r="G3350" s="331"/>
      <c r="H3350" s="332"/>
      <c r="I3350" s="332"/>
      <c r="J3350" s="321"/>
    </row>
    <row r="3351" spans="1:10" x14ac:dyDescent="0.25">
      <c r="A3351" s="303"/>
      <c r="B3351" s="333" t="s">
        <v>346</v>
      </c>
      <c r="C3351" s="317"/>
      <c r="D3351" s="318"/>
      <c r="E3351" s="331"/>
      <c r="F3351" s="331"/>
      <c r="G3351" s="331"/>
      <c r="H3351" s="332"/>
      <c r="I3351" s="332"/>
      <c r="J3351" s="321"/>
    </row>
    <row r="3352" spans="1:10" x14ac:dyDescent="0.25">
      <c r="A3352" s="303"/>
      <c r="B3352" s="333" t="s">
        <v>346</v>
      </c>
      <c r="C3352" s="317"/>
      <c r="D3352" s="318"/>
      <c r="E3352" s="331"/>
      <c r="F3352" s="331"/>
      <c r="G3352" s="331"/>
      <c r="H3352" s="332"/>
      <c r="I3352" s="332"/>
      <c r="J3352" s="321"/>
    </row>
    <row r="3353" spans="1:10" x14ac:dyDescent="0.25">
      <c r="A3353" s="303"/>
      <c r="B3353" s="333" t="s">
        <v>346</v>
      </c>
      <c r="C3353" s="317"/>
      <c r="D3353" s="318"/>
      <c r="E3353" s="331"/>
      <c r="F3353" s="331"/>
      <c r="G3353" s="331"/>
      <c r="H3353" s="332"/>
      <c r="I3353" s="332"/>
      <c r="J3353" s="321"/>
    </row>
    <row r="3354" spans="1:10" x14ac:dyDescent="0.25">
      <c r="A3354" s="303"/>
      <c r="B3354" s="310"/>
      <c r="C3354" s="334"/>
      <c r="D3354" s="312"/>
      <c r="E3354" s="313"/>
      <c r="F3354" s="313"/>
      <c r="G3354" s="313"/>
      <c r="H3354" s="313"/>
      <c r="I3354" s="335" t="s">
        <v>479</v>
      </c>
      <c r="J3354" s="315">
        <v>0</v>
      </c>
    </row>
    <row r="3355" spans="1:10" x14ac:dyDescent="0.25">
      <c r="A3355" s="303"/>
      <c r="B3355" s="310" t="s">
        <v>464</v>
      </c>
      <c r="C3355" s="311" t="s">
        <v>480</v>
      </c>
      <c r="D3355" s="312"/>
      <c r="E3355" s="313"/>
      <c r="F3355" s="313"/>
      <c r="G3355" s="313"/>
      <c r="H3355" s="324" t="s">
        <v>355</v>
      </c>
      <c r="I3355" s="336" t="s">
        <v>481</v>
      </c>
      <c r="J3355" s="322" t="s">
        <v>331</v>
      </c>
    </row>
    <row r="3356" spans="1:10" x14ac:dyDescent="0.25">
      <c r="A3356" s="303"/>
      <c r="B3356" s="337" t="s">
        <v>482</v>
      </c>
      <c r="C3356" s="311" t="s">
        <v>483</v>
      </c>
      <c r="D3356" s="312"/>
      <c r="E3356" s="313"/>
      <c r="F3356" s="313"/>
      <c r="G3356" s="313"/>
      <c r="H3356" s="314">
        <v>10</v>
      </c>
      <c r="I3356" s="329">
        <v>17.768000000000001</v>
      </c>
      <c r="J3356" s="315">
        <v>177.68</v>
      </c>
    </row>
    <row r="3357" spans="1:10" x14ac:dyDescent="0.25">
      <c r="A3357" s="303"/>
      <c r="B3357" s="333" t="s">
        <v>346</v>
      </c>
      <c r="C3357" s="317"/>
      <c r="D3357" s="318"/>
      <c r="E3357" s="319"/>
      <c r="F3357" s="319"/>
      <c r="G3357" s="319"/>
      <c r="H3357" s="320"/>
      <c r="I3357" s="332"/>
      <c r="J3357" s="321"/>
    </row>
    <row r="3358" spans="1:10" x14ac:dyDescent="0.25">
      <c r="A3358" s="303"/>
      <c r="B3358" s="333" t="s">
        <v>346</v>
      </c>
      <c r="C3358" s="317"/>
      <c r="D3358" s="318"/>
      <c r="E3358" s="319"/>
      <c r="F3358" s="319"/>
      <c r="G3358" s="319"/>
      <c r="H3358" s="320"/>
      <c r="I3358" s="332"/>
      <c r="J3358" s="321"/>
    </row>
    <row r="3359" spans="1:10" x14ac:dyDescent="0.25">
      <c r="A3359" s="303"/>
      <c r="B3359" s="333" t="s">
        <v>346</v>
      </c>
      <c r="C3359" s="317"/>
      <c r="D3359" s="318"/>
      <c r="E3359" s="319"/>
      <c r="F3359" s="319"/>
      <c r="G3359" s="319"/>
      <c r="H3359" s="320"/>
      <c r="I3359" s="332"/>
      <c r="J3359" s="321"/>
    </row>
    <row r="3360" spans="1:10" x14ac:dyDescent="0.25">
      <c r="A3360" s="303"/>
      <c r="B3360" s="333" t="s">
        <v>346</v>
      </c>
      <c r="C3360" s="317"/>
      <c r="D3360" s="318"/>
      <c r="E3360" s="319"/>
      <c r="F3360" s="319"/>
      <c r="G3360" s="319"/>
      <c r="H3360" s="320"/>
      <c r="I3360" s="332"/>
      <c r="J3360" s="321"/>
    </row>
    <row r="3361" spans="1:10" x14ac:dyDescent="0.25">
      <c r="A3361" s="303"/>
      <c r="B3361" s="333" t="s">
        <v>346</v>
      </c>
      <c r="C3361" s="317"/>
      <c r="D3361" s="318"/>
      <c r="E3361" s="319"/>
      <c r="F3361" s="319"/>
      <c r="G3361" s="319"/>
      <c r="H3361" s="320"/>
      <c r="I3361" s="332"/>
      <c r="J3361" s="321"/>
    </row>
    <row r="3362" spans="1:10" x14ac:dyDescent="0.25">
      <c r="A3362" s="303"/>
      <c r="B3362" s="333" t="s">
        <v>346</v>
      </c>
      <c r="C3362" s="317"/>
      <c r="D3362" s="318"/>
      <c r="E3362" s="319"/>
      <c r="F3362" s="319"/>
      <c r="G3362" s="319"/>
      <c r="H3362" s="320"/>
      <c r="I3362" s="332"/>
      <c r="J3362" s="321"/>
    </row>
    <row r="3363" spans="1:10" x14ac:dyDescent="0.25">
      <c r="A3363" s="303"/>
      <c r="B3363" s="310"/>
      <c r="C3363" s="334"/>
      <c r="D3363" s="312"/>
      <c r="E3363" s="313"/>
      <c r="F3363" s="313"/>
      <c r="G3363" s="313"/>
      <c r="H3363" s="313"/>
      <c r="I3363" s="338" t="s">
        <v>484</v>
      </c>
      <c r="J3363" s="315">
        <v>177.68</v>
      </c>
    </row>
    <row r="3364" spans="1:10" x14ac:dyDescent="0.25">
      <c r="A3364" s="303"/>
      <c r="B3364" s="339"/>
      <c r="C3364" s="334"/>
      <c r="D3364" s="312"/>
      <c r="E3364" s="313"/>
      <c r="F3364" s="313"/>
      <c r="G3364" s="313"/>
      <c r="H3364" s="313"/>
      <c r="I3364" s="338" t="s">
        <v>485</v>
      </c>
      <c r="J3364" s="340">
        <v>177.68</v>
      </c>
    </row>
    <row r="3365" spans="1:10" x14ac:dyDescent="0.25">
      <c r="A3365" s="303"/>
      <c r="B3365" s="339"/>
      <c r="C3365" s="341" t="s">
        <v>486</v>
      </c>
      <c r="D3365" s="312">
        <v>300</v>
      </c>
      <c r="E3365" s="313"/>
      <c r="F3365" s="313"/>
      <c r="G3365" s="313"/>
      <c r="H3365" s="313"/>
      <c r="I3365" s="338" t="s">
        <v>487</v>
      </c>
      <c r="J3365" s="340">
        <v>0.59230000000000005</v>
      </c>
    </row>
    <row r="3366" spans="1:10" x14ac:dyDescent="0.25">
      <c r="A3366" s="303"/>
      <c r="B3366" s="310"/>
      <c r="C3366" s="334"/>
      <c r="D3366" s="312"/>
      <c r="E3366" s="313"/>
      <c r="F3366" s="313"/>
      <c r="G3366" s="313"/>
      <c r="H3366" s="338" t="s">
        <v>488</v>
      </c>
      <c r="I3366" s="342">
        <v>2.7799999999999998E-2</v>
      </c>
      <c r="J3366" s="315">
        <v>1.6500000000000001E-2</v>
      </c>
    </row>
    <row r="3367" spans="1:10" x14ac:dyDescent="0.25">
      <c r="A3367" s="303"/>
      <c r="B3367" s="310"/>
      <c r="C3367" s="334"/>
      <c r="D3367" s="312"/>
      <c r="E3367" s="313"/>
      <c r="F3367" s="313"/>
      <c r="G3367" s="313"/>
      <c r="H3367" s="335" t="s">
        <v>489</v>
      </c>
      <c r="I3367" s="343">
        <v>0</v>
      </c>
      <c r="J3367" s="315">
        <v>0</v>
      </c>
    </row>
    <row r="3368" spans="1:10" x14ac:dyDescent="0.25">
      <c r="A3368" s="303"/>
      <c r="B3368" s="310" t="s">
        <v>464</v>
      </c>
      <c r="C3368" s="311" t="s">
        <v>490</v>
      </c>
      <c r="D3368" s="312"/>
      <c r="E3368" s="313"/>
      <c r="F3368" s="313"/>
      <c r="G3368" s="314" t="s">
        <v>465</v>
      </c>
      <c r="H3368" s="336" t="s">
        <v>468</v>
      </c>
      <c r="I3368" s="336" t="s">
        <v>491</v>
      </c>
      <c r="J3368" s="322" t="s">
        <v>492</v>
      </c>
    </row>
    <row r="3369" spans="1:10" x14ac:dyDescent="0.25">
      <c r="A3369" s="303"/>
      <c r="B3369" s="337" t="s">
        <v>346</v>
      </c>
      <c r="C3369" s="311"/>
      <c r="D3369" s="312"/>
      <c r="E3369" s="313"/>
      <c r="F3369" s="313"/>
      <c r="G3369" s="314"/>
      <c r="H3369" s="329"/>
      <c r="I3369" s="329"/>
      <c r="J3369" s="315"/>
    </row>
    <row r="3370" spans="1:10" x14ac:dyDescent="0.25">
      <c r="A3370" s="303"/>
      <c r="B3370" s="333" t="s">
        <v>346</v>
      </c>
      <c r="C3370" s="317"/>
      <c r="D3370" s="318"/>
      <c r="E3370" s="319"/>
      <c r="F3370" s="319"/>
      <c r="G3370" s="320"/>
      <c r="H3370" s="332"/>
      <c r="I3370" s="332"/>
      <c r="J3370" s="321"/>
    </row>
    <row r="3371" spans="1:10" x14ac:dyDescent="0.25">
      <c r="A3371" s="303"/>
      <c r="B3371" s="333" t="s">
        <v>346</v>
      </c>
      <c r="C3371" s="317"/>
      <c r="D3371" s="318"/>
      <c r="E3371" s="319"/>
      <c r="F3371" s="319"/>
      <c r="G3371" s="320"/>
      <c r="H3371" s="332"/>
      <c r="I3371" s="332"/>
      <c r="J3371" s="321"/>
    </row>
    <row r="3372" spans="1:10" x14ac:dyDescent="0.25">
      <c r="A3372" s="303"/>
      <c r="B3372" s="333" t="s">
        <v>346</v>
      </c>
      <c r="C3372" s="317"/>
      <c r="D3372" s="318"/>
      <c r="E3372" s="319"/>
      <c r="F3372" s="319"/>
      <c r="G3372" s="320"/>
      <c r="H3372" s="332"/>
      <c r="I3372" s="332"/>
      <c r="J3372" s="321"/>
    </row>
    <row r="3373" spans="1:10" x14ac:dyDescent="0.25">
      <c r="A3373" s="303"/>
      <c r="B3373" s="333" t="s">
        <v>346</v>
      </c>
      <c r="C3373" s="317"/>
      <c r="D3373" s="318"/>
      <c r="E3373" s="319"/>
      <c r="F3373" s="319"/>
      <c r="G3373" s="320"/>
      <c r="H3373" s="332"/>
      <c r="I3373" s="332"/>
      <c r="J3373" s="321"/>
    </row>
    <row r="3374" spans="1:10" x14ac:dyDescent="0.25">
      <c r="A3374" s="303"/>
      <c r="B3374" s="333" t="s">
        <v>346</v>
      </c>
      <c r="C3374" s="317"/>
      <c r="D3374" s="318"/>
      <c r="E3374" s="319"/>
      <c r="F3374" s="319"/>
      <c r="G3374" s="320"/>
      <c r="H3374" s="332"/>
      <c r="I3374" s="332"/>
      <c r="J3374" s="321"/>
    </row>
    <row r="3375" spans="1:10" x14ac:dyDescent="0.25">
      <c r="A3375" s="303"/>
      <c r="B3375" s="310"/>
      <c r="C3375" s="334"/>
      <c r="D3375" s="312"/>
      <c r="E3375" s="313"/>
      <c r="F3375" s="313"/>
      <c r="G3375" s="313"/>
      <c r="H3375" s="343"/>
      <c r="I3375" s="335" t="s">
        <v>498</v>
      </c>
      <c r="J3375" s="315">
        <v>0</v>
      </c>
    </row>
    <row r="3376" spans="1:10" x14ac:dyDescent="0.25">
      <c r="A3376" s="303"/>
      <c r="B3376" s="310" t="s">
        <v>464</v>
      </c>
      <c r="C3376" s="311" t="s">
        <v>499</v>
      </c>
      <c r="D3376" s="312"/>
      <c r="E3376" s="313"/>
      <c r="F3376" s="313"/>
      <c r="G3376" s="314" t="s">
        <v>465</v>
      </c>
      <c r="H3376" s="336" t="s">
        <v>468</v>
      </c>
      <c r="I3376" s="336" t="s">
        <v>491</v>
      </c>
      <c r="J3376" s="322" t="s">
        <v>492</v>
      </c>
    </row>
    <row r="3377" spans="1:10" x14ac:dyDescent="0.25">
      <c r="A3377" s="303"/>
      <c r="B3377" s="337"/>
      <c r="C3377" s="311"/>
      <c r="D3377" s="312"/>
      <c r="E3377" s="313"/>
      <c r="F3377" s="313"/>
      <c r="G3377" s="314"/>
      <c r="H3377" s="329"/>
      <c r="I3377" s="329"/>
      <c r="J3377" s="315"/>
    </row>
    <row r="3378" spans="1:10" x14ac:dyDescent="0.25">
      <c r="A3378" s="303"/>
      <c r="B3378" s="333"/>
      <c r="C3378" s="317"/>
      <c r="D3378" s="318"/>
      <c r="E3378" s="319"/>
      <c r="F3378" s="319"/>
      <c r="G3378" s="320"/>
      <c r="H3378" s="332"/>
      <c r="I3378" s="332"/>
      <c r="J3378" s="321"/>
    </row>
    <row r="3379" spans="1:10" x14ac:dyDescent="0.25">
      <c r="A3379" s="303"/>
      <c r="B3379" s="333"/>
      <c r="C3379" s="317"/>
      <c r="D3379" s="318"/>
      <c r="E3379" s="319"/>
      <c r="F3379" s="319"/>
      <c r="G3379" s="320"/>
      <c r="H3379" s="332"/>
      <c r="I3379" s="332"/>
      <c r="J3379" s="321"/>
    </row>
    <row r="3380" spans="1:10" x14ac:dyDescent="0.25">
      <c r="A3380" s="303"/>
      <c r="B3380" s="333"/>
      <c r="C3380" s="317"/>
      <c r="D3380" s="318"/>
      <c r="E3380" s="319"/>
      <c r="F3380" s="319"/>
      <c r="G3380" s="320"/>
      <c r="H3380" s="332"/>
      <c r="I3380" s="332"/>
      <c r="J3380" s="321"/>
    </row>
    <row r="3381" spans="1:10" x14ac:dyDescent="0.25">
      <c r="A3381" s="303"/>
      <c r="B3381" s="333"/>
      <c r="C3381" s="317"/>
      <c r="D3381" s="318"/>
      <c r="E3381" s="319"/>
      <c r="F3381" s="319"/>
      <c r="G3381" s="320"/>
      <c r="H3381" s="332"/>
      <c r="I3381" s="332"/>
      <c r="J3381" s="321"/>
    </row>
    <row r="3382" spans="1:10" x14ac:dyDescent="0.25">
      <c r="A3382" s="303"/>
      <c r="B3382" s="310"/>
      <c r="C3382" s="334"/>
      <c r="D3382" s="312"/>
      <c r="E3382" s="313"/>
      <c r="F3382" s="313"/>
      <c r="G3382" s="313"/>
      <c r="H3382" s="343"/>
      <c r="I3382" s="335" t="s">
        <v>501</v>
      </c>
      <c r="J3382" s="315">
        <v>0</v>
      </c>
    </row>
    <row r="3383" spans="1:10" x14ac:dyDescent="0.25">
      <c r="A3383" s="303"/>
      <c r="B3383" s="310" t="s">
        <v>464</v>
      </c>
      <c r="C3383" s="311" t="s">
        <v>502</v>
      </c>
      <c r="D3383" s="312"/>
      <c r="E3383" s="313"/>
      <c r="F3383" s="314" t="s">
        <v>464</v>
      </c>
      <c r="G3383" s="324" t="s">
        <v>503</v>
      </c>
      <c r="H3383" s="329" t="s">
        <v>465</v>
      </c>
      <c r="I3383" s="336" t="s">
        <v>468</v>
      </c>
      <c r="J3383" s="322" t="s">
        <v>492</v>
      </c>
    </row>
    <row r="3384" spans="1:10" x14ac:dyDescent="0.25">
      <c r="A3384" s="303"/>
      <c r="B3384" s="337" t="s">
        <v>346</v>
      </c>
      <c r="C3384" s="311"/>
      <c r="D3384" s="312"/>
      <c r="E3384" s="313"/>
      <c r="F3384" s="314"/>
      <c r="G3384" s="314"/>
      <c r="H3384" s="329"/>
      <c r="I3384" s="329"/>
      <c r="J3384" s="315"/>
    </row>
    <row r="3385" spans="1:10" x14ac:dyDescent="0.25">
      <c r="A3385" s="303"/>
      <c r="B3385" s="333" t="s">
        <v>346</v>
      </c>
      <c r="C3385" s="317"/>
      <c r="D3385" s="318"/>
      <c r="E3385" s="319"/>
      <c r="F3385" s="320"/>
      <c r="G3385" s="320"/>
      <c r="H3385" s="332"/>
      <c r="I3385" s="332"/>
      <c r="J3385" s="321"/>
    </row>
    <row r="3386" spans="1:10" x14ac:dyDescent="0.25">
      <c r="A3386" s="303"/>
      <c r="B3386" s="333" t="s">
        <v>346</v>
      </c>
      <c r="C3386" s="317"/>
      <c r="D3386" s="318"/>
      <c r="E3386" s="319"/>
      <c r="F3386" s="320"/>
      <c r="G3386" s="320"/>
      <c r="H3386" s="332"/>
      <c r="I3386" s="332"/>
      <c r="J3386" s="321"/>
    </row>
    <row r="3387" spans="1:10" x14ac:dyDescent="0.25">
      <c r="A3387" s="303"/>
      <c r="B3387" s="333" t="s">
        <v>346</v>
      </c>
      <c r="C3387" s="317"/>
      <c r="D3387" s="318"/>
      <c r="E3387" s="319"/>
      <c r="F3387" s="320"/>
      <c r="G3387" s="320"/>
      <c r="H3387" s="332"/>
      <c r="I3387" s="332"/>
      <c r="J3387" s="321"/>
    </row>
    <row r="3388" spans="1:10" x14ac:dyDescent="0.25">
      <c r="A3388" s="303"/>
      <c r="B3388" s="333" t="s">
        <v>346</v>
      </c>
      <c r="C3388" s="317"/>
      <c r="D3388" s="318"/>
      <c r="E3388" s="319"/>
      <c r="F3388" s="320"/>
      <c r="G3388" s="320"/>
      <c r="H3388" s="332"/>
      <c r="I3388" s="332"/>
      <c r="J3388" s="321"/>
    </row>
    <row r="3389" spans="1:10" x14ac:dyDescent="0.25">
      <c r="A3389" s="303"/>
      <c r="B3389" s="310"/>
      <c r="C3389" s="334"/>
      <c r="D3389" s="312"/>
      <c r="E3389" s="313"/>
      <c r="F3389" s="313"/>
      <c r="G3389" s="313"/>
      <c r="H3389" s="343"/>
      <c r="I3389" s="338" t="s">
        <v>507</v>
      </c>
      <c r="J3389" s="315">
        <v>0</v>
      </c>
    </row>
    <row r="3390" spans="1:10" x14ac:dyDescent="0.25">
      <c r="A3390" s="303"/>
      <c r="B3390" s="310" t="s">
        <v>464</v>
      </c>
      <c r="C3390" s="311" t="s">
        <v>508</v>
      </c>
      <c r="D3390" s="345" t="s">
        <v>509</v>
      </c>
      <c r="E3390" s="324" t="s">
        <v>873</v>
      </c>
      <c r="F3390" s="324" t="s">
        <v>874</v>
      </c>
      <c r="G3390" s="324" t="s">
        <v>875</v>
      </c>
      <c r="H3390" s="336" t="s">
        <v>468</v>
      </c>
      <c r="I3390" s="324" t="s">
        <v>491</v>
      </c>
      <c r="J3390" s="322" t="s">
        <v>492</v>
      </c>
    </row>
    <row r="3391" spans="1:10" x14ac:dyDescent="0.25">
      <c r="A3391" s="303"/>
      <c r="B3391" s="337" t="s">
        <v>346</v>
      </c>
      <c r="C3391" s="311"/>
      <c r="D3391" s="345"/>
      <c r="E3391" s="314"/>
      <c r="F3391" s="314"/>
      <c r="G3391" s="314"/>
      <c r="H3391" s="329"/>
      <c r="I3391" s="314"/>
      <c r="J3391" s="315"/>
    </row>
    <row r="3392" spans="1:10" x14ac:dyDescent="0.25">
      <c r="A3392" s="303"/>
      <c r="B3392" s="333" t="s">
        <v>346</v>
      </c>
      <c r="C3392" s="317"/>
      <c r="D3392" s="346"/>
      <c r="E3392" s="320"/>
      <c r="F3392" s="320"/>
      <c r="G3392" s="320"/>
      <c r="H3392" s="332"/>
      <c r="I3392" s="320"/>
      <c r="J3392" s="321"/>
    </row>
    <row r="3393" spans="1:10" x14ac:dyDescent="0.25">
      <c r="A3393" s="303"/>
      <c r="B3393" s="333" t="s">
        <v>346</v>
      </c>
      <c r="C3393" s="317"/>
      <c r="D3393" s="346"/>
      <c r="E3393" s="320"/>
      <c r="F3393" s="320"/>
      <c r="G3393" s="320"/>
      <c r="H3393" s="332"/>
      <c r="I3393" s="320"/>
      <c r="J3393" s="321"/>
    </row>
    <row r="3394" spans="1:10" x14ac:dyDescent="0.25">
      <c r="A3394" s="303"/>
      <c r="B3394" s="333" t="s">
        <v>346</v>
      </c>
      <c r="C3394" s="317"/>
      <c r="D3394" s="346"/>
      <c r="E3394" s="320"/>
      <c r="F3394" s="320"/>
      <c r="G3394" s="320"/>
      <c r="H3394" s="332"/>
      <c r="I3394" s="320"/>
      <c r="J3394" s="321"/>
    </row>
    <row r="3395" spans="1:10" x14ac:dyDescent="0.25">
      <c r="A3395" s="303"/>
      <c r="B3395" s="333" t="s">
        <v>346</v>
      </c>
      <c r="C3395" s="317"/>
      <c r="D3395" s="346"/>
      <c r="E3395" s="320"/>
      <c r="F3395" s="320"/>
      <c r="G3395" s="320"/>
      <c r="H3395" s="332"/>
      <c r="I3395" s="320"/>
      <c r="J3395" s="321"/>
    </row>
    <row r="3396" spans="1:10" x14ac:dyDescent="0.25">
      <c r="A3396" s="303"/>
      <c r="B3396" s="333" t="s">
        <v>346</v>
      </c>
      <c r="C3396" s="317"/>
      <c r="D3396" s="346"/>
      <c r="E3396" s="320"/>
      <c r="F3396" s="320"/>
      <c r="G3396" s="320"/>
      <c r="H3396" s="332"/>
      <c r="I3396" s="320"/>
      <c r="J3396" s="321"/>
    </row>
    <row r="3397" spans="1:10" x14ac:dyDescent="0.25">
      <c r="A3397" s="303"/>
      <c r="B3397" s="333" t="s">
        <v>346</v>
      </c>
      <c r="C3397" s="317"/>
      <c r="D3397" s="346"/>
      <c r="E3397" s="320"/>
      <c r="F3397" s="320"/>
      <c r="G3397" s="320"/>
      <c r="H3397" s="332"/>
      <c r="I3397" s="320"/>
      <c r="J3397" s="321"/>
    </row>
    <row r="3398" spans="1:10" x14ac:dyDescent="0.25">
      <c r="A3398" s="303"/>
      <c r="B3398" s="310"/>
      <c r="C3398" s="334"/>
      <c r="D3398" s="312"/>
      <c r="E3398" s="313"/>
      <c r="F3398" s="313"/>
      <c r="G3398" s="313"/>
      <c r="H3398" s="313"/>
      <c r="I3398" s="338" t="s">
        <v>513</v>
      </c>
      <c r="J3398" s="315">
        <v>0</v>
      </c>
    </row>
    <row r="3399" spans="1:10" x14ac:dyDescent="0.25">
      <c r="A3399" s="303"/>
      <c r="B3399" s="310" t="s">
        <v>514</v>
      </c>
      <c r="C3399" s="334"/>
      <c r="D3399" s="312"/>
      <c r="E3399" s="313"/>
      <c r="F3399" s="313"/>
      <c r="G3399" s="313"/>
      <c r="H3399" s="313"/>
      <c r="I3399" s="313"/>
      <c r="J3399" s="315">
        <v>0.60880000000000001</v>
      </c>
    </row>
    <row r="3400" spans="1:10" x14ac:dyDescent="0.25">
      <c r="A3400" s="303"/>
      <c r="B3400" s="310" t="s">
        <v>515</v>
      </c>
      <c r="C3400" s="334"/>
      <c r="D3400" s="312">
        <v>0</v>
      </c>
      <c r="E3400" s="313"/>
      <c r="F3400" s="313"/>
      <c r="G3400" s="313"/>
      <c r="H3400" s="313"/>
      <c r="I3400" s="313"/>
      <c r="J3400" s="315">
        <v>0</v>
      </c>
    </row>
    <row r="3401" spans="1:10" ht="14.4" thickBot="1" x14ac:dyDescent="0.3">
      <c r="A3401" s="303"/>
      <c r="B3401" s="310" t="s">
        <v>516</v>
      </c>
      <c r="C3401" s="334"/>
      <c r="D3401" s="312"/>
      <c r="E3401" s="313"/>
      <c r="F3401" s="313"/>
      <c r="G3401" s="313"/>
      <c r="H3401" s="313"/>
      <c r="I3401" s="313"/>
      <c r="J3401" s="347">
        <v>0.61</v>
      </c>
    </row>
    <row r="3402" spans="1:10" x14ac:dyDescent="0.25">
      <c r="A3402" s="303"/>
      <c r="B3402" s="304"/>
      <c r="C3402" s="305"/>
      <c r="D3402" s="348"/>
      <c r="E3402" s="308"/>
      <c r="F3402" s="308"/>
      <c r="G3402" s="308"/>
      <c r="H3402" s="308"/>
      <c r="I3402" s="308"/>
      <c r="J3402" s="309"/>
    </row>
    <row r="3403" spans="1:10" x14ac:dyDescent="0.25">
      <c r="A3403" s="303"/>
      <c r="B3403" s="316"/>
      <c r="C3403" s="303"/>
      <c r="D3403" s="318"/>
      <c r="E3403" s="319"/>
      <c r="F3403" s="319"/>
      <c r="G3403" s="319"/>
      <c r="H3403" s="319"/>
      <c r="I3403" s="319"/>
      <c r="J3403" s="349"/>
    </row>
    <row r="3404" spans="1:10" x14ac:dyDescent="0.25">
      <c r="A3404" s="303"/>
      <c r="B3404" s="316"/>
      <c r="C3404" s="303"/>
      <c r="D3404" s="318"/>
      <c r="E3404" s="319"/>
      <c r="F3404" s="319"/>
      <c r="G3404" s="319"/>
      <c r="H3404" s="319"/>
      <c r="I3404" s="319"/>
      <c r="J3404" s="349"/>
    </row>
    <row r="3405" spans="1:10" ht="14.4" thickBot="1" x14ac:dyDescent="0.3">
      <c r="A3405" s="303"/>
      <c r="B3405" s="350"/>
      <c r="C3405" s="303"/>
      <c r="D3405" s="318"/>
      <c r="E3405" s="319"/>
      <c r="F3405" s="319"/>
      <c r="G3405" s="319"/>
      <c r="H3405" s="319"/>
      <c r="I3405" s="319"/>
      <c r="J3405" s="351"/>
    </row>
    <row r="3406" spans="1:10" x14ac:dyDescent="0.25">
      <c r="A3406" s="303"/>
      <c r="B3406" s="305"/>
      <c r="C3406" s="305"/>
      <c r="D3406" s="348"/>
      <c r="E3406" s="308"/>
      <c r="F3406" s="308"/>
      <c r="G3406" s="308"/>
      <c r="H3406" s="308"/>
      <c r="I3406" s="308"/>
      <c r="J3406" s="352"/>
    </row>
    <row r="3407" spans="1:10" ht="14.4" thickBot="1" x14ac:dyDescent="0.3">
      <c r="A3407" s="303"/>
      <c r="B3407" s="303"/>
      <c r="C3407" s="303"/>
      <c r="D3407" s="318"/>
      <c r="E3407" s="319"/>
      <c r="F3407" s="319"/>
      <c r="G3407" s="319"/>
      <c r="H3407" s="319"/>
      <c r="I3407" s="319"/>
      <c r="J3407" s="353"/>
    </row>
    <row r="3408" spans="1:10" x14ac:dyDescent="0.25">
      <c r="A3408" s="303"/>
      <c r="B3408" s="304"/>
      <c r="C3408" s="305"/>
      <c r="D3408" s="306" t="s">
        <v>463</v>
      </c>
      <c r="E3408" s="307"/>
      <c r="F3408" s="307"/>
      <c r="G3408" s="308"/>
      <c r="H3408" s="308"/>
      <c r="I3408" s="308"/>
      <c r="J3408" s="309"/>
    </row>
    <row r="3409" spans="1:10" x14ac:dyDescent="0.25">
      <c r="A3409" s="303"/>
      <c r="B3409" s="310" t="s">
        <v>464</v>
      </c>
      <c r="C3409" s="311" t="s">
        <v>134</v>
      </c>
      <c r="D3409" s="312"/>
      <c r="E3409" s="313"/>
      <c r="F3409" s="313"/>
      <c r="G3409" s="313"/>
      <c r="H3409" s="314"/>
      <c r="I3409" s="313"/>
      <c r="J3409" s="315" t="s">
        <v>465</v>
      </c>
    </row>
    <row r="3410" spans="1:10" x14ac:dyDescent="0.25">
      <c r="A3410" s="303"/>
      <c r="B3410" s="316">
        <v>4413905</v>
      </c>
      <c r="C3410" s="317" t="s">
        <v>414</v>
      </c>
      <c r="D3410" s="318"/>
      <c r="E3410" s="319"/>
      <c r="F3410" s="319"/>
      <c r="G3410" s="319"/>
      <c r="H3410" s="320"/>
      <c r="I3410" s="319"/>
      <c r="J3410" s="321" t="s">
        <v>368</v>
      </c>
    </row>
    <row r="3411" spans="1:10" x14ac:dyDescent="0.25">
      <c r="A3411" s="303"/>
      <c r="B3411" s="310"/>
      <c r="C3411" s="311"/>
      <c r="D3411" s="312"/>
      <c r="E3411" s="314"/>
      <c r="F3411" s="314" t="s">
        <v>466</v>
      </c>
      <c r="G3411" s="314"/>
      <c r="H3411" s="314" t="s">
        <v>467</v>
      </c>
      <c r="I3411" s="314"/>
      <c r="J3411" s="322" t="s">
        <v>468</v>
      </c>
    </row>
    <row r="3412" spans="1:10" x14ac:dyDescent="0.25">
      <c r="A3412" s="303"/>
      <c r="B3412" s="316" t="s">
        <v>464</v>
      </c>
      <c r="C3412" s="317" t="s">
        <v>469</v>
      </c>
      <c r="D3412" s="318"/>
      <c r="E3412" s="323" t="s">
        <v>355</v>
      </c>
      <c r="F3412" s="324" t="s">
        <v>470</v>
      </c>
      <c r="G3412" s="324" t="s">
        <v>471</v>
      </c>
      <c r="H3412" s="324" t="s">
        <v>472</v>
      </c>
      <c r="I3412" s="325" t="s">
        <v>473</v>
      </c>
      <c r="J3412" s="326" t="s">
        <v>474</v>
      </c>
    </row>
    <row r="3413" spans="1:10" x14ac:dyDescent="0.25">
      <c r="A3413" s="303"/>
      <c r="B3413" s="327" t="s">
        <v>765</v>
      </c>
      <c r="C3413" s="311" t="s">
        <v>996</v>
      </c>
      <c r="D3413" s="312"/>
      <c r="E3413" s="328">
        <v>1</v>
      </c>
      <c r="F3413" s="328">
        <v>1</v>
      </c>
      <c r="G3413" s="328">
        <v>0</v>
      </c>
      <c r="H3413" s="329">
        <v>246.61580000000001</v>
      </c>
      <c r="I3413" s="329">
        <v>94.537199999999999</v>
      </c>
      <c r="J3413" s="315">
        <v>246.61580000000001</v>
      </c>
    </row>
    <row r="3414" spans="1:10" x14ac:dyDescent="0.25">
      <c r="A3414" s="303"/>
      <c r="B3414" s="333" t="s">
        <v>346</v>
      </c>
      <c r="C3414" s="317"/>
      <c r="D3414" s="318"/>
      <c r="E3414" s="331"/>
      <c r="F3414" s="331"/>
      <c r="G3414" s="331"/>
      <c r="H3414" s="332"/>
      <c r="I3414" s="332"/>
      <c r="J3414" s="321"/>
    </row>
    <row r="3415" spans="1:10" x14ac:dyDescent="0.25">
      <c r="A3415" s="303"/>
      <c r="B3415" s="333" t="s">
        <v>346</v>
      </c>
      <c r="C3415" s="317"/>
      <c r="D3415" s="318"/>
      <c r="E3415" s="331"/>
      <c r="F3415" s="331"/>
      <c r="G3415" s="331"/>
      <c r="H3415" s="332"/>
      <c r="I3415" s="332"/>
      <c r="J3415" s="321"/>
    </row>
    <row r="3416" spans="1:10" x14ac:dyDescent="0.25">
      <c r="A3416" s="303"/>
      <c r="B3416" s="333" t="s">
        <v>346</v>
      </c>
      <c r="C3416" s="317"/>
      <c r="D3416" s="318"/>
      <c r="E3416" s="331"/>
      <c r="F3416" s="331"/>
      <c r="G3416" s="331"/>
      <c r="H3416" s="332"/>
      <c r="I3416" s="332"/>
      <c r="J3416" s="321"/>
    </row>
    <row r="3417" spans="1:10" x14ac:dyDescent="0.25">
      <c r="A3417" s="303"/>
      <c r="B3417" s="333" t="s">
        <v>346</v>
      </c>
      <c r="C3417" s="317"/>
      <c r="D3417" s="318"/>
      <c r="E3417" s="331"/>
      <c r="F3417" s="331"/>
      <c r="G3417" s="331"/>
      <c r="H3417" s="332"/>
      <c r="I3417" s="332"/>
      <c r="J3417" s="321"/>
    </row>
    <row r="3418" spans="1:10" x14ac:dyDescent="0.25">
      <c r="A3418" s="303"/>
      <c r="B3418" s="333" t="s">
        <v>346</v>
      </c>
      <c r="C3418" s="317"/>
      <c r="D3418" s="318"/>
      <c r="E3418" s="331"/>
      <c r="F3418" s="331"/>
      <c r="G3418" s="331"/>
      <c r="H3418" s="332"/>
      <c r="I3418" s="332"/>
      <c r="J3418" s="321"/>
    </row>
    <row r="3419" spans="1:10" x14ac:dyDescent="0.25">
      <c r="A3419" s="303"/>
      <c r="B3419" s="333" t="s">
        <v>346</v>
      </c>
      <c r="C3419" s="317"/>
      <c r="D3419" s="318"/>
      <c r="E3419" s="331"/>
      <c r="F3419" s="331"/>
      <c r="G3419" s="331"/>
      <c r="H3419" s="332"/>
      <c r="I3419" s="332"/>
      <c r="J3419" s="321"/>
    </row>
    <row r="3420" spans="1:10" x14ac:dyDescent="0.25">
      <c r="A3420" s="303"/>
      <c r="B3420" s="310"/>
      <c r="C3420" s="334"/>
      <c r="D3420" s="312"/>
      <c r="E3420" s="313"/>
      <c r="F3420" s="313"/>
      <c r="G3420" s="313"/>
      <c r="H3420" s="313"/>
      <c r="I3420" s="335" t="s">
        <v>479</v>
      </c>
      <c r="J3420" s="315">
        <v>246.61580000000001</v>
      </c>
    </row>
    <row r="3421" spans="1:10" x14ac:dyDescent="0.25">
      <c r="A3421" s="303"/>
      <c r="B3421" s="310" t="s">
        <v>464</v>
      </c>
      <c r="C3421" s="311" t="s">
        <v>480</v>
      </c>
      <c r="D3421" s="312"/>
      <c r="E3421" s="313"/>
      <c r="F3421" s="313"/>
      <c r="G3421" s="313"/>
      <c r="H3421" s="324" t="s">
        <v>355</v>
      </c>
      <c r="I3421" s="336" t="s">
        <v>481</v>
      </c>
      <c r="J3421" s="322" t="s">
        <v>331</v>
      </c>
    </row>
    <row r="3422" spans="1:10" x14ac:dyDescent="0.25">
      <c r="A3422" s="303"/>
      <c r="B3422" s="337" t="s">
        <v>482</v>
      </c>
      <c r="C3422" s="311" t="s">
        <v>483</v>
      </c>
      <c r="D3422" s="312"/>
      <c r="E3422" s="313"/>
      <c r="F3422" s="313"/>
      <c r="G3422" s="313"/>
      <c r="H3422" s="314">
        <v>8</v>
      </c>
      <c r="I3422" s="329">
        <v>17.768000000000001</v>
      </c>
      <c r="J3422" s="315">
        <v>142.14400000000001</v>
      </c>
    </row>
    <row r="3423" spans="1:10" x14ac:dyDescent="0.25">
      <c r="A3423" s="303"/>
      <c r="B3423" s="333" t="s">
        <v>346</v>
      </c>
      <c r="C3423" s="317"/>
      <c r="D3423" s="318"/>
      <c r="E3423" s="319"/>
      <c r="F3423" s="319"/>
      <c r="G3423" s="319"/>
      <c r="H3423" s="320"/>
      <c r="I3423" s="332"/>
      <c r="J3423" s="321"/>
    </row>
    <row r="3424" spans="1:10" x14ac:dyDescent="0.25">
      <c r="A3424" s="303"/>
      <c r="B3424" s="333" t="s">
        <v>346</v>
      </c>
      <c r="C3424" s="317"/>
      <c r="D3424" s="318"/>
      <c r="E3424" s="319"/>
      <c r="F3424" s="319"/>
      <c r="G3424" s="319"/>
      <c r="H3424" s="320"/>
      <c r="I3424" s="332"/>
      <c r="J3424" s="321"/>
    </row>
    <row r="3425" spans="1:10" x14ac:dyDescent="0.25">
      <c r="A3425" s="303"/>
      <c r="B3425" s="333" t="s">
        <v>346</v>
      </c>
      <c r="C3425" s="317"/>
      <c r="D3425" s="318"/>
      <c r="E3425" s="319"/>
      <c r="F3425" s="319"/>
      <c r="G3425" s="319"/>
      <c r="H3425" s="320"/>
      <c r="I3425" s="332"/>
      <c r="J3425" s="321"/>
    </row>
    <row r="3426" spans="1:10" x14ac:dyDescent="0.25">
      <c r="A3426" s="303"/>
      <c r="B3426" s="333" t="s">
        <v>346</v>
      </c>
      <c r="C3426" s="317"/>
      <c r="D3426" s="318"/>
      <c r="E3426" s="319"/>
      <c r="F3426" s="319"/>
      <c r="G3426" s="319"/>
      <c r="H3426" s="320"/>
      <c r="I3426" s="332"/>
      <c r="J3426" s="321"/>
    </row>
    <row r="3427" spans="1:10" x14ac:dyDescent="0.25">
      <c r="A3427" s="303"/>
      <c r="B3427" s="333" t="s">
        <v>346</v>
      </c>
      <c r="C3427" s="317"/>
      <c r="D3427" s="318"/>
      <c r="E3427" s="319"/>
      <c r="F3427" s="319"/>
      <c r="G3427" s="319"/>
      <c r="H3427" s="320"/>
      <c r="I3427" s="332"/>
      <c r="J3427" s="321"/>
    </row>
    <row r="3428" spans="1:10" x14ac:dyDescent="0.25">
      <c r="A3428" s="303"/>
      <c r="B3428" s="333" t="s">
        <v>346</v>
      </c>
      <c r="C3428" s="317"/>
      <c r="D3428" s="318"/>
      <c r="E3428" s="319"/>
      <c r="F3428" s="319"/>
      <c r="G3428" s="319"/>
      <c r="H3428" s="320"/>
      <c r="I3428" s="332"/>
      <c r="J3428" s="321"/>
    </row>
    <row r="3429" spans="1:10" x14ac:dyDescent="0.25">
      <c r="A3429" s="303"/>
      <c r="B3429" s="310"/>
      <c r="C3429" s="334"/>
      <c r="D3429" s="312"/>
      <c r="E3429" s="313"/>
      <c r="F3429" s="313"/>
      <c r="G3429" s="313"/>
      <c r="H3429" s="313"/>
      <c r="I3429" s="338" t="s">
        <v>484</v>
      </c>
      <c r="J3429" s="315">
        <v>142.14400000000001</v>
      </c>
    </row>
    <row r="3430" spans="1:10" x14ac:dyDescent="0.25">
      <c r="A3430" s="303"/>
      <c r="B3430" s="339"/>
      <c r="C3430" s="334"/>
      <c r="D3430" s="312"/>
      <c r="E3430" s="313"/>
      <c r="F3430" s="313"/>
      <c r="G3430" s="313"/>
      <c r="H3430" s="313"/>
      <c r="I3430" s="338" t="s">
        <v>485</v>
      </c>
      <c r="J3430" s="340">
        <v>388.75980000000004</v>
      </c>
    </row>
    <row r="3431" spans="1:10" x14ac:dyDescent="0.25">
      <c r="A3431" s="303"/>
      <c r="B3431" s="339"/>
      <c r="C3431" s="341" t="s">
        <v>486</v>
      </c>
      <c r="D3431" s="312">
        <v>415</v>
      </c>
      <c r="E3431" s="313"/>
      <c r="F3431" s="313"/>
      <c r="G3431" s="313"/>
      <c r="H3431" s="313"/>
      <c r="I3431" s="338" t="s">
        <v>487</v>
      </c>
      <c r="J3431" s="340">
        <v>0.93679999999999997</v>
      </c>
    </row>
    <row r="3432" spans="1:10" x14ac:dyDescent="0.25">
      <c r="A3432" s="303"/>
      <c r="B3432" s="310"/>
      <c r="C3432" s="334"/>
      <c r="D3432" s="312"/>
      <c r="E3432" s="313"/>
      <c r="F3432" s="313"/>
      <c r="G3432" s="313"/>
      <c r="H3432" s="338" t="s">
        <v>488</v>
      </c>
      <c r="I3432" s="342">
        <v>0</v>
      </c>
      <c r="J3432" s="315">
        <v>0</v>
      </c>
    </row>
    <row r="3433" spans="1:10" x14ac:dyDescent="0.25">
      <c r="A3433" s="303"/>
      <c r="B3433" s="310"/>
      <c r="C3433" s="334"/>
      <c r="D3433" s="312"/>
      <c r="E3433" s="313"/>
      <c r="F3433" s="313"/>
      <c r="G3433" s="313"/>
      <c r="H3433" s="335" t="s">
        <v>489</v>
      </c>
      <c r="I3433" s="343">
        <v>0</v>
      </c>
      <c r="J3433" s="315">
        <v>0</v>
      </c>
    </row>
    <row r="3434" spans="1:10" x14ac:dyDescent="0.25">
      <c r="A3434" s="303"/>
      <c r="B3434" s="310" t="s">
        <v>464</v>
      </c>
      <c r="C3434" s="311" t="s">
        <v>490</v>
      </c>
      <c r="D3434" s="312"/>
      <c r="E3434" s="313"/>
      <c r="F3434" s="313"/>
      <c r="G3434" s="314" t="s">
        <v>465</v>
      </c>
      <c r="H3434" s="336" t="s">
        <v>468</v>
      </c>
      <c r="I3434" s="336" t="s">
        <v>491</v>
      </c>
      <c r="J3434" s="322" t="s">
        <v>492</v>
      </c>
    </row>
    <row r="3435" spans="1:10" x14ac:dyDescent="0.25">
      <c r="A3435" s="303"/>
      <c r="B3435" s="337" t="s">
        <v>766</v>
      </c>
      <c r="C3435" s="311" t="s">
        <v>997</v>
      </c>
      <c r="D3435" s="312"/>
      <c r="E3435" s="313"/>
      <c r="F3435" s="313"/>
      <c r="G3435" s="314" t="s">
        <v>560</v>
      </c>
      <c r="H3435" s="329">
        <v>34.107300000000002</v>
      </c>
      <c r="I3435" s="329">
        <v>2.8000000000000001E-2</v>
      </c>
      <c r="J3435" s="315">
        <v>0.95499999999999996</v>
      </c>
    </row>
    <row r="3436" spans="1:10" x14ac:dyDescent="0.25">
      <c r="A3436" s="303"/>
      <c r="B3436" s="333" t="s">
        <v>767</v>
      </c>
      <c r="C3436" s="317" t="s">
        <v>768</v>
      </c>
      <c r="D3436" s="318"/>
      <c r="E3436" s="319"/>
      <c r="F3436" s="319"/>
      <c r="G3436" s="320" t="s">
        <v>560</v>
      </c>
      <c r="H3436" s="332">
        <v>1.6803999999999999</v>
      </c>
      <c r="I3436" s="332">
        <v>3.0000000000000001E-3</v>
      </c>
      <c r="J3436" s="321">
        <v>5.0000000000000001E-3</v>
      </c>
    </row>
    <row r="3437" spans="1:10" x14ac:dyDescent="0.25">
      <c r="A3437" s="303"/>
      <c r="B3437" s="333" t="s">
        <v>769</v>
      </c>
      <c r="C3437" s="317" t="s">
        <v>998</v>
      </c>
      <c r="D3437" s="318"/>
      <c r="E3437" s="319"/>
      <c r="F3437" s="319"/>
      <c r="G3437" s="320" t="s">
        <v>560</v>
      </c>
      <c r="H3437" s="332">
        <v>1.7749999999999999</v>
      </c>
      <c r="I3437" s="332">
        <v>0.06</v>
      </c>
      <c r="J3437" s="321">
        <v>0.1065</v>
      </c>
    </row>
    <row r="3438" spans="1:10" x14ac:dyDescent="0.25">
      <c r="A3438" s="303"/>
      <c r="B3438" s="333" t="s">
        <v>770</v>
      </c>
      <c r="C3438" s="317" t="s">
        <v>771</v>
      </c>
      <c r="D3438" s="318"/>
      <c r="E3438" s="319"/>
      <c r="F3438" s="319"/>
      <c r="G3438" s="320" t="s">
        <v>560</v>
      </c>
      <c r="H3438" s="332">
        <v>11.741099999999999</v>
      </c>
      <c r="I3438" s="332">
        <v>2.5000000000000001E-2</v>
      </c>
      <c r="J3438" s="321">
        <v>0.29349999999999998</v>
      </c>
    </row>
    <row r="3439" spans="1:10" x14ac:dyDescent="0.25">
      <c r="A3439" s="303"/>
      <c r="B3439" s="333" t="s">
        <v>772</v>
      </c>
      <c r="C3439" s="317" t="s">
        <v>999</v>
      </c>
      <c r="D3439" s="318"/>
      <c r="E3439" s="319"/>
      <c r="F3439" s="319"/>
      <c r="G3439" s="320" t="s">
        <v>560</v>
      </c>
      <c r="H3439" s="332">
        <v>0.20230000000000001</v>
      </c>
      <c r="I3439" s="332">
        <v>0.2</v>
      </c>
      <c r="J3439" s="321">
        <v>4.0500000000000001E-2</v>
      </c>
    </row>
    <row r="3440" spans="1:10" x14ac:dyDescent="0.25">
      <c r="A3440" s="303"/>
      <c r="B3440" s="333" t="s">
        <v>773</v>
      </c>
      <c r="C3440" s="317" t="s">
        <v>1000</v>
      </c>
      <c r="D3440" s="318"/>
      <c r="E3440" s="319"/>
      <c r="F3440" s="319"/>
      <c r="G3440" s="320" t="s">
        <v>560</v>
      </c>
      <c r="H3440" s="332">
        <v>9.4200000000000006E-2</v>
      </c>
      <c r="I3440" s="332">
        <v>0.17499999999999999</v>
      </c>
      <c r="J3440" s="321">
        <v>1.6500000000000001E-2</v>
      </c>
    </row>
    <row r="3441" spans="1:10" x14ac:dyDescent="0.25">
      <c r="A3441" s="303"/>
      <c r="B3441" s="333" t="s">
        <v>774</v>
      </c>
      <c r="C3441" s="317" t="s">
        <v>1001</v>
      </c>
      <c r="D3441" s="318"/>
      <c r="E3441" s="319"/>
      <c r="F3441" s="319"/>
      <c r="G3441" s="320" t="s">
        <v>560</v>
      </c>
      <c r="H3441" s="332">
        <v>1.0596000000000001</v>
      </c>
      <c r="I3441" s="332">
        <v>0.5</v>
      </c>
      <c r="J3441" s="321">
        <v>0.52980000000000005</v>
      </c>
    </row>
    <row r="3442" spans="1:10" x14ac:dyDescent="0.25">
      <c r="A3442" s="303"/>
      <c r="B3442" s="310"/>
      <c r="C3442" s="334"/>
      <c r="D3442" s="312"/>
      <c r="E3442" s="313"/>
      <c r="F3442" s="313"/>
      <c r="G3442" s="313"/>
      <c r="H3442" s="343"/>
      <c r="I3442" s="335" t="s">
        <v>498</v>
      </c>
      <c r="J3442" s="315">
        <v>1.9467999999999999</v>
      </c>
    </row>
    <row r="3443" spans="1:10" x14ac:dyDescent="0.25">
      <c r="A3443" s="303"/>
      <c r="B3443" s="310" t="s">
        <v>464</v>
      </c>
      <c r="C3443" s="311" t="s">
        <v>499</v>
      </c>
      <c r="D3443" s="312"/>
      <c r="E3443" s="313"/>
      <c r="F3443" s="313"/>
      <c r="G3443" s="314" t="s">
        <v>465</v>
      </c>
      <c r="H3443" s="336" t="s">
        <v>468</v>
      </c>
      <c r="I3443" s="336" t="s">
        <v>491</v>
      </c>
      <c r="J3443" s="322" t="s">
        <v>492</v>
      </c>
    </row>
    <row r="3444" spans="1:10" x14ac:dyDescent="0.25">
      <c r="A3444" s="303"/>
      <c r="B3444" s="337"/>
      <c r="C3444" s="311"/>
      <c r="D3444" s="312"/>
      <c r="E3444" s="313"/>
      <c r="F3444" s="313"/>
      <c r="G3444" s="314"/>
      <c r="H3444" s="329"/>
      <c r="I3444" s="329"/>
      <c r="J3444" s="315"/>
    </row>
    <row r="3445" spans="1:10" x14ac:dyDescent="0.25">
      <c r="A3445" s="303"/>
      <c r="B3445" s="333"/>
      <c r="C3445" s="317"/>
      <c r="D3445" s="318"/>
      <c r="E3445" s="319"/>
      <c r="F3445" s="319"/>
      <c r="G3445" s="320"/>
      <c r="H3445" s="332"/>
      <c r="I3445" s="332"/>
      <c r="J3445" s="321"/>
    </row>
    <row r="3446" spans="1:10" x14ac:dyDescent="0.25">
      <c r="A3446" s="303"/>
      <c r="B3446" s="333"/>
      <c r="C3446" s="317"/>
      <c r="D3446" s="318"/>
      <c r="E3446" s="319"/>
      <c r="F3446" s="319"/>
      <c r="G3446" s="320"/>
      <c r="H3446" s="332"/>
      <c r="I3446" s="332"/>
      <c r="J3446" s="321"/>
    </row>
    <row r="3447" spans="1:10" x14ac:dyDescent="0.25">
      <c r="A3447" s="303"/>
      <c r="B3447" s="333"/>
      <c r="C3447" s="317"/>
      <c r="D3447" s="318"/>
      <c r="E3447" s="319"/>
      <c r="F3447" s="319"/>
      <c r="G3447" s="320"/>
      <c r="H3447" s="332"/>
      <c r="I3447" s="332"/>
      <c r="J3447" s="321"/>
    </row>
    <row r="3448" spans="1:10" x14ac:dyDescent="0.25">
      <c r="A3448" s="303"/>
      <c r="B3448" s="333"/>
      <c r="C3448" s="317"/>
      <c r="D3448" s="318"/>
      <c r="E3448" s="319"/>
      <c r="F3448" s="319"/>
      <c r="G3448" s="320"/>
      <c r="H3448" s="332"/>
      <c r="I3448" s="332"/>
      <c r="J3448" s="321"/>
    </row>
    <row r="3449" spans="1:10" x14ac:dyDescent="0.25">
      <c r="A3449" s="303"/>
      <c r="B3449" s="310"/>
      <c r="C3449" s="334"/>
      <c r="D3449" s="312"/>
      <c r="E3449" s="313"/>
      <c r="F3449" s="313"/>
      <c r="G3449" s="313"/>
      <c r="H3449" s="343"/>
      <c r="I3449" s="335" t="s">
        <v>501</v>
      </c>
      <c r="J3449" s="315">
        <v>0</v>
      </c>
    </row>
    <row r="3450" spans="1:10" x14ac:dyDescent="0.25">
      <c r="A3450" s="303"/>
      <c r="B3450" s="310" t="s">
        <v>464</v>
      </c>
      <c r="C3450" s="311" t="s">
        <v>502</v>
      </c>
      <c r="D3450" s="312"/>
      <c r="E3450" s="313"/>
      <c r="F3450" s="314" t="s">
        <v>464</v>
      </c>
      <c r="G3450" s="324" t="s">
        <v>503</v>
      </c>
      <c r="H3450" s="329" t="s">
        <v>465</v>
      </c>
      <c r="I3450" s="336" t="s">
        <v>468</v>
      </c>
      <c r="J3450" s="322" t="s">
        <v>492</v>
      </c>
    </row>
    <row r="3451" spans="1:10" x14ac:dyDescent="0.25">
      <c r="A3451" s="303"/>
      <c r="B3451" s="337" t="s">
        <v>1002</v>
      </c>
      <c r="C3451" s="311" t="s">
        <v>1003</v>
      </c>
      <c r="D3451" s="312"/>
      <c r="E3451" s="313"/>
      <c r="F3451" s="344" t="s">
        <v>632</v>
      </c>
      <c r="G3451" s="314">
        <v>3.0000000000000001E-5</v>
      </c>
      <c r="H3451" s="329" t="s">
        <v>370</v>
      </c>
      <c r="I3451" s="329">
        <v>26.18</v>
      </c>
      <c r="J3451" s="315">
        <v>8.0000000000000004E-4</v>
      </c>
    </row>
    <row r="3452" spans="1:10" x14ac:dyDescent="0.25">
      <c r="A3452" s="303"/>
      <c r="B3452" s="333" t="s">
        <v>1004</v>
      </c>
      <c r="C3452" s="317" t="s">
        <v>1005</v>
      </c>
      <c r="D3452" s="318"/>
      <c r="E3452" s="319"/>
      <c r="F3452" s="354" t="s">
        <v>632</v>
      </c>
      <c r="G3452" s="320">
        <v>6.0000000000000002E-5</v>
      </c>
      <c r="H3452" s="332" t="s">
        <v>370</v>
      </c>
      <c r="I3452" s="332">
        <v>26.18</v>
      </c>
      <c r="J3452" s="321">
        <v>1.6000000000000001E-3</v>
      </c>
    </row>
    <row r="3453" spans="1:10" x14ac:dyDescent="0.25">
      <c r="A3453" s="303"/>
      <c r="B3453" s="333" t="s">
        <v>775</v>
      </c>
      <c r="C3453" s="317" t="s">
        <v>776</v>
      </c>
      <c r="D3453" s="318"/>
      <c r="E3453" s="319"/>
      <c r="F3453" s="354" t="s">
        <v>632</v>
      </c>
      <c r="G3453" s="320">
        <v>3.0000000000000001E-5</v>
      </c>
      <c r="H3453" s="332" t="s">
        <v>370</v>
      </c>
      <c r="I3453" s="332">
        <v>26.18</v>
      </c>
      <c r="J3453" s="321">
        <v>8.0000000000000004E-4</v>
      </c>
    </row>
    <row r="3454" spans="1:10" x14ac:dyDescent="0.25">
      <c r="A3454" s="303"/>
      <c r="B3454" s="333" t="s">
        <v>1006</v>
      </c>
      <c r="C3454" s="317" t="s">
        <v>1007</v>
      </c>
      <c r="D3454" s="318"/>
      <c r="E3454" s="319"/>
      <c r="F3454" s="354" t="s">
        <v>632</v>
      </c>
      <c r="G3454" s="320">
        <v>2.0000000000000001E-4</v>
      </c>
      <c r="H3454" s="332" t="s">
        <v>370</v>
      </c>
      <c r="I3454" s="332">
        <v>26.18</v>
      </c>
      <c r="J3454" s="321">
        <v>5.1999999999999998E-3</v>
      </c>
    </row>
    <row r="3455" spans="1:10" x14ac:dyDescent="0.25">
      <c r="A3455" s="303"/>
      <c r="B3455" s="333" t="s">
        <v>1008</v>
      </c>
      <c r="C3455" s="317" t="s">
        <v>1009</v>
      </c>
      <c r="D3455" s="318"/>
      <c r="E3455" s="319"/>
      <c r="F3455" s="354" t="s">
        <v>632</v>
      </c>
      <c r="G3455" s="320">
        <v>1.8000000000000001E-4</v>
      </c>
      <c r="H3455" s="332" t="s">
        <v>370</v>
      </c>
      <c r="I3455" s="332">
        <v>26.18</v>
      </c>
      <c r="J3455" s="321">
        <v>4.7000000000000002E-3</v>
      </c>
    </row>
    <row r="3456" spans="1:10" x14ac:dyDescent="0.25">
      <c r="A3456" s="303"/>
      <c r="B3456" s="333" t="s">
        <v>1010</v>
      </c>
      <c r="C3456" s="317" t="s">
        <v>1011</v>
      </c>
      <c r="D3456" s="318"/>
      <c r="E3456" s="319"/>
      <c r="F3456" s="354" t="s">
        <v>632</v>
      </c>
      <c r="G3456" s="320">
        <v>5.0000000000000001E-4</v>
      </c>
      <c r="H3456" s="332" t="s">
        <v>370</v>
      </c>
      <c r="I3456" s="332">
        <v>26.18</v>
      </c>
      <c r="J3456" s="321">
        <v>1.3100000000000001E-2</v>
      </c>
    </row>
    <row r="3457" spans="1:10" x14ac:dyDescent="0.25">
      <c r="A3457" s="303"/>
      <c r="B3457" s="310"/>
      <c r="C3457" s="334"/>
      <c r="D3457" s="312"/>
      <c r="E3457" s="313"/>
      <c r="F3457" s="313"/>
      <c r="G3457" s="313"/>
      <c r="H3457" s="343"/>
      <c r="I3457" s="338" t="s">
        <v>507</v>
      </c>
      <c r="J3457" s="315">
        <v>2.6200000000000001E-2</v>
      </c>
    </row>
    <row r="3458" spans="1:10" x14ac:dyDescent="0.25">
      <c r="A3458" s="303"/>
      <c r="B3458" s="310" t="s">
        <v>464</v>
      </c>
      <c r="C3458" s="311" t="s">
        <v>508</v>
      </c>
      <c r="D3458" s="345" t="s">
        <v>509</v>
      </c>
      <c r="E3458" s="324" t="s">
        <v>873</v>
      </c>
      <c r="F3458" s="324" t="s">
        <v>874</v>
      </c>
      <c r="G3458" s="324" t="s">
        <v>875</v>
      </c>
      <c r="H3458" s="336" t="s">
        <v>468</v>
      </c>
      <c r="I3458" s="324" t="s">
        <v>491</v>
      </c>
      <c r="J3458" s="322" t="s">
        <v>492</v>
      </c>
    </row>
    <row r="3459" spans="1:10" x14ac:dyDescent="0.25">
      <c r="A3459" s="303"/>
      <c r="B3459" s="337" t="s">
        <v>777</v>
      </c>
      <c r="C3459" s="311" t="s">
        <v>1012</v>
      </c>
      <c r="D3459" s="345" t="s">
        <v>510</v>
      </c>
      <c r="E3459" s="314">
        <v>0</v>
      </c>
      <c r="F3459" s="314">
        <v>0</v>
      </c>
      <c r="G3459" s="314">
        <v>100.45</v>
      </c>
      <c r="H3459" s="329">
        <v>0.55000000000000004</v>
      </c>
      <c r="I3459" s="314">
        <v>3.0000000000000001E-5</v>
      </c>
      <c r="J3459" s="315">
        <v>1.6999999999999999E-3</v>
      </c>
    </row>
    <row r="3460" spans="1:10" x14ac:dyDescent="0.25">
      <c r="A3460" s="303"/>
      <c r="B3460" s="333" t="s">
        <v>778</v>
      </c>
      <c r="C3460" s="317" t="s">
        <v>1013</v>
      </c>
      <c r="D3460" s="346" t="s">
        <v>510</v>
      </c>
      <c r="E3460" s="320">
        <v>0</v>
      </c>
      <c r="F3460" s="320">
        <v>0</v>
      </c>
      <c r="G3460" s="320">
        <v>100.45</v>
      </c>
      <c r="H3460" s="332">
        <v>0.55000000000000004</v>
      </c>
      <c r="I3460" s="320">
        <v>6.0000000000000002E-5</v>
      </c>
      <c r="J3460" s="321">
        <v>3.3E-3</v>
      </c>
    </row>
    <row r="3461" spans="1:10" x14ac:dyDescent="0.25">
      <c r="A3461" s="303"/>
      <c r="B3461" s="333" t="s">
        <v>779</v>
      </c>
      <c r="C3461" s="317" t="s">
        <v>780</v>
      </c>
      <c r="D3461" s="346" t="s">
        <v>510</v>
      </c>
      <c r="E3461" s="320">
        <v>0</v>
      </c>
      <c r="F3461" s="320">
        <v>0</v>
      </c>
      <c r="G3461" s="320">
        <v>100.45</v>
      </c>
      <c r="H3461" s="332">
        <v>0.55000000000000004</v>
      </c>
      <c r="I3461" s="320">
        <v>3.0000000000000001E-5</v>
      </c>
      <c r="J3461" s="321">
        <v>1.6999999999999999E-3</v>
      </c>
    </row>
    <row r="3462" spans="1:10" x14ac:dyDescent="0.25">
      <c r="A3462" s="303"/>
      <c r="B3462" s="333" t="s">
        <v>781</v>
      </c>
      <c r="C3462" s="317" t="s">
        <v>1014</v>
      </c>
      <c r="D3462" s="346" t="s">
        <v>510</v>
      </c>
      <c r="E3462" s="320">
        <v>0</v>
      </c>
      <c r="F3462" s="320">
        <v>0</v>
      </c>
      <c r="G3462" s="320">
        <v>100.45</v>
      </c>
      <c r="H3462" s="332">
        <v>0.55000000000000004</v>
      </c>
      <c r="I3462" s="320">
        <v>2.0000000000000001E-4</v>
      </c>
      <c r="J3462" s="321">
        <v>1.0999999999999999E-2</v>
      </c>
    </row>
    <row r="3463" spans="1:10" x14ac:dyDescent="0.25">
      <c r="A3463" s="303"/>
      <c r="B3463" s="333" t="s">
        <v>782</v>
      </c>
      <c r="C3463" s="317" t="s">
        <v>1015</v>
      </c>
      <c r="D3463" s="346" t="s">
        <v>510</v>
      </c>
      <c r="E3463" s="320">
        <v>0</v>
      </c>
      <c r="F3463" s="320">
        <v>0</v>
      </c>
      <c r="G3463" s="320">
        <v>100.45</v>
      </c>
      <c r="H3463" s="332">
        <v>0.55000000000000004</v>
      </c>
      <c r="I3463" s="320">
        <v>1.8000000000000001E-4</v>
      </c>
      <c r="J3463" s="321">
        <v>9.9000000000000008E-3</v>
      </c>
    </row>
    <row r="3464" spans="1:10" x14ac:dyDescent="0.25">
      <c r="A3464" s="303"/>
      <c r="B3464" s="333" t="s">
        <v>783</v>
      </c>
      <c r="C3464" s="317" t="s">
        <v>1016</v>
      </c>
      <c r="D3464" s="346" t="s">
        <v>510</v>
      </c>
      <c r="E3464" s="320">
        <v>0</v>
      </c>
      <c r="F3464" s="320">
        <v>0</v>
      </c>
      <c r="G3464" s="320">
        <v>100.45</v>
      </c>
      <c r="H3464" s="332">
        <v>0.55000000000000004</v>
      </c>
      <c r="I3464" s="320">
        <v>5.0000000000000001E-4</v>
      </c>
      <c r="J3464" s="321">
        <v>2.76E-2</v>
      </c>
    </row>
    <row r="3465" spans="1:10" x14ac:dyDescent="0.25">
      <c r="A3465" s="303"/>
      <c r="B3465" s="333" t="s">
        <v>346</v>
      </c>
      <c r="C3465" s="317"/>
      <c r="D3465" s="346"/>
      <c r="E3465" s="320"/>
      <c r="F3465" s="320"/>
      <c r="G3465" s="320"/>
      <c r="H3465" s="332"/>
      <c r="I3465" s="320"/>
      <c r="J3465" s="321"/>
    </row>
    <row r="3466" spans="1:10" x14ac:dyDescent="0.25">
      <c r="A3466" s="303"/>
      <c r="B3466" s="310"/>
      <c r="C3466" s="334"/>
      <c r="D3466" s="312"/>
      <c r="E3466" s="313"/>
      <c r="F3466" s="313"/>
      <c r="G3466" s="313"/>
      <c r="H3466" s="313"/>
      <c r="I3466" s="338" t="s">
        <v>513</v>
      </c>
      <c r="J3466" s="315">
        <v>5.5199999999999999E-2</v>
      </c>
    </row>
    <row r="3467" spans="1:10" x14ac:dyDescent="0.25">
      <c r="A3467" s="303"/>
      <c r="B3467" s="310" t="s">
        <v>514</v>
      </c>
      <c r="C3467" s="334"/>
      <c r="D3467" s="312"/>
      <c r="E3467" s="313"/>
      <c r="F3467" s="313"/>
      <c r="G3467" s="313"/>
      <c r="H3467" s="313"/>
      <c r="I3467" s="313"/>
      <c r="J3467" s="315">
        <v>2.9650000000000003</v>
      </c>
    </row>
    <row r="3468" spans="1:10" x14ac:dyDescent="0.25">
      <c r="A3468" s="303"/>
      <c r="B3468" s="310" t="s">
        <v>515</v>
      </c>
      <c r="C3468" s="334"/>
      <c r="D3468" s="312">
        <v>0</v>
      </c>
      <c r="E3468" s="313"/>
      <c r="F3468" s="313"/>
      <c r="G3468" s="313"/>
      <c r="H3468" s="313"/>
      <c r="I3468" s="313"/>
      <c r="J3468" s="315">
        <v>0</v>
      </c>
    </row>
    <row r="3469" spans="1:10" ht="14.4" thickBot="1" x14ac:dyDescent="0.3">
      <c r="A3469" s="303"/>
      <c r="B3469" s="310" t="s">
        <v>516</v>
      </c>
      <c r="C3469" s="334"/>
      <c r="D3469" s="312"/>
      <c r="E3469" s="313"/>
      <c r="F3469" s="313"/>
      <c r="G3469" s="313"/>
      <c r="H3469" s="313"/>
      <c r="I3469" s="313"/>
      <c r="J3469" s="347">
        <v>2.97</v>
      </c>
    </row>
    <row r="3470" spans="1:10" x14ac:dyDescent="0.25">
      <c r="A3470" s="303"/>
      <c r="B3470" s="304"/>
      <c r="C3470" s="305"/>
      <c r="D3470" s="348"/>
      <c r="E3470" s="308"/>
      <c r="F3470" s="308"/>
      <c r="G3470" s="308"/>
      <c r="H3470" s="308"/>
      <c r="I3470" s="308"/>
      <c r="J3470" s="309"/>
    </row>
    <row r="3471" spans="1:10" x14ac:dyDescent="0.25">
      <c r="A3471" s="303"/>
      <c r="B3471" s="316"/>
      <c r="C3471" s="303"/>
      <c r="D3471" s="318"/>
      <c r="E3471" s="319"/>
      <c r="F3471" s="319"/>
      <c r="G3471" s="319"/>
      <c r="H3471" s="319"/>
      <c r="I3471" s="319"/>
      <c r="J3471" s="349"/>
    </row>
    <row r="3472" spans="1:10" x14ac:dyDescent="0.25">
      <c r="A3472" s="303"/>
      <c r="B3472" s="316"/>
      <c r="C3472" s="303"/>
      <c r="D3472" s="318"/>
      <c r="E3472" s="319"/>
      <c r="F3472" s="319"/>
      <c r="G3472" s="319"/>
      <c r="H3472" s="319"/>
      <c r="I3472" s="319"/>
      <c r="J3472" s="349"/>
    </row>
    <row r="3473" spans="1:10" ht="14.4" thickBot="1" x14ac:dyDescent="0.3">
      <c r="A3473" s="303"/>
      <c r="B3473" s="350"/>
      <c r="C3473" s="303"/>
      <c r="D3473" s="318"/>
      <c r="E3473" s="319"/>
      <c r="F3473" s="319"/>
      <c r="G3473" s="319"/>
      <c r="H3473" s="319"/>
      <c r="I3473" s="319"/>
      <c r="J3473" s="351"/>
    </row>
    <row r="3474" spans="1:10" x14ac:dyDescent="0.25">
      <c r="A3474" s="303"/>
      <c r="B3474" s="305"/>
      <c r="C3474" s="305"/>
      <c r="D3474" s="348"/>
      <c r="E3474" s="308"/>
      <c r="F3474" s="308"/>
      <c r="G3474" s="308"/>
      <c r="H3474" s="308"/>
      <c r="I3474" s="308"/>
      <c r="J3474" s="352"/>
    </row>
    <row r="3475" spans="1:10" ht="14.4" thickBot="1" x14ac:dyDescent="0.3">
      <c r="A3475" s="303"/>
      <c r="B3475" s="303"/>
      <c r="C3475" s="303"/>
      <c r="D3475" s="318"/>
      <c r="E3475" s="319"/>
      <c r="F3475" s="319"/>
      <c r="G3475" s="319"/>
      <c r="H3475" s="319"/>
      <c r="I3475" s="319"/>
      <c r="J3475" s="353"/>
    </row>
    <row r="3476" spans="1:10" x14ac:dyDescent="0.25">
      <c r="A3476" s="303"/>
      <c r="B3476" s="304"/>
      <c r="C3476" s="305"/>
      <c r="D3476" s="306" t="s">
        <v>463</v>
      </c>
      <c r="E3476" s="307"/>
      <c r="F3476" s="307"/>
      <c r="G3476" s="308"/>
      <c r="H3476" s="308"/>
      <c r="I3476" s="308"/>
      <c r="J3476" s="309"/>
    </row>
    <row r="3477" spans="1:10" x14ac:dyDescent="0.25">
      <c r="A3477" s="303"/>
      <c r="B3477" s="310" t="s">
        <v>464</v>
      </c>
      <c r="C3477" s="311" t="s">
        <v>134</v>
      </c>
      <c r="D3477" s="312"/>
      <c r="E3477" s="313"/>
      <c r="F3477" s="313"/>
      <c r="G3477" s="313"/>
      <c r="H3477" s="314"/>
      <c r="I3477" s="313"/>
      <c r="J3477" s="315" t="s">
        <v>465</v>
      </c>
    </row>
    <row r="3478" spans="1:10" x14ac:dyDescent="0.25">
      <c r="A3478" s="303"/>
      <c r="B3478" s="316">
        <v>4915725</v>
      </c>
      <c r="C3478" s="317" t="s">
        <v>416</v>
      </c>
      <c r="D3478" s="318"/>
      <c r="E3478" s="319"/>
      <c r="F3478" s="319"/>
      <c r="G3478" s="319"/>
      <c r="H3478" s="320"/>
      <c r="I3478" s="319"/>
      <c r="J3478" s="321" t="s">
        <v>372</v>
      </c>
    </row>
    <row r="3479" spans="1:10" x14ac:dyDescent="0.25">
      <c r="A3479" s="303"/>
      <c r="B3479" s="310"/>
      <c r="C3479" s="311"/>
      <c r="D3479" s="312"/>
      <c r="E3479" s="314"/>
      <c r="F3479" s="314" t="s">
        <v>466</v>
      </c>
      <c r="G3479" s="314"/>
      <c r="H3479" s="314" t="s">
        <v>467</v>
      </c>
      <c r="I3479" s="314"/>
      <c r="J3479" s="322" t="s">
        <v>468</v>
      </c>
    </row>
    <row r="3480" spans="1:10" x14ac:dyDescent="0.25">
      <c r="A3480" s="303"/>
      <c r="B3480" s="316" t="s">
        <v>464</v>
      </c>
      <c r="C3480" s="317" t="s">
        <v>469</v>
      </c>
      <c r="D3480" s="318"/>
      <c r="E3480" s="323" t="s">
        <v>355</v>
      </c>
      <c r="F3480" s="324" t="s">
        <v>470</v>
      </c>
      <c r="G3480" s="324" t="s">
        <v>471</v>
      </c>
      <c r="H3480" s="324" t="s">
        <v>472</v>
      </c>
      <c r="I3480" s="325" t="s">
        <v>473</v>
      </c>
      <c r="J3480" s="326" t="s">
        <v>474</v>
      </c>
    </row>
    <row r="3481" spans="1:10" x14ac:dyDescent="0.25">
      <c r="A3481" s="303"/>
      <c r="B3481" s="327" t="s">
        <v>651</v>
      </c>
      <c r="C3481" s="311" t="s">
        <v>652</v>
      </c>
      <c r="D3481" s="312"/>
      <c r="E3481" s="328">
        <v>1</v>
      </c>
      <c r="F3481" s="328">
        <v>0.12</v>
      </c>
      <c r="G3481" s="328">
        <v>0.88</v>
      </c>
      <c r="H3481" s="329">
        <v>114.22329999999999</v>
      </c>
      <c r="I3481" s="329">
        <v>46.994700000000002</v>
      </c>
      <c r="J3481" s="315">
        <v>55.062100000000001</v>
      </c>
    </row>
    <row r="3482" spans="1:10" x14ac:dyDescent="0.25">
      <c r="A3482" s="303"/>
      <c r="B3482" s="333" t="s">
        <v>346</v>
      </c>
      <c r="C3482" s="317"/>
      <c r="D3482" s="318"/>
      <c r="E3482" s="331"/>
      <c r="F3482" s="331"/>
      <c r="G3482" s="331"/>
      <c r="H3482" s="332"/>
      <c r="I3482" s="332"/>
      <c r="J3482" s="321"/>
    </row>
    <row r="3483" spans="1:10" x14ac:dyDescent="0.25">
      <c r="A3483" s="303"/>
      <c r="B3483" s="333" t="s">
        <v>346</v>
      </c>
      <c r="C3483" s="317"/>
      <c r="D3483" s="318"/>
      <c r="E3483" s="331"/>
      <c r="F3483" s="331"/>
      <c r="G3483" s="331"/>
      <c r="H3483" s="332"/>
      <c r="I3483" s="332"/>
      <c r="J3483" s="321"/>
    </row>
    <row r="3484" spans="1:10" x14ac:dyDescent="0.25">
      <c r="A3484" s="303"/>
      <c r="B3484" s="333" t="s">
        <v>346</v>
      </c>
      <c r="C3484" s="317"/>
      <c r="D3484" s="318"/>
      <c r="E3484" s="331"/>
      <c r="F3484" s="331"/>
      <c r="G3484" s="331"/>
      <c r="H3484" s="332"/>
      <c r="I3484" s="332"/>
      <c r="J3484" s="321"/>
    </row>
    <row r="3485" spans="1:10" x14ac:dyDescent="0.25">
      <c r="A3485" s="303"/>
      <c r="B3485" s="333" t="s">
        <v>346</v>
      </c>
      <c r="C3485" s="317"/>
      <c r="D3485" s="318"/>
      <c r="E3485" s="331"/>
      <c r="F3485" s="331"/>
      <c r="G3485" s="331"/>
      <c r="H3485" s="332"/>
      <c r="I3485" s="332"/>
      <c r="J3485" s="321"/>
    </row>
    <row r="3486" spans="1:10" x14ac:dyDescent="0.25">
      <c r="A3486" s="303"/>
      <c r="B3486" s="333" t="s">
        <v>346</v>
      </c>
      <c r="C3486" s="317"/>
      <c r="D3486" s="318"/>
      <c r="E3486" s="331"/>
      <c r="F3486" s="331"/>
      <c r="G3486" s="331"/>
      <c r="H3486" s="332"/>
      <c r="I3486" s="332"/>
      <c r="J3486" s="321"/>
    </row>
    <row r="3487" spans="1:10" x14ac:dyDescent="0.25">
      <c r="A3487" s="303"/>
      <c r="B3487" s="333" t="s">
        <v>346</v>
      </c>
      <c r="C3487" s="317"/>
      <c r="D3487" s="318"/>
      <c r="E3487" s="331"/>
      <c r="F3487" s="331"/>
      <c r="G3487" s="331"/>
      <c r="H3487" s="332"/>
      <c r="I3487" s="332"/>
      <c r="J3487" s="321"/>
    </row>
    <row r="3488" spans="1:10" x14ac:dyDescent="0.25">
      <c r="A3488" s="303"/>
      <c r="B3488" s="310"/>
      <c r="C3488" s="334"/>
      <c r="D3488" s="312"/>
      <c r="E3488" s="313"/>
      <c r="F3488" s="313"/>
      <c r="G3488" s="313"/>
      <c r="H3488" s="313"/>
      <c r="I3488" s="335" t="s">
        <v>479</v>
      </c>
      <c r="J3488" s="315">
        <v>55.062100000000001</v>
      </c>
    </row>
    <row r="3489" spans="1:10" x14ac:dyDescent="0.25">
      <c r="A3489" s="303"/>
      <c r="B3489" s="310" t="s">
        <v>464</v>
      </c>
      <c r="C3489" s="311" t="s">
        <v>480</v>
      </c>
      <c r="D3489" s="312"/>
      <c r="E3489" s="313"/>
      <c r="F3489" s="313"/>
      <c r="G3489" s="313"/>
      <c r="H3489" s="324" t="s">
        <v>355</v>
      </c>
      <c r="I3489" s="336" t="s">
        <v>481</v>
      </c>
      <c r="J3489" s="322" t="s">
        <v>331</v>
      </c>
    </row>
    <row r="3490" spans="1:10" x14ac:dyDescent="0.25">
      <c r="A3490" s="303"/>
      <c r="B3490" s="337" t="s">
        <v>482</v>
      </c>
      <c r="C3490" s="311" t="s">
        <v>483</v>
      </c>
      <c r="D3490" s="312"/>
      <c r="E3490" s="313"/>
      <c r="F3490" s="313"/>
      <c r="G3490" s="313"/>
      <c r="H3490" s="314">
        <v>10</v>
      </c>
      <c r="I3490" s="329">
        <v>17.768000000000001</v>
      </c>
      <c r="J3490" s="315">
        <v>177.68</v>
      </c>
    </row>
    <row r="3491" spans="1:10" x14ac:dyDescent="0.25">
      <c r="A3491" s="303"/>
      <c r="B3491" s="333" t="s">
        <v>346</v>
      </c>
      <c r="C3491" s="317"/>
      <c r="D3491" s="318"/>
      <c r="E3491" s="319"/>
      <c r="F3491" s="319"/>
      <c r="G3491" s="319"/>
      <c r="H3491" s="320"/>
      <c r="I3491" s="332"/>
      <c r="J3491" s="321"/>
    </row>
    <row r="3492" spans="1:10" x14ac:dyDescent="0.25">
      <c r="A3492" s="303"/>
      <c r="B3492" s="333" t="s">
        <v>346</v>
      </c>
      <c r="C3492" s="317"/>
      <c r="D3492" s="318"/>
      <c r="E3492" s="319"/>
      <c r="F3492" s="319"/>
      <c r="G3492" s="319"/>
      <c r="H3492" s="320"/>
      <c r="I3492" s="332"/>
      <c r="J3492" s="321"/>
    </row>
    <row r="3493" spans="1:10" x14ac:dyDescent="0.25">
      <c r="A3493" s="303"/>
      <c r="B3493" s="333" t="s">
        <v>346</v>
      </c>
      <c r="C3493" s="317"/>
      <c r="D3493" s="318"/>
      <c r="E3493" s="319"/>
      <c r="F3493" s="319"/>
      <c r="G3493" s="319"/>
      <c r="H3493" s="320"/>
      <c r="I3493" s="332"/>
      <c r="J3493" s="321"/>
    </row>
    <row r="3494" spans="1:10" x14ac:dyDescent="0.25">
      <c r="A3494" s="303"/>
      <c r="B3494" s="333" t="s">
        <v>346</v>
      </c>
      <c r="C3494" s="317"/>
      <c r="D3494" s="318"/>
      <c r="E3494" s="319"/>
      <c r="F3494" s="319"/>
      <c r="G3494" s="319"/>
      <c r="H3494" s="320"/>
      <c r="I3494" s="332"/>
      <c r="J3494" s="321"/>
    </row>
    <row r="3495" spans="1:10" x14ac:dyDescent="0.25">
      <c r="A3495" s="303"/>
      <c r="B3495" s="333" t="s">
        <v>346</v>
      </c>
      <c r="C3495" s="317"/>
      <c r="D3495" s="318"/>
      <c r="E3495" s="319"/>
      <c r="F3495" s="319"/>
      <c r="G3495" s="319"/>
      <c r="H3495" s="320"/>
      <c r="I3495" s="332"/>
      <c r="J3495" s="321"/>
    </row>
    <row r="3496" spans="1:10" x14ac:dyDescent="0.25">
      <c r="A3496" s="303"/>
      <c r="B3496" s="333" t="s">
        <v>346</v>
      </c>
      <c r="C3496" s="317"/>
      <c r="D3496" s="318"/>
      <c r="E3496" s="319"/>
      <c r="F3496" s="319"/>
      <c r="G3496" s="319"/>
      <c r="H3496" s="320"/>
      <c r="I3496" s="332"/>
      <c r="J3496" s="321"/>
    </row>
    <row r="3497" spans="1:10" x14ac:dyDescent="0.25">
      <c r="A3497" s="303"/>
      <c r="B3497" s="310"/>
      <c r="C3497" s="334"/>
      <c r="D3497" s="312"/>
      <c r="E3497" s="313"/>
      <c r="F3497" s="313"/>
      <c r="G3497" s="313"/>
      <c r="H3497" s="313"/>
      <c r="I3497" s="338" t="s">
        <v>484</v>
      </c>
      <c r="J3497" s="315">
        <v>177.68</v>
      </c>
    </row>
    <row r="3498" spans="1:10" x14ac:dyDescent="0.25">
      <c r="A3498" s="303"/>
      <c r="B3498" s="339"/>
      <c r="C3498" s="334"/>
      <c r="D3498" s="312"/>
      <c r="E3498" s="313"/>
      <c r="F3498" s="313"/>
      <c r="G3498" s="313"/>
      <c r="H3498" s="313"/>
      <c r="I3498" s="338" t="s">
        <v>485</v>
      </c>
      <c r="J3498" s="340">
        <v>232.74209999999999</v>
      </c>
    </row>
    <row r="3499" spans="1:10" x14ac:dyDescent="0.25">
      <c r="A3499" s="303"/>
      <c r="B3499" s="339"/>
      <c r="C3499" s="341" t="s">
        <v>486</v>
      </c>
      <c r="D3499" s="312">
        <v>25</v>
      </c>
      <c r="E3499" s="313"/>
      <c r="F3499" s="313"/>
      <c r="G3499" s="313"/>
      <c r="H3499" s="313"/>
      <c r="I3499" s="338" t="s">
        <v>487</v>
      </c>
      <c r="J3499" s="340">
        <v>9.3096999999999994</v>
      </c>
    </row>
    <row r="3500" spans="1:10" x14ac:dyDescent="0.25">
      <c r="A3500" s="303"/>
      <c r="B3500" s="310"/>
      <c r="C3500" s="334"/>
      <c r="D3500" s="312"/>
      <c r="E3500" s="313"/>
      <c r="F3500" s="313"/>
      <c r="G3500" s="313"/>
      <c r="H3500" s="338" t="s">
        <v>488</v>
      </c>
      <c r="I3500" s="342">
        <v>0</v>
      </c>
      <c r="J3500" s="315">
        <v>0</v>
      </c>
    </row>
    <row r="3501" spans="1:10" x14ac:dyDescent="0.25">
      <c r="A3501" s="303"/>
      <c r="B3501" s="310"/>
      <c r="C3501" s="334"/>
      <c r="D3501" s="312"/>
      <c r="E3501" s="313"/>
      <c r="F3501" s="313"/>
      <c r="G3501" s="313"/>
      <c r="H3501" s="335" t="s">
        <v>489</v>
      </c>
      <c r="I3501" s="343">
        <v>0</v>
      </c>
      <c r="J3501" s="315">
        <v>0</v>
      </c>
    </row>
    <row r="3502" spans="1:10" x14ac:dyDescent="0.25">
      <c r="A3502" s="303"/>
      <c r="B3502" s="310" t="s">
        <v>464</v>
      </c>
      <c r="C3502" s="311" t="s">
        <v>490</v>
      </c>
      <c r="D3502" s="312"/>
      <c r="E3502" s="313"/>
      <c r="F3502" s="313"/>
      <c r="G3502" s="314" t="s">
        <v>465</v>
      </c>
      <c r="H3502" s="336" t="s">
        <v>468</v>
      </c>
      <c r="I3502" s="336" t="s">
        <v>491</v>
      </c>
      <c r="J3502" s="322" t="s">
        <v>492</v>
      </c>
    </row>
    <row r="3503" spans="1:10" x14ac:dyDescent="0.25">
      <c r="A3503" s="303"/>
      <c r="B3503" s="337" t="s">
        <v>784</v>
      </c>
      <c r="C3503" s="311" t="s">
        <v>785</v>
      </c>
      <c r="D3503" s="312"/>
      <c r="E3503" s="313"/>
      <c r="F3503" s="313"/>
      <c r="G3503" s="314" t="s">
        <v>372</v>
      </c>
      <c r="H3503" s="329">
        <v>0.68759999999999999</v>
      </c>
      <c r="I3503" s="329">
        <v>4</v>
      </c>
      <c r="J3503" s="315">
        <v>2.7504</v>
      </c>
    </row>
    <row r="3504" spans="1:10" x14ac:dyDescent="0.25">
      <c r="A3504" s="303"/>
      <c r="B3504" s="333" t="s">
        <v>1017</v>
      </c>
      <c r="C3504" s="317" t="s">
        <v>1018</v>
      </c>
      <c r="D3504" s="318"/>
      <c r="E3504" s="319"/>
      <c r="F3504" s="319"/>
      <c r="G3504" s="320" t="s">
        <v>560</v>
      </c>
      <c r="H3504" s="332">
        <v>13.360200000000001</v>
      </c>
      <c r="I3504" s="332">
        <v>1.7299999999999999E-2</v>
      </c>
      <c r="J3504" s="321">
        <v>0.2311</v>
      </c>
    </row>
    <row r="3505" spans="1:10" x14ac:dyDescent="0.25">
      <c r="A3505" s="303"/>
      <c r="B3505" s="333" t="s">
        <v>346</v>
      </c>
      <c r="C3505" s="317"/>
      <c r="D3505" s="318"/>
      <c r="E3505" s="319"/>
      <c r="F3505" s="319"/>
      <c r="G3505" s="320"/>
      <c r="H3505" s="332"/>
      <c r="I3505" s="332"/>
      <c r="J3505" s="321"/>
    </row>
    <row r="3506" spans="1:10" x14ac:dyDescent="0.25">
      <c r="A3506" s="303"/>
      <c r="B3506" s="333" t="s">
        <v>346</v>
      </c>
      <c r="C3506" s="317"/>
      <c r="D3506" s="318"/>
      <c r="E3506" s="319"/>
      <c r="F3506" s="319"/>
      <c r="G3506" s="320"/>
      <c r="H3506" s="332"/>
      <c r="I3506" s="332"/>
      <c r="J3506" s="321"/>
    </row>
    <row r="3507" spans="1:10" x14ac:dyDescent="0.25">
      <c r="A3507" s="303"/>
      <c r="B3507" s="333" t="s">
        <v>346</v>
      </c>
      <c r="C3507" s="317"/>
      <c r="D3507" s="318"/>
      <c r="E3507" s="319"/>
      <c r="F3507" s="319"/>
      <c r="G3507" s="320"/>
      <c r="H3507" s="332"/>
      <c r="I3507" s="332"/>
      <c r="J3507" s="321"/>
    </row>
    <row r="3508" spans="1:10" x14ac:dyDescent="0.25">
      <c r="A3508" s="303"/>
      <c r="B3508" s="333" t="s">
        <v>346</v>
      </c>
      <c r="C3508" s="317"/>
      <c r="D3508" s="318"/>
      <c r="E3508" s="319"/>
      <c r="F3508" s="319"/>
      <c r="G3508" s="320"/>
      <c r="H3508" s="332"/>
      <c r="I3508" s="332"/>
      <c r="J3508" s="321"/>
    </row>
    <row r="3509" spans="1:10" x14ac:dyDescent="0.25">
      <c r="A3509" s="303"/>
      <c r="B3509" s="333" t="s">
        <v>346</v>
      </c>
      <c r="C3509" s="317"/>
      <c r="D3509" s="318"/>
      <c r="E3509" s="319"/>
      <c r="F3509" s="319"/>
      <c r="G3509" s="320"/>
      <c r="H3509" s="332"/>
      <c r="I3509" s="332"/>
      <c r="J3509" s="321"/>
    </row>
    <row r="3510" spans="1:10" x14ac:dyDescent="0.25">
      <c r="A3510" s="303"/>
      <c r="B3510" s="310"/>
      <c r="C3510" s="334"/>
      <c r="D3510" s="312"/>
      <c r="E3510" s="313"/>
      <c r="F3510" s="313"/>
      <c r="G3510" s="313"/>
      <c r="H3510" s="343"/>
      <c r="I3510" s="335" t="s">
        <v>498</v>
      </c>
      <c r="J3510" s="315">
        <v>2.9815</v>
      </c>
    </row>
    <row r="3511" spans="1:10" x14ac:dyDescent="0.25">
      <c r="A3511" s="303"/>
      <c r="B3511" s="310" t="s">
        <v>464</v>
      </c>
      <c r="C3511" s="311" t="s">
        <v>499</v>
      </c>
      <c r="D3511" s="312"/>
      <c r="E3511" s="313"/>
      <c r="F3511" s="313"/>
      <c r="G3511" s="314" t="s">
        <v>465</v>
      </c>
      <c r="H3511" s="336" t="s">
        <v>468</v>
      </c>
      <c r="I3511" s="336" t="s">
        <v>491</v>
      </c>
      <c r="J3511" s="322" t="s">
        <v>492</v>
      </c>
    </row>
    <row r="3512" spans="1:10" x14ac:dyDescent="0.25">
      <c r="A3512" s="303"/>
      <c r="B3512" s="337">
        <v>3716129</v>
      </c>
      <c r="C3512" s="311" t="s">
        <v>786</v>
      </c>
      <c r="D3512" s="312"/>
      <c r="E3512" s="313"/>
      <c r="F3512" s="313"/>
      <c r="G3512" s="314" t="s">
        <v>433</v>
      </c>
      <c r="H3512" s="329">
        <v>52.93</v>
      </c>
      <c r="I3512" s="329">
        <v>0.02</v>
      </c>
      <c r="J3512" s="315">
        <v>1.0586</v>
      </c>
    </row>
    <row r="3513" spans="1:10" x14ac:dyDescent="0.25">
      <c r="A3513" s="303"/>
      <c r="B3513" s="333">
        <v>3716131</v>
      </c>
      <c r="C3513" s="317" t="s">
        <v>787</v>
      </c>
      <c r="D3513" s="318"/>
      <c r="E3513" s="319"/>
      <c r="F3513" s="319"/>
      <c r="G3513" s="320" t="s">
        <v>433</v>
      </c>
      <c r="H3513" s="332">
        <v>34.909999999999997</v>
      </c>
      <c r="I3513" s="332">
        <v>0.42</v>
      </c>
      <c r="J3513" s="321">
        <v>14.6622</v>
      </c>
    </row>
    <row r="3514" spans="1:10" x14ac:dyDescent="0.25">
      <c r="A3514" s="303"/>
      <c r="B3514" s="333"/>
      <c r="C3514" s="317"/>
      <c r="D3514" s="318"/>
      <c r="E3514" s="319"/>
      <c r="F3514" s="319"/>
      <c r="G3514" s="320"/>
      <c r="H3514" s="332"/>
      <c r="I3514" s="332"/>
      <c r="J3514" s="321"/>
    </row>
    <row r="3515" spans="1:10" x14ac:dyDescent="0.25">
      <c r="A3515" s="303"/>
      <c r="B3515" s="333"/>
      <c r="C3515" s="317"/>
      <c r="D3515" s="318"/>
      <c r="E3515" s="319"/>
      <c r="F3515" s="319"/>
      <c r="G3515" s="320"/>
      <c r="H3515" s="332"/>
      <c r="I3515" s="332"/>
      <c r="J3515" s="321"/>
    </row>
    <row r="3516" spans="1:10" x14ac:dyDescent="0.25">
      <c r="A3516" s="303"/>
      <c r="B3516" s="333"/>
      <c r="C3516" s="317"/>
      <c r="D3516" s="318"/>
      <c r="E3516" s="319"/>
      <c r="F3516" s="319"/>
      <c r="G3516" s="320"/>
      <c r="H3516" s="332"/>
      <c r="I3516" s="332"/>
      <c r="J3516" s="321"/>
    </row>
    <row r="3517" spans="1:10" x14ac:dyDescent="0.25">
      <c r="A3517" s="303"/>
      <c r="B3517" s="310"/>
      <c r="C3517" s="334"/>
      <c r="D3517" s="312"/>
      <c r="E3517" s="313"/>
      <c r="F3517" s="313"/>
      <c r="G3517" s="313"/>
      <c r="H3517" s="343"/>
      <c r="I3517" s="335" t="s">
        <v>501</v>
      </c>
      <c r="J3517" s="315">
        <v>15.720800000000001</v>
      </c>
    </row>
    <row r="3518" spans="1:10" x14ac:dyDescent="0.25">
      <c r="A3518" s="303"/>
      <c r="B3518" s="310" t="s">
        <v>464</v>
      </c>
      <c r="C3518" s="311" t="s">
        <v>502</v>
      </c>
      <c r="D3518" s="312"/>
      <c r="E3518" s="313"/>
      <c r="F3518" s="314" t="s">
        <v>464</v>
      </c>
      <c r="G3518" s="324" t="s">
        <v>503</v>
      </c>
      <c r="H3518" s="329" t="s">
        <v>465</v>
      </c>
      <c r="I3518" s="336" t="s">
        <v>468</v>
      </c>
      <c r="J3518" s="322" t="s">
        <v>492</v>
      </c>
    </row>
    <row r="3519" spans="1:10" x14ac:dyDescent="0.25">
      <c r="A3519" s="303"/>
      <c r="B3519" s="337" t="s">
        <v>346</v>
      </c>
      <c r="C3519" s="311"/>
      <c r="D3519" s="312"/>
      <c r="E3519" s="313"/>
      <c r="F3519" s="314"/>
      <c r="G3519" s="314"/>
      <c r="H3519" s="329"/>
      <c r="I3519" s="329"/>
      <c r="J3519" s="315"/>
    </row>
    <row r="3520" spans="1:10" x14ac:dyDescent="0.25">
      <c r="A3520" s="303"/>
      <c r="B3520" s="333" t="s">
        <v>346</v>
      </c>
      <c r="C3520" s="317"/>
      <c r="D3520" s="318"/>
      <c r="E3520" s="319"/>
      <c r="F3520" s="320"/>
      <c r="G3520" s="320"/>
      <c r="H3520" s="332"/>
      <c r="I3520" s="332"/>
      <c r="J3520" s="321"/>
    </row>
    <row r="3521" spans="1:10" x14ac:dyDescent="0.25">
      <c r="A3521" s="303"/>
      <c r="B3521" s="333" t="s">
        <v>346</v>
      </c>
      <c r="C3521" s="317"/>
      <c r="D3521" s="318"/>
      <c r="E3521" s="319"/>
      <c r="F3521" s="320"/>
      <c r="G3521" s="320"/>
      <c r="H3521" s="332"/>
      <c r="I3521" s="332"/>
      <c r="J3521" s="321"/>
    </row>
    <row r="3522" spans="1:10" x14ac:dyDescent="0.25">
      <c r="A3522" s="303"/>
      <c r="B3522" s="333" t="s">
        <v>346</v>
      </c>
      <c r="C3522" s="317"/>
      <c r="D3522" s="318"/>
      <c r="E3522" s="319"/>
      <c r="F3522" s="320"/>
      <c r="G3522" s="320"/>
      <c r="H3522" s="332"/>
      <c r="I3522" s="332"/>
      <c r="J3522" s="321"/>
    </row>
    <row r="3523" spans="1:10" x14ac:dyDescent="0.25">
      <c r="A3523" s="303"/>
      <c r="B3523" s="333" t="s">
        <v>346</v>
      </c>
      <c r="C3523" s="317"/>
      <c r="D3523" s="318"/>
      <c r="E3523" s="319"/>
      <c r="F3523" s="320"/>
      <c r="G3523" s="320"/>
      <c r="H3523" s="332"/>
      <c r="I3523" s="332"/>
      <c r="J3523" s="321"/>
    </row>
    <row r="3524" spans="1:10" x14ac:dyDescent="0.25">
      <c r="A3524" s="303"/>
      <c r="B3524" s="310"/>
      <c r="C3524" s="334"/>
      <c r="D3524" s="312"/>
      <c r="E3524" s="313"/>
      <c r="F3524" s="313"/>
      <c r="G3524" s="313"/>
      <c r="H3524" s="343"/>
      <c r="I3524" s="338" t="s">
        <v>507</v>
      </c>
      <c r="J3524" s="315">
        <v>0</v>
      </c>
    </row>
    <row r="3525" spans="1:10" x14ac:dyDescent="0.25">
      <c r="A3525" s="303"/>
      <c r="B3525" s="310" t="s">
        <v>464</v>
      </c>
      <c r="C3525" s="311" t="s">
        <v>508</v>
      </c>
      <c r="D3525" s="345" t="s">
        <v>509</v>
      </c>
      <c r="E3525" s="324" t="s">
        <v>873</v>
      </c>
      <c r="F3525" s="324" t="s">
        <v>874</v>
      </c>
      <c r="G3525" s="324" t="s">
        <v>875</v>
      </c>
      <c r="H3525" s="336" t="s">
        <v>468</v>
      </c>
      <c r="I3525" s="324" t="s">
        <v>491</v>
      </c>
      <c r="J3525" s="322" t="s">
        <v>492</v>
      </c>
    </row>
    <row r="3526" spans="1:10" x14ac:dyDescent="0.25">
      <c r="A3526" s="303"/>
      <c r="B3526" s="337">
        <v>416129</v>
      </c>
      <c r="C3526" s="311" t="s">
        <v>1019</v>
      </c>
      <c r="D3526" s="345" t="s">
        <v>510</v>
      </c>
      <c r="E3526" s="314">
        <v>0</v>
      </c>
      <c r="F3526" s="314">
        <v>0</v>
      </c>
      <c r="G3526" s="314">
        <v>0</v>
      </c>
      <c r="H3526" s="329">
        <v>0</v>
      </c>
      <c r="I3526" s="314">
        <v>0</v>
      </c>
      <c r="J3526" s="315">
        <v>0</v>
      </c>
    </row>
    <row r="3527" spans="1:10" x14ac:dyDescent="0.25">
      <c r="A3527" s="303"/>
      <c r="B3527" s="333">
        <v>416131</v>
      </c>
      <c r="C3527" s="317" t="s">
        <v>1020</v>
      </c>
      <c r="D3527" s="346" t="s">
        <v>510</v>
      </c>
      <c r="E3527" s="320">
        <v>0</v>
      </c>
      <c r="F3527" s="320">
        <v>0</v>
      </c>
      <c r="G3527" s="320">
        <v>0</v>
      </c>
      <c r="H3527" s="332">
        <v>0</v>
      </c>
      <c r="I3527" s="320">
        <v>0</v>
      </c>
      <c r="J3527" s="321">
        <v>0</v>
      </c>
    </row>
    <row r="3528" spans="1:10" x14ac:dyDescent="0.25">
      <c r="A3528" s="303"/>
      <c r="B3528" s="333" t="s">
        <v>788</v>
      </c>
      <c r="C3528" s="317" t="s">
        <v>789</v>
      </c>
      <c r="D3528" s="346" t="s">
        <v>510</v>
      </c>
      <c r="E3528" s="320">
        <v>0</v>
      </c>
      <c r="F3528" s="320">
        <v>0</v>
      </c>
      <c r="G3528" s="320">
        <v>100.45</v>
      </c>
      <c r="H3528" s="332">
        <v>0.55000000000000004</v>
      </c>
      <c r="I3528" s="320">
        <v>2.0000000000000001E-4</v>
      </c>
      <c r="J3528" s="321">
        <v>1.0999999999999999E-2</v>
      </c>
    </row>
    <row r="3529" spans="1:10" x14ac:dyDescent="0.25">
      <c r="A3529" s="303"/>
      <c r="B3529" s="333" t="s">
        <v>346</v>
      </c>
      <c r="C3529" s="317"/>
      <c r="D3529" s="346"/>
      <c r="E3529" s="320"/>
      <c r="F3529" s="320"/>
      <c r="G3529" s="320"/>
      <c r="H3529" s="332"/>
      <c r="I3529" s="320"/>
      <c r="J3529" s="321"/>
    </row>
    <row r="3530" spans="1:10" x14ac:dyDescent="0.25">
      <c r="A3530" s="303"/>
      <c r="B3530" s="333" t="s">
        <v>346</v>
      </c>
      <c r="C3530" s="317"/>
      <c r="D3530" s="346"/>
      <c r="E3530" s="320"/>
      <c r="F3530" s="320"/>
      <c r="G3530" s="320"/>
      <c r="H3530" s="332"/>
      <c r="I3530" s="320"/>
      <c r="J3530" s="321"/>
    </row>
    <row r="3531" spans="1:10" x14ac:dyDescent="0.25">
      <c r="A3531" s="303"/>
      <c r="B3531" s="333" t="s">
        <v>346</v>
      </c>
      <c r="C3531" s="317"/>
      <c r="D3531" s="346"/>
      <c r="E3531" s="320"/>
      <c r="F3531" s="320"/>
      <c r="G3531" s="320"/>
      <c r="H3531" s="332"/>
      <c r="I3531" s="320"/>
      <c r="J3531" s="321"/>
    </row>
    <row r="3532" spans="1:10" x14ac:dyDescent="0.25">
      <c r="A3532" s="303"/>
      <c r="B3532" s="333" t="s">
        <v>346</v>
      </c>
      <c r="C3532" s="317"/>
      <c r="D3532" s="346"/>
      <c r="E3532" s="320"/>
      <c r="F3532" s="320"/>
      <c r="G3532" s="320"/>
      <c r="H3532" s="332"/>
      <c r="I3532" s="320"/>
      <c r="J3532" s="321"/>
    </row>
    <row r="3533" spans="1:10" x14ac:dyDescent="0.25">
      <c r="A3533" s="303"/>
      <c r="B3533" s="310"/>
      <c r="C3533" s="334"/>
      <c r="D3533" s="312"/>
      <c r="E3533" s="313"/>
      <c r="F3533" s="313"/>
      <c r="G3533" s="313"/>
      <c r="H3533" s="313"/>
      <c r="I3533" s="338" t="s">
        <v>513</v>
      </c>
      <c r="J3533" s="315">
        <v>1.0999999999999999E-2</v>
      </c>
    </row>
    <row r="3534" spans="1:10" x14ac:dyDescent="0.25">
      <c r="A3534" s="303"/>
      <c r="B3534" s="310" t="s">
        <v>514</v>
      </c>
      <c r="C3534" s="334"/>
      <c r="D3534" s="312"/>
      <c r="E3534" s="313"/>
      <c r="F3534" s="313"/>
      <c r="G3534" s="313"/>
      <c r="H3534" s="313"/>
      <c r="I3534" s="313"/>
      <c r="J3534" s="315">
        <v>28.023</v>
      </c>
    </row>
    <row r="3535" spans="1:10" x14ac:dyDescent="0.25">
      <c r="A3535" s="303"/>
      <c r="B3535" s="310" t="s">
        <v>515</v>
      </c>
      <c r="C3535" s="334"/>
      <c r="D3535" s="312">
        <v>0</v>
      </c>
      <c r="E3535" s="313"/>
      <c r="F3535" s="313"/>
      <c r="G3535" s="313"/>
      <c r="H3535" s="313"/>
      <c r="I3535" s="313"/>
      <c r="J3535" s="315">
        <v>0</v>
      </c>
    </row>
    <row r="3536" spans="1:10" ht="14.4" thickBot="1" x14ac:dyDescent="0.3">
      <c r="A3536" s="303"/>
      <c r="B3536" s="310" t="s">
        <v>516</v>
      </c>
      <c r="C3536" s="334"/>
      <c r="D3536" s="312"/>
      <c r="E3536" s="313"/>
      <c r="F3536" s="313"/>
      <c r="G3536" s="313"/>
      <c r="H3536" s="313"/>
      <c r="I3536" s="313"/>
      <c r="J3536" s="347">
        <v>28.02</v>
      </c>
    </row>
    <row r="3537" spans="1:10" x14ac:dyDescent="0.25">
      <c r="A3537" s="303"/>
      <c r="B3537" s="304"/>
      <c r="C3537" s="305"/>
      <c r="D3537" s="348"/>
      <c r="E3537" s="308"/>
      <c r="F3537" s="308"/>
      <c r="G3537" s="308"/>
      <c r="H3537" s="308"/>
      <c r="I3537" s="308"/>
      <c r="J3537" s="309"/>
    </row>
    <row r="3538" spans="1:10" x14ac:dyDescent="0.25">
      <c r="A3538" s="303"/>
      <c r="B3538" s="316"/>
      <c r="C3538" s="303"/>
      <c r="D3538" s="318"/>
      <c r="E3538" s="319"/>
      <c r="F3538" s="319"/>
      <c r="G3538" s="319"/>
      <c r="H3538" s="319"/>
      <c r="I3538" s="319"/>
      <c r="J3538" s="349"/>
    </row>
    <row r="3539" spans="1:10" x14ac:dyDescent="0.25">
      <c r="A3539" s="303"/>
      <c r="B3539" s="316"/>
      <c r="C3539" s="303"/>
      <c r="D3539" s="318"/>
      <c r="E3539" s="319"/>
      <c r="F3539" s="319"/>
      <c r="G3539" s="319"/>
      <c r="H3539" s="319"/>
      <c r="I3539" s="319"/>
      <c r="J3539" s="349"/>
    </row>
    <row r="3540" spans="1:10" ht="14.4" thickBot="1" x14ac:dyDescent="0.3">
      <c r="A3540" s="303"/>
      <c r="B3540" s="350"/>
      <c r="C3540" s="303"/>
      <c r="D3540" s="318"/>
      <c r="E3540" s="319"/>
      <c r="F3540" s="319"/>
      <c r="G3540" s="319"/>
      <c r="H3540" s="319"/>
      <c r="I3540" s="319"/>
      <c r="J3540" s="351"/>
    </row>
    <row r="3541" spans="1:10" x14ac:dyDescent="0.25">
      <c r="A3541" s="303"/>
      <c r="B3541" s="305"/>
      <c r="C3541" s="305"/>
      <c r="D3541" s="348"/>
      <c r="E3541" s="308"/>
      <c r="F3541" s="308"/>
      <c r="G3541" s="308"/>
      <c r="H3541" s="308"/>
      <c r="I3541" s="308"/>
      <c r="J3541" s="352"/>
    </row>
    <row r="3542" spans="1:10" ht="14.4" thickBot="1" x14ac:dyDescent="0.3">
      <c r="A3542" s="303"/>
      <c r="B3542" s="303"/>
      <c r="C3542" s="303"/>
      <c r="D3542" s="318"/>
      <c r="E3542" s="319"/>
      <c r="F3542" s="319"/>
      <c r="G3542" s="319"/>
      <c r="H3542" s="319"/>
      <c r="I3542" s="319"/>
      <c r="J3542" s="353"/>
    </row>
    <row r="3543" spans="1:10" x14ac:dyDescent="0.25">
      <c r="A3543" s="303"/>
      <c r="B3543" s="304"/>
      <c r="C3543" s="305"/>
      <c r="D3543" s="306" t="s">
        <v>463</v>
      </c>
      <c r="E3543" s="307"/>
      <c r="F3543" s="307"/>
      <c r="G3543" s="308"/>
      <c r="H3543" s="308"/>
      <c r="I3543" s="308"/>
      <c r="J3543" s="309"/>
    </row>
    <row r="3544" spans="1:10" x14ac:dyDescent="0.25">
      <c r="A3544" s="303"/>
      <c r="B3544" s="310" t="s">
        <v>464</v>
      </c>
      <c r="C3544" s="311" t="s">
        <v>134</v>
      </c>
      <c r="D3544" s="312"/>
      <c r="E3544" s="313"/>
      <c r="F3544" s="313"/>
      <c r="G3544" s="313"/>
      <c r="H3544" s="314"/>
      <c r="I3544" s="313"/>
      <c r="J3544" s="315" t="s">
        <v>465</v>
      </c>
    </row>
    <row r="3545" spans="1:10" x14ac:dyDescent="0.25">
      <c r="A3545" s="303"/>
      <c r="B3545" s="316">
        <v>3716129</v>
      </c>
      <c r="C3545" s="317" t="s">
        <v>432</v>
      </c>
      <c r="D3545" s="318"/>
      <c r="E3545" s="319"/>
      <c r="F3545" s="319"/>
      <c r="G3545" s="319"/>
      <c r="H3545" s="320"/>
      <c r="I3545" s="319"/>
      <c r="J3545" s="321" t="s">
        <v>433</v>
      </c>
    </row>
    <row r="3546" spans="1:10" x14ac:dyDescent="0.25">
      <c r="A3546" s="303"/>
      <c r="B3546" s="310"/>
      <c r="C3546" s="311"/>
      <c r="D3546" s="312"/>
      <c r="E3546" s="314"/>
      <c r="F3546" s="314" t="s">
        <v>466</v>
      </c>
      <c r="G3546" s="314"/>
      <c r="H3546" s="314" t="s">
        <v>467</v>
      </c>
      <c r="I3546" s="314"/>
      <c r="J3546" s="322" t="s">
        <v>468</v>
      </c>
    </row>
    <row r="3547" spans="1:10" x14ac:dyDescent="0.25">
      <c r="A3547" s="303"/>
      <c r="B3547" s="316" t="s">
        <v>464</v>
      </c>
      <c r="C3547" s="317" t="s">
        <v>469</v>
      </c>
      <c r="D3547" s="318"/>
      <c r="E3547" s="323" t="s">
        <v>355</v>
      </c>
      <c r="F3547" s="324" t="s">
        <v>470</v>
      </c>
      <c r="G3547" s="324" t="s">
        <v>471</v>
      </c>
      <c r="H3547" s="324" t="s">
        <v>472</v>
      </c>
      <c r="I3547" s="325" t="s">
        <v>473</v>
      </c>
      <c r="J3547" s="326" t="s">
        <v>474</v>
      </c>
    </row>
    <row r="3548" spans="1:10" x14ac:dyDescent="0.25">
      <c r="A3548" s="303"/>
      <c r="B3548" s="327" t="s">
        <v>744</v>
      </c>
      <c r="C3548" s="311" t="s">
        <v>745</v>
      </c>
      <c r="D3548" s="312"/>
      <c r="E3548" s="328">
        <v>2</v>
      </c>
      <c r="F3548" s="328">
        <v>1</v>
      </c>
      <c r="G3548" s="328">
        <v>0</v>
      </c>
      <c r="H3548" s="329">
        <v>0.55820000000000003</v>
      </c>
      <c r="I3548" s="329">
        <v>0.37959999999999999</v>
      </c>
      <c r="J3548" s="315">
        <v>1.1164000000000001</v>
      </c>
    </row>
    <row r="3549" spans="1:10" x14ac:dyDescent="0.25">
      <c r="A3549" s="303"/>
      <c r="B3549" s="330" t="s">
        <v>673</v>
      </c>
      <c r="C3549" s="317" t="s">
        <v>674</v>
      </c>
      <c r="D3549" s="318"/>
      <c r="E3549" s="331">
        <v>1</v>
      </c>
      <c r="F3549" s="331">
        <v>1</v>
      </c>
      <c r="G3549" s="331">
        <v>0</v>
      </c>
      <c r="H3549" s="332">
        <v>13.1327</v>
      </c>
      <c r="I3549" s="332">
        <v>2.9087000000000001</v>
      </c>
      <c r="J3549" s="321">
        <v>13.1327</v>
      </c>
    </row>
    <row r="3550" spans="1:10" x14ac:dyDescent="0.25">
      <c r="A3550" s="303"/>
      <c r="B3550" s="330" t="s">
        <v>790</v>
      </c>
      <c r="C3550" s="317" t="s">
        <v>791</v>
      </c>
      <c r="D3550" s="318"/>
      <c r="E3550" s="331">
        <v>1</v>
      </c>
      <c r="F3550" s="331">
        <v>1</v>
      </c>
      <c r="G3550" s="331">
        <v>0</v>
      </c>
      <c r="H3550" s="332">
        <v>3.2501000000000002</v>
      </c>
      <c r="I3550" s="332">
        <v>2.0023</v>
      </c>
      <c r="J3550" s="321">
        <v>3.2501000000000002</v>
      </c>
    </row>
    <row r="3551" spans="1:10" x14ac:dyDescent="0.25">
      <c r="A3551" s="303"/>
      <c r="B3551" s="330" t="s">
        <v>792</v>
      </c>
      <c r="C3551" s="317" t="s">
        <v>793</v>
      </c>
      <c r="D3551" s="318"/>
      <c r="E3551" s="331">
        <v>1</v>
      </c>
      <c r="F3551" s="331">
        <v>1</v>
      </c>
      <c r="G3551" s="331">
        <v>0</v>
      </c>
      <c r="H3551" s="332">
        <v>0.28589999999999999</v>
      </c>
      <c r="I3551" s="332">
        <v>0.19650000000000001</v>
      </c>
      <c r="J3551" s="321">
        <v>0.28589999999999999</v>
      </c>
    </row>
    <row r="3552" spans="1:10" x14ac:dyDescent="0.25">
      <c r="A3552" s="303"/>
      <c r="B3552" s="333" t="s">
        <v>346</v>
      </c>
      <c r="C3552" s="317"/>
      <c r="D3552" s="318"/>
      <c r="E3552" s="331"/>
      <c r="F3552" s="331"/>
      <c r="G3552" s="331"/>
      <c r="H3552" s="332"/>
      <c r="I3552" s="332"/>
      <c r="J3552" s="321"/>
    </row>
    <row r="3553" spans="1:10" x14ac:dyDescent="0.25">
      <c r="A3553" s="303"/>
      <c r="B3553" s="333" t="s">
        <v>346</v>
      </c>
      <c r="C3553" s="317"/>
      <c r="D3553" s="318"/>
      <c r="E3553" s="331"/>
      <c r="F3553" s="331"/>
      <c r="G3553" s="331"/>
      <c r="H3553" s="332"/>
      <c r="I3553" s="332"/>
      <c r="J3553" s="321"/>
    </row>
    <row r="3554" spans="1:10" x14ac:dyDescent="0.25">
      <c r="A3554" s="303"/>
      <c r="B3554" s="333" t="s">
        <v>346</v>
      </c>
      <c r="C3554" s="317"/>
      <c r="D3554" s="318"/>
      <c r="E3554" s="331"/>
      <c r="F3554" s="331"/>
      <c r="G3554" s="331"/>
      <c r="H3554" s="332"/>
      <c r="I3554" s="332"/>
      <c r="J3554" s="321"/>
    </row>
    <row r="3555" spans="1:10" x14ac:dyDescent="0.25">
      <c r="A3555" s="303"/>
      <c r="B3555" s="310"/>
      <c r="C3555" s="334"/>
      <c r="D3555" s="312"/>
      <c r="E3555" s="313"/>
      <c r="F3555" s="313"/>
      <c r="G3555" s="313"/>
      <c r="H3555" s="313"/>
      <c r="I3555" s="335" t="s">
        <v>479</v>
      </c>
      <c r="J3555" s="315">
        <v>17.785100000000003</v>
      </c>
    </row>
    <row r="3556" spans="1:10" x14ac:dyDescent="0.25">
      <c r="A3556" s="303"/>
      <c r="B3556" s="310" t="s">
        <v>464</v>
      </c>
      <c r="C3556" s="311" t="s">
        <v>480</v>
      </c>
      <c r="D3556" s="312"/>
      <c r="E3556" s="313"/>
      <c r="F3556" s="313"/>
      <c r="G3556" s="313"/>
      <c r="H3556" s="324" t="s">
        <v>355</v>
      </c>
      <c r="I3556" s="336" t="s">
        <v>481</v>
      </c>
      <c r="J3556" s="322" t="s">
        <v>331</v>
      </c>
    </row>
    <row r="3557" spans="1:10" x14ac:dyDescent="0.25">
      <c r="A3557" s="303"/>
      <c r="B3557" s="337" t="s">
        <v>482</v>
      </c>
      <c r="C3557" s="311" t="s">
        <v>483</v>
      </c>
      <c r="D3557" s="312"/>
      <c r="E3557" s="313"/>
      <c r="F3557" s="313"/>
      <c r="G3557" s="313"/>
      <c r="H3557" s="314">
        <v>4</v>
      </c>
      <c r="I3557" s="329">
        <v>17.768000000000001</v>
      </c>
      <c r="J3557" s="315">
        <v>71.072000000000003</v>
      </c>
    </row>
    <row r="3558" spans="1:10" x14ac:dyDescent="0.25">
      <c r="A3558" s="303"/>
      <c r="B3558" s="333" t="s">
        <v>346</v>
      </c>
      <c r="C3558" s="317"/>
      <c r="D3558" s="318"/>
      <c r="E3558" s="319"/>
      <c r="F3558" s="319"/>
      <c r="G3558" s="319"/>
      <c r="H3558" s="320"/>
      <c r="I3558" s="332"/>
      <c r="J3558" s="321"/>
    </row>
    <row r="3559" spans="1:10" x14ac:dyDescent="0.25">
      <c r="A3559" s="303"/>
      <c r="B3559" s="333" t="s">
        <v>346</v>
      </c>
      <c r="C3559" s="317"/>
      <c r="D3559" s="318"/>
      <c r="E3559" s="319"/>
      <c r="F3559" s="319"/>
      <c r="G3559" s="319"/>
      <c r="H3559" s="320"/>
      <c r="I3559" s="332"/>
      <c r="J3559" s="321"/>
    </row>
    <row r="3560" spans="1:10" x14ac:dyDescent="0.25">
      <c r="A3560" s="303"/>
      <c r="B3560" s="333" t="s">
        <v>346</v>
      </c>
      <c r="C3560" s="317"/>
      <c r="D3560" s="318"/>
      <c r="E3560" s="319"/>
      <c r="F3560" s="319"/>
      <c r="G3560" s="319"/>
      <c r="H3560" s="320"/>
      <c r="I3560" s="332"/>
      <c r="J3560" s="321"/>
    </row>
    <row r="3561" spans="1:10" x14ac:dyDescent="0.25">
      <c r="A3561" s="303"/>
      <c r="B3561" s="333" t="s">
        <v>346</v>
      </c>
      <c r="C3561" s="317"/>
      <c r="D3561" s="318"/>
      <c r="E3561" s="319"/>
      <c r="F3561" s="319"/>
      <c r="G3561" s="319"/>
      <c r="H3561" s="320"/>
      <c r="I3561" s="332"/>
      <c r="J3561" s="321"/>
    </row>
    <row r="3562" spans="1:10" x14ac:dyDescent="0.25">
      <c r="A3562" s="303"/>
      <c r="B3562" s="333" t="s">
        <v>346</v>
      </c>
      <c r="C3562" s="317"/>
      <c r="D3562" s="318"/>
      <c r="E3562" s="319"/>
      <c r="F3562" s="319"/>
      <c r="G3562" s="319"/>
      <c r="H3562" s="320"/>
      <c r="I3562" s="332"/>
      <c r="J3562" s="321"/>
    </row>
    <row r="3563" spans="1:10" x14ac:dyDescent="0.25">
      <c r="A3563" s="303"/>
      <c r="B3563" s="333" t="s">
        <v>346</v>
      </c>
      <c r="C3563" s="317"/>
      <c r="D3563" s="318"/>
      <c r="E3563" s="319"/>
      <c r="F3563" s="319"/>
      <c r="G3563" s="319"/>
      <c r="H3563" s="320"/>
      <c r="I3563" s="332"/>
      <c r="J3563" s="321"/>
    </row>
    <row r="3564" spans="1:10" x14ac:dyDescent="0.25">
      <c r="A3564" s="303"/>
      <c r="B3564" s="310"/>
      <c r="C3564" s="334"/>
      <c r="D3564" s="312"/>
      <c r="E3564" s="313"/>
      <c r="F3564" s="313"/>
      <c r="G3564" s="313"/>
      <c r="H3564" s="313"/>
      <c r="I3564" s="338" t="s">
        <v>484</v>
      </c>
      <c r="J3564" s="315">
        <v>71.072000000000003</v>
      </c>
    </row>
    <row r="3565" spans="1:10" x14ac:dyDescent="0.25">
      <c r="A3565" s="303"/>
      <c r="B3565" s="339"/>
      <c r="C3565" s="334"/>
      <c r="D3565" s="312"/>
      <c r="E3565" s="313"/>
      <c r="F3565" s="313"/>
      <c r="G3565" s="313"/>
      <c r="H3565" s="313"/>
      <c r="I3565" s="338" t="s">
        <v>485</v>
      </c>
      <c r="J3565" s="340">
        <v>88.857100000000003</v>
      </c>
    </row>
    <row r="3566" spans="1:10" x14ac:dyDescent="0.25">
      <c r="A3566" s="303"/>
      <c r="B3566" s="339"/>
      <c r="C3566" s="341" t="s">
        <v>486</v>
      </c>
      <c r="D3566" s="312">
        <v>45</v>
      </c>
      <c r="E3566" s="313"/>
      <c r="F3566" s="313"/>
      <c r="G3566" s="313"/>
      <c r="H3566" s="313"/>
      <c r="I3566" s="338" t="s">
        <v>487</v>
      </c>
      <c r="J3566" s="340">
        <v>1.9745999999999999</v>
      </c>
    </row>
    <row r="3567" spans="1:10" x14ac:dyDescent="0.25">
      <c r="A3567" s="303"/>
      <c r="B3567" s="310"/>
      <c r="C3567" s="334"/>
      <c r="D3567" s="312"/>
      <c r="E3567" s="313"/>
      <c r="F3567" s="313"/>
      <c r="G3567" s="313"/>
      <c r="H3567" s="338" t="s">
        <v>488</v>
      </c>
      <c r="I3567" s="342">
        <v>0</v>
      </c>
      <c r="J3567" s="315">
        <v>0</v>
      </c>
    </row>
    <row r="3568" spans="1:10" x14ac:dyDescent="0.25">
      <c r="A3568" s="303"/>
      <c r="B3568" s="310"/>
      <c r="C3568" s="334"/>
      <c r="D3568" s="312"/>
      <c r="E3568" s="313"/>
      <c r="F3568" s="313"/>
      <c r="G3568" s="313"/>
      <c r="H3568" s="335" t="s">
        <v>489</v>
      </c>
      <c r="I3568" s="343">
        <v>0</v>
      </c>
      <c r="J3568" s="315">
        <v>0</v>
      </c>
    </row>
    <row r="3569" spans="1:10" x14ac:dyDescent="0.25">
      <c r="A3569" s="303"/>
      <c r="B3569" s="310" t="s">
        <v>464</v>
      </c>
      <c r="C3569" s="311" t="s">
        <v>490</v>
      </c>
      <c r="D3569" s="312"/>
      <c r="E3569" s="313"/>
      <c r="F3569" s="313"/>
      <c r="G3569" s="314" t="s">
        <v>465</v>
      </c>
      <c r="H3569" s="336" t="s">
        <v>468</v>
      </c>
      <c r="I3569" s="336" t="s">
        <v>491</v>
      </c>
      <c r="J3569" s="322" t="s">
        <v>492</v>
      </c>
    </row>
    <row r="3570" spans="1:10" x14ac:dyDescent="0.25">
      <c r="A3570" s="303"/>
      <c r="B3570" s="337" t="s">
        <v>346</v>
      </c>
      <c r="C3570" s="311"/>
      <c r="D3570" s="312"/>
      <c r="E3570" s="313"/>
      <c r="F3570" s="313"/>
      <c r="G3570" s="314"/>
      <c r="H3570" s="329"/>
      <c r="I3570" s="329"/>
      <c r="J3570" s="315"/>
    </row>
    <row r="3571" spans="1:10" x14ac:dyDescent="0.25">
      <c r="A3571" s="303"/>
      <c r="B3571" s="333" t="s">
        <v>346</v>
      </c>
      <c r="C3571" s="317"/>
      <c r="D3571" s="318"/>
      <c r="E3571" s="319"/>
      <c r="F3571" s="319"/>
      <c r="G3571" s="320"/>
      <c r="H3571" s="332"/>
      <c r="I3571" s="332"/>
      <c r="J3571" s="321"/>
    </row>
    <row r="3572" spans="1:10" x14ac:dyDescent="0.25">
      <c r="A3572" s="303"/>
      <c r="B3572" s="333" t="s">
        <v>346</v>
      </c>
      <c r="C3572" s="317"/>
      <c r="D3572" s="318"/>
      <c r="E3572" s="319"/>
      <c r="F3572" s="319"/>
      <c r="G3572" s="320"/>
      <c r="H3572" s="332"/>
      <c r="I3572" s="332"/>
      <c r="J3572" s="321"/>
    </row>
    <row r="3573" spans="1:10" x14ac:dyDescent="0.25">
      <c r="A3573" s="303"/>
      <c r="B3573" s="333" t="s">
        <v>346</v>
      </c>
      <c r="C3573" s="317"/>
      <c r="D3573" s="318"/>
      <c r="E3573" s="319"/>
      <c r="F3573" s="319"/>
      <c r="G3573" s="320"/>
      <c r="H3573" s="332"/>
      <c r="I3573" s="332"/>
      <c r="J3573" s="321"/>
    </row>
    <row r="3574" spans="1:10" x14ac:dyDescent="0.25">
      <c r="A3574" s="303"/>
      <c r="B3574" s="333" t="s">
        <v>346</v>
      </c>
      <c r="C3574" s="317"/>
      <c r="D3574" s="318"/>
      <c r="E3574" s="319"/>
      <c r="F3574" s="319"/>
      <c r="G3574" s="320"/>
      <c r="H3574" s="332"/>
      <c r="I3574" s="332"/>
      <c r="J3574" s="321"/>
    </row>
    <row r="3575" spans="1:10" x14ac:dyDescent="0.25">
      <c r="A3575" s="303"/>
      <c r="B3575" s="333" t="s">
        <v>346</v>
      </c>
      <c r="C3575" s="317"/>
      <c r="D3575" s="318"/>
      <c r="E3575" s="319"/>
      <c r="F3575" s="319"/>
      <c r="G3575" s="320"/>
      <c r="H3575" s="332"/>
      <c r="I3575" s="332"/>
      <c r="J3575" s="321"/>
    </row>
    <row r="3576" spans="1:10" x14ac:dyDescent="0.25">
      <c r="A3576" s="303"/>
      <c r="B3576" s="333" t="s">
        <v>346</v>
      </c>
      <c r="C3576" s="317"/>
      <c r="D3576" s="318"/>
      <c r="E3576" s="319"/>
      <c r="F3576" s="319"/>
      <c r="G3576" s="320"/>
      <c r="H3576" s="332"/>
      <c r="I3576" s="332"/>
      <c r="J3576" s="321"/>
    </row>
    <row r="3577" spans="1:10" x14ac:dyDescent="0.25">
      <c r="A3577" s="303"/>
      <c r="B3577" s="310"/>
      <c r="C3577" s="334"/>
      <c r="D3577" s="312"/>
      <c r="E3577" s="313"/>
      <c r="F3577" s="313"/>
      <c r="G3577" s="313"/>
      <c r="H3577" s="343"/>
      <c r="I3577" s="335" t="s">
        <v>498</v>
      </c>
      <c r="J3577" s="315">
        <v>0</v>
      </c>
    </row>
    <row r="3578" spans="1:10" x14ac:dyDescent="0.25">
      <c r="A3578" s="303"/>
      <c r="B3578" s="310" t="s">
        <v>464</v>
      </c>
      <c r="C3578" s="311" t="s">
        <v>499</v>
      </c>
      <c r="D3578" s="312"/>
      <c r="E3578" s="313"/>
      <c r="F3578" s="313"/>
      <c r="G3578" s="314" t="s">
        <v>465</v>
      </c>
      <c r="H3578" s="336" t="s">
        <v>468</v>
      </c>
      <c r="I3578" s="336" t="s">
        <v>491</v>
      </c>
      <c r="J3578" s="322" t="s">
        <v>492</v>
      </c>
    </row>
    <row r="3579" spans="1:10" x14ac:dyDescent="0.25">
      <c r="A3579" s="303"/>
      <c r="B3579" s="337">
        <v>407820</v>
      </c>
      <c r="C3579" s="311" t="s">
        <v>794</v>
      </c>
      <c r="D3579" s="312"/>
      <c r="E3579" s="313"/>
      <c r="F3579" s="313"/>
      <c r="G3579" s="314" t="s">
        <v>560</v>
      </c>
      <c r="H3579" s="329">
        <v>15</v>
      </c>
      <c r="I3579" s="329">
        <v>1.7963199999999999</v>
      </c>
      <c r="J3579" s="315">
        <v>26.944800000000001</v>
      </c>
    </row>
    <row r="3580" spans="1:10" x14ac:dyDescent="0.25">
      <c r="A3580" s="303"/>
      <c r="B3580" s="333">
        <v>1116127</v>
      </c>
      <c r="C3580" s="317" t="s">
        <v>722</v>
      </c>
      <c r="D3580" s="318"/>
      <c r="E3580" s="319"/>
      <c r="F3580" s="319"/>
      <c r="G3580" s="320" t="s">
        <v>365</v>
      </c>
      <c r="H3580" s="332">
        <v>485.12</v>
      </c>
      <c r="I3580" s="332">
        <v>4.9500000000000002E-2</v>
      </c>
      <c r="J3580" s="321">
        <v>24.013400000000001</v>
      </c>
    </row>
    <row r="3581" spans="1:10" x14ac:dyDescent="0.25">
      <c r="A3581" s="303"/>
      <c r="B3581" s="333"/>
      <c r="C3581" s="317"/>
      <c r="D3581" s="318"/>
      <c r="E3581" s="319"/>
      <c r="F3581" s="319"/>
      <c r="G3581" s="320"/>
      <c r="H3581" s="332"/>
      <c r="I3581" s="332"/>
      <c r="J3581" s="321"/>
    </row>
    <row r="3582" spans="1:10" x14ac:dyDescent="0.25">
      <c r="A3582" s="303"/>
      <c r="B3582" s="333"/>
      <c r="C3582" s="317"/>
      <c r="D3582" s="318"/>
      <c r="E3582" s="319"/>
      <c r="F3582" s="319"/>
      <c r="G3582" s="320"/>
      <c r="H3582" s="332"/>
      <c r="I3582" s="332"/>
      <c r="J3582" s="321"/>
    </row>
    <row r="3583" spans="1:10" x14ac:dyDescent="0.25">
      <c r="A3583" s="303"/>
      <c r="B3583" s="333"/>
      <c r="C3583" s="317"/>
      <c r="D3583" s="318"/>
      <c r="E3583" s="319"/>
      <c r="F3583" s="319"/>
      <c r="G3583" s="320"/>
      <c r="H3583" s="332"/>
      <c r="I3583" s="332"/>
      <c r="J3583" s="321"/>
    </row>
    <row r="3584" spans="1:10" x14ac:dyDescent="0.25">
      <c r="A3584" s="303"/>
      <c r="B3584" s="310"/>
      <c r="C3584" s="334"/>
      <c r="D3584" s="312"/>
      <c r="E3584" s="313"/>
      <c r="F3584" s="313"/>
      <c r="G3584" s="313"/>
      <c r="H3584" s="343"/>
      <c r="I3584" s="335" t="s">
        <v>501</v>
      </c>
      <c r="J3584" s="315">
        <v>50.958200000000005</v>
      </c>
    </row>
    <row r="3585" spans="1:10" x14ac:dyDescent="0.25">
      <c r="A3585" s="303"/>
      <c r="B3585" s="310" t="s">
        <v>464</v>
      </c>
      <c r="C3585" s="311" t="s">
        <v>502</v>
      </c>
      <c r="D3585" s="312"/>
      <c r="E3585" s="313"/>
      <c r="F3585" s="314" t="s">
        <v>464</v>
      </c>
      <c r="G3585" s="324" t="s">
        <v>503</v>
      </c>
      <c r="H3585" s="329" t="s">
        <v>465</v>
      </c>
      <c r="I3585" s="336" t="s">
        <v>468</v>
      </c>
      <c r="J3585" s="322" t="s">
        <v>492</v>
      </c>
    </row>
    <row r="3586" spans="1:10" x14ac:dyDescent="0.25">
      <c r="A3586" s="303"/>
      <c r="B3586" s="337" t="s">
        <v>346</v>
      </c>
      <c r="C3586" s="311"/>
      <c r="D3586" s="312"/>
      <c r="E3586" s="313"/>
      <c r="F3586" s="314"/>
      <c r="G3586" s="314"/>
      <c r="H3586" s="329"/>
      <c r="I3586" s="329"/>
      <c r="J3586" s="315"/>
    </row>
    <row r="3587" spans="1:10" x14ac:dyDescent="0.25">
      <c r="A3587" s="303"/>
      <c r="B3587" s="333" t="s">
        <v>346</v>
      </c>
      <c r="C3587" s="317"/>
      <c r="D3587" s="318"/>
      <c r="E3587" s="319"/>
      <c r="F3587" s="320"/>
      <c r="G3587" s="320"/>
      <c r="H3587" s="332"/>
      <c r="I3587" s="332"/>
      <c r="J3587" s="321"/>
    </row>
    <row r="3588" spans="1:10" x14ac:dyDescent="0.25">
      <c r="A3588" s="303"/>
      <c r="B3588" s="333" t="s">
        <v>346</v>
      </c>
      <c r="C3588" s="317"/>
      <c r="D3588" s="318"/>
      <c r="E3588" s="319"/>
      <c r="F3588" s="320"/>
      <c r="G3588" s="320"/>
      <c r="H3588" s="332"/>
      <c r="I3588" s="332"/>
      <c r="J3588" s="321"/>
    </row>
    <row r="3589" spans="1:10" x14ac:dyDescent="0.25">
      <c r="A3589" s="303"/>
      <c r="B3589" s="333" t="s">
        <v>346</v>
      </c>
      <c r="C3589" s="317"/>
      <c r="D3589" s="318"/>
      <c r="E3589" s="319"/>
      <c r="F3589" s="320"/>
      <c r="G3589" s="320"/>
      <c r="H3589" s="332"/>
      <c r="I3589" s="332"/>
      <c r="J3589" s="321"/>
    </row>
    <row r="3590" spans="1:10" x14ac:dyDescent="0.25">
      <c r="A3590" s="303"/>
      <c r="B3590" s="333" t="s">
        <v>346</v>
      </c>
      <c r="C3590" s="317"/>
      <c r="D3590" s="318"/>
      <c r="E3590" s="319"/>
      <c r="F3590" s="320"/>
      <c r="G3590" s="320"/>
      <c r="H3590" s="332"/>
      <c r="I3590" s="332"/>
      <c r="J3590" s="321"/>
    </row>
    <row r="3591" spans="1:10" x14ac:dyDescent="0.25">
      <c r="A3591" s="303"/>
      <c r="B3591" s="310"/>
      <c r="C3591" s="334"/>
      <c r="D3591" s="312"/>
      <c r="E3591" s="313"/>
      <c r="F3591" s="313"/>
      <c r="G3591" s="313"/>
      <c r="H3591" s="343"/>
      <c r="I3591" s="338" t="s">
        <v>507</v>
      </c>
      <c r="J3591" s="315">
        <v>0</v>
      </c>
    </row>
    <row r="3592" spans="1:10" x14ac:dyDescent="0.25">
      <c r="A3592" s="303"/>
      <c r="B3592" s="310" t="s">
        <v>464</v>
      </c>
      <c r="C3592" s="311" t="s">
        <v>508</v>
      </c>
      <c r="D3592" s="345" t="s">
        <v>509</v>
      </c>
      <c r="E3592" s="324" t="s">
        <v>873</v>
      </c>
      <c r="F3592" s="324" t="s">
        <v>874</v>
      </c>
      <c r="G3592" s="324" t="s">
        <v>875</v>
      </c>
      <c r="H3592" s="336" t="s">
        <v>468</v>
      </c>
      <c r="I3592" s="324" t="s">
        <v>491</v>
      </c>
      <c r="J3592" s="322" t="s">
        <v>492</v>
      </c>
    </row>
    <row r="3593" spans="1:10" x14ac:dyDescent="0.25">
      <c r="A3593" s="303"/>
      <c r="B3593" s="337" t="s">
        <v>346</v>
      </c>
      <c r="C3593" s="311"/>
      <c r="D3593" s="345"/>
      <c r="E3593" s="314"/>
      <c r="F3593" s="314"/>
      <c r="G3593" s="314"/>
      <c r="H3593" s="329"/>
      <c r="I3593" s="314"/>
      <c r="J3593" s="315"/>
    </row>
    <row r="3594" spans="1:10" x14ac:dyDescent="0.25">
      <c r="A3594" s="303"/>
      <c r="B3594" s="333" t="s">
        <v>346</v>
      </c>
      <c r="C3594" s="317"/>
      <c r="D3594" s="346"/>
      <c r="E3594" s="320"/>
      <c r="F3594" s="320"/>
      <c r="G3594" s="320"/>
      <c r="H3594" s="332"/>
      <c r="I3594" s="320"/>
      <c r="J3594" s="321"/>
    </row>
    <row r="3595" spans="1:10" x14ac:dyDescent="0.25">
      <c r="A3595" s="303"/>
      <c r="B3595" s="333" t="s">
        <v>346</v>
      </c>
      <c r="C3595" s="317"/>
      <c r="D3595" s="346"/>
      <c r="E3595" s="320"/>
      <c r="F3595" s="320"/>
      <c r="G3595" s="320"/>
      <c r="H3595" s="332"/>
      <c r="I3595" s="320"/>
      <c r="J3595" s="321"/>
    </row>
    <row r="3596" spans="1:10" x14ac:dyDescent="0.25">
      <c r="A3596" s="303"/>
      <c r="B3596" s="333" t="s">
        <v>346</v>
      </c>
      <c r="C3596" s="317"/>
      <c r="D3596" s="346"/>
      <c r="E3596" s="320"/>
      <c r="F3596" s="320"/>
      <c r="G3596" s="320"/>
      <c r="H3596" s="332"/>
      <c r="I3596" s="320"/>
      <c r="J3596" s="321"/>
    </row>
    <row r="3597" spans="1:10" x14ac:dyDescent="0.25">
      <c r="A3597" s="303"/>
      <c r="B3597" s="333" t="s">
        <v>346</v>
      </c>
      <c r="C3597" s="317"/>
      <c r="D3597" s="346"/>
      <c r="E3597" s="320"/>
      <c r="F3597" s="320"/>
      <c r="G3597" s="320"/>
      <c r="H3597" s="332"/>
      <c r="I3597" s="320"/>
      <c r="J3597" s="321"/>
    </row>
    <row r="3598" spans="1:10" x14ac:dyDescent="0.25">
      <c r="A3598" s="303"/>
      <c r="B3598" s="333" t="s">
        <v>346</v>
      </c>
      <c r="C3598" s="317"/>
      <c r="D3598" s="346"/>
      <c r="E3598" s="320"/>
      <c r="F3598" s="320"/>
      <c r="G3598" s="320"/>
      <c r="H3598" s="332"/>
      <c r="I3598" s="320"/>
      <c r="J3598" s="321"/>
    </row>
    <row r="3599" spans="1:10" x14ac:dyDescent="0.25">
      <c r="A3599" s="303"/>
      <c r="B3599" s="333" t="s">
        <v>346</v>
      </c>
      <c r="C3599" s="317"/>
      <c r="D3599" s="346"/>
      <c r="E3599" s="320"/>
      <c r="F3599" s="320"/>
      <c r="G3599" s="320"/>
      <c r="H3599" s="332"/>
      <c r="I3599" s="320"/>
      <c r="J3599" s="321"/>
    </row>
    <row r="3600" spans="1:10" x14ac:dyDescent="0.25">
      <c r="A3600" s="303"/>
      <c r="B3600" s="310"/>
      <c r="C3600" s="334"/>
      <c r="D3600" s="312"/>
      <c r="E3600" s="313"/>
      <c r="F3600" s="313"/>
      <c r="G3600" s="313"/>
      <c r="H3600" s="313"/>
      <c r="I3600" s="338" t="s">
        <v>513</v>
      </c>
      <c r="J3600" s="315">
        <v>0</v>
      </c>
    </row>
    <row r="3601" spans="1:10" x14ac:dyDescent="0.25">
      <c r="A3601" s="303"/>
      <c r="B3601" s="310" t="s">
        <v>514</v>
      </c>
      <c r="C3601" s="334"/>
      <c r="D3601" s="312"/>
      <c r="E3601" s="313"/>
      <c r="F3601" s="313"/>
      <c r="G3601" s="313"/>
      <c r="H3601" s="313"/>
      <c r="I3601" s="313"/>
      <c r="J3601" s="315">
        <v>52.9328</v>
      </c>
    </row>
    <row r="3602" spans="1:10" x14ac:dyDescent="0.25">
      <c r="A3602" s="303"/>
      <c r="B3602" s="310" t="s">
        <v>515</v>
      </c>
      <c r="C3602" s="334"/>
      <c r="D3602" s="312">
        <v>0</v>
      </c>
      <c r="E3602" s="313"/>
      <c r="F3602" s="313"/>
      <c r="G3602" s="313"/>
      <c r="H3602" s="313"/>
      <c r="I3602" s="313"/>
      <c r="J3602" s="315">
        <v>0</v>
      </c>
    </row>
    <row r="3603" spans="1:10" ht="14.4" thickBot="1" x14ac:dyDescent="0.3">
      <c r="A3603" s="303"/>
      <c r="B3603" s="310" t="s">
        <v>516</v>
      </c>
      <c r="C3603" s="334"/>
      <c r="D3603" s="312"/>
      <c r="E3603" s="313"/>
      <c r="F3603" s="313"/>
      <c r="G3603" s="313"/>
      <c r="H3603" s="313"/>
      <c r="I3603" s="313"/>
      <c r="J3603" s="347">
        <v>52.93</v>
      </c>
    </row>
    <row r="3604" spans="1:10" x14ac:dyDescent="0.25">
      <c r="A3604" s="303"/>
      <c r="B3604" s="304"/>
      <c r="C3604" s="305"/>
      <c r="D3604" s="348"/>
      <c r="E3604" s="308"/>
      <c r="F3604" s="308"/>
      <c r="G3604" s="308"/>
      <c r="H3604" s="308"/>
      <c r="I3604" s="308"/>
      <c r="J3604" s="309"/>
    </row>
    <row r="3605" spans="1:10" x14ac:dyDescent="0.25">
      <c r="A3605" s="303"/>
      <c r="B3605" s="316"/>
      <c r="C3605" s="303"/>
      <c r="D3605" s="318"/>
      <c r="E3605" s="319"/>
      <c r="F3605" s="319"/>
      <c r="G3605" s="319"/>
      <c r="H3605" s="319"/>
      <c r="I3605" s="319"/>
      <c r="J3605" s="349"/>
    </row>
    <row r="3606" spans="1:10" x14ac:dyDescent="0.25">
      <c r="A3606" s="303"/>
      <c r="B3606" s="316"/>
      <c r="C3606" s="303"/>
      <c r="D3606" s="318"/>
      <c r="E3606" s="319"/>
      <c r="F3606" s="319"/>
      <c r="G3606" s="319"/>
      <c r="H3606" s="319"/>
      <c r="I3606" s="319"/>
      <c r="J3606" s="349"/>
    </row>
    <row r="3607" spans="1:10" ht="14.4" thickBot="1" x14ac:dyDescent="0.3">
      <c r="A3607" s="303"/>
      <c r="B3607" s="350"/>
      <c r="C3607" s="303"/>
      <c r="D3607" s="318"/>
      <c r="E3607" s="319"/>
      <c r="F3607" s="319"/>
      <c r="G3607" s="319"/>
      <c r="H3607" s="319"/>
      <c r="I3607" s="319"/>
      <c r="J3607" s="351"/>
    </row>
    <row r="3608" spans="1:10" x14ac:dyDescent="0.25">
      <c r="A3608" s="303"/>
      <c r="B3608" s="305"/>
      <c r="C3608" s="305"/>
      <c r="D3608" s="348"/>
      <c r="E3608" s="308"/>
      <c r="F3608" s="308"/>
      <c r="G3608" s="308"/>
      <c r="H3608" s="308"/>
      <c r="I3608" s="308"/>
      <c r="J3608" s="352"/>
    </row>
    <row r="3609" spans="1:10" ht="14.4" thickBot="1" x14ac:dyDescent="0.3">
      <c r="A3609" s="303"/>
      <c r="B3609" s="303"/>
      <c r="C3609" s="303"/>
      <c r="D3609" s="318"/>
      <c r="E3609" s="319"/>
      <c r="F3609" s="319"/>
      <c r="G3609" s="319"/>
      <c r="H3609" s="319"/>
      <c r="I3609" s="319"/>
      <c r="J3609" s="353"/>
    </row>
    <row r="3610" spans="1:10" x14ac:dyDescent="0.25">
      <c r="A3610" s="303"/>
      <c r="B3610" s="304"/>
      <c r="C3610" s="305"/>
      <c r="D3610" s="306" t="s">
        <v>463</v>
      </c>
      <c r="E3610" s="307"/>
      <c r="F3610" s="307"/>
      <c r="G3610" s="308"/>
      <c r="H3610" s="308"/>
      <c r="I3610" s="308"/>
      <c r="J3610" s="309"/>
    </row>
    <row r="3611" spans="1:10" x14ac:dyDescent="0.25">
      <c r="A3611" s="303"/>
      <c r="B3611" s="310" t="s">
        <v>464</v>
      </c>
      <c r="C3611" s="311" t="s">
        <v>134</v>
      </c>
      <c r="D3611" s="312"/>
      <c r="E3611" s="313"/>
      <c r="F3611" s="313"/>
      <c r="G3611" s="313"/>
      <c r="H3611" s="314"/>
      <c r="I3611" s="313"/>
      <c r="J3611" s="315" t="s">
        <v>465</v>
      </c>
    </row>
    <row r="3612" spans="1:10" x14ac:dyDescent="0.25">
      <c r="A3612" s="303"/>
      <c r="B3612" s="316">
        <v>407820</v>
      </c>
      <c r="C3612" s="317" t="s">
        <v>795</v>
      </c>
      <c r="D3612" s="318"/>
      <c r="E3612" s="319"/>
      <c r="F3612" s="319"/>
      <c r="G3612" s="319"/>
      <c r="H3612" s="320"/>
      <c r="I3612" s="319"/>
      <c r="J3612" s="321" t="s">
        <v>560</v>
      </c>
    </row>
    <row r="3613" spans="1:10" x14ac:dyDescent="0.25">
      <c r="A3613" s="303"/>
      <c r="B3613" s="310"/>
      <c r="C3613" s="311"/>
      <c r="D3613" s="312"/>
      <c r="E3613" s="314"/>
      <c r="F3613" s="314" t="s">
        <v>466</v>
      </c>
      <c r="G3613" s="314"/>
      <c r="H3613" s="314" t="s">
        <v>467</v>
      </c>
      <c r="I3613" s="314"/>
      <c r="J3613" s="322" t="s">
        <v>468</v>
      </c>
    </row>
    <row r="3614" spans="1:10" x14ac:dyDescent="0.25">
      <c r="A3614" s="303"/>
      <c r="B3614" s="316" t="s">
        <v>464</v>
      </c>
      <c r="C3614" s="317" t="s">
        <v>469</v>
      </c>
      <c r="D3614" s="318"/>
      <c r="E3614" s="323" t="s">
        <v>355</v>
      </c>
      <c r="F3614" s="324" t="s">
        <v>470</v>
      </c>
      <c r="G3614" s="324" t="s">
        <v>471</v>
      </c>
      <c r="H3614" s="324" t="s">
        <v>472</v>
      </c>
      <c r="I3614" s="325" t="s">
        <v>473</v>
      </c>
      <c r="J3614" s="326" t="s">
        <v>474</v>
      </c>
    </row>
    <row r="3615" spans="1:10" x14ac:dyDescent="0.25">
      <c r="A3615" s="303"/>
      <c r="B3615" s="337" t="s">
        <v>346</v>
      </c>
      <c r="C3615" s="311"/>
      <c r="D3615" s="312"/>
      <c r="E3615" s="328"/>
      <c r="F3615" s="328"/>
      <c r="G3615" s="328"/>
      <c r="H3615" s="329"/>
      <c r="I3615" s="329"/>
      <c r="J3615" s="315"/>
    </row>
    <row r="3616" spans="1:10" x14ac:dyDescent="0.25">
      <c r="A3616" s="303"/>
      <c r="B3616" s="333" t="s">
        <v>346</v>
      </c>
      <c r="C3616" s="317"/>
      <c r="D3616" s="318"/>
      <c r="E3616" s="331"/>
      <c r="F3616" s="331"/>
      <c r="G3616" s="331"/>
      <c r="H3616" s="332"/>
      <c r="I3616" s="332"/>
      <c r="J3616" s="321"/>
    </row>
    <row r="3617" spans="1:10" x14ac:dyDescent="0.25">
      <c r="A3617" s="303"/>
      <c r="B3617" s="333" t="s">
        <v>346</v>
      </c>
      <c r="C3617" s="317"/>
      <c r="D3617" s="318"/>
      <c r="E3617" s="331"/>
      <c r="F3617" s="331"/>
      <c r="G3617" s="331"/>
      <c r="H3617" s="332"/>
      <c r="I3617" s="332"/>
      <c r="J3617" s="321"/>
    </row>
    <row r="3618" spans="1:10" x14ac:dyDescent="0.25">
      <c r="A3618" s="303"/>
      <c r="B3618" s="333" t="s">
        <v>346</v>
      </c>
      <c r="C3618" s="317"/>
      <c r="D3618" s="318"/>
      <c r="E3618" s="331"/>
      <c r="F3618" s="331"/>
      <c r="G3618" s="331"/>
      <c r="H3618" s="332"/>
      <c r="I3618" s="332"/>
      <c r="J3618" s="321"/>
    </row>
    <row r="3619" spans="1:10" x14ac:dyDescent="0.25">
      <c r="A3619" s="303"/>
      <c r="B3619" s="333" t="s">
        <v>346</v>
      </c>
      <c r="C3619" s="317"/>
      <c r="D3619" s="318"/>
      <c r="E3619" s="331"/>
      <c r="F3619" s="331"/>
      <c r="G3619" s="331"/>
      <c r="H3619" s="332"/>
      <c r="I3619" s="332"/>
      <c r="J3619" s="321"/>
    </row>
    <row r="3620" spans="1:10" x14ac:dyDescent="0.25">
      <c r="A3620" s="303"/>
      <c r="B3620" s="333" t="s">
        <v>346</v>
      </c>
      <c r="C3620" s="317"/>
      <c r="D3620" s="318"/>
      <c r="E3620" s="331"/>
      <c r="F3620" s="331"/>
      <c r="G3620" s="331"/>
      <c r="H3620" s="332"/>
      <c r="I3620" s="332"/>
      <c r="J3620" s="321"/>
    </row>
    <row r="3621" spans="1:10" x14ac:dyDescent="0.25">
      <c r="A3621" s="303"/>
      <c r="B3621" s="333" t="s">
        <v>346</v>
      </c>
      <c r="C3621" s="317"/>
      <c r="D3621" s="318"/>
      <c r="E3621" s="331"/>
      <c r="F3621" s="331"/>
      <c r="G3621" s="331"/>
      <c r="H3621" s="332"/>
      <c r="I3621" s="332"/>
      <c r="J3621" s="321"/>
    </row>
    <row r="3622" spans="1:10" x14ac:dyDescent="0.25">
      <c r="A3622" s="303"/>
      <c r="B3622" s="310"/>
      <c r="C3622" s="334"/>
      <c r="D3622" s="312"/>
      <c r="E3622" s="313"/>
      <c r="F3622" s="313"/>
      <c r="G3622" s="313"/>
      <c r="H3622" s="313"/>
      <c r="I3622" s="335" t="s">
        <v>479</v>
      </c>
      <c r="J3622" s="315">
        <v>0</v>
      </c>
    </row>
    <row r="3623" spans="1:10" x14ac:dyDescent="0.25">
      <c r="A3623" s="303"/>
      <c r="B3623" s="310" t="s">
        <v>464</v>
      </c>
      <c r="C3623" s="311" t="s">
        <v>480</v>
      </c>
      <c r="D3623" s="312"/>
      <c r="E3623" s="313"/>
      <c r="F3623" s="313"/>
      <c r="G3623" s="313"/>
      <c r="H3623" s="324" t="s">
        <v>355</v>
      </c>
      <c r="I3623" s="336" t="s">
        <v>481</v>
      </c>
      <c r="J3623" s="322" t="s">
        <v>331</v>
      </c>
    </row>
    <row r="3624" spans="1:10" x14ac:dyDescent="0.25">
      <c r="A3624" s="303"/>
      <c r="B3624" s="337" t="s">
        <v>679</v>
      </c>
      <c r="C3624" s="311" t="s">
        <v>680</v>
      </c>
      <c r="D3624" s="312"/>
      <c r="E3624" s="313"/>
      <c r="F3624" s="313"/>
      <c r="G3624" s="313"/>
      <c r="H3624" s="314">
        <v>0.08</v>
      </c>
      <c r="I3624" s="329">
        <v>18.301200000000001</v>
      </c>
      <c r="J3624" s="315">
        <v>1.4641</v>
      </c>
    </row>
    <row r="3625" spans="1:10" x14ac:dyDescent="0.25">
      <c r="A3625" s="303"/>
      <c r="B3625" s="333" t="s">
        <v>725</v>
      </c>
      <c r="C3625" s="317" t="s">
        <v>726</v>
      </c>
      <c r="D3625" s="318"/>
      <c r="E3625" s="319"/>
      <c r="F3625" s="319"/>
      <c r="G3625" s="319"/>
      <c r="H3625" s="320">
        <v>0.08</v>
      </c>
      <c r="I3625" s="332">
        <v>24.009799999999998</v>
      </c>
      <c r="J3625" s="321">
        <v>1.9208000000000001</v>
      </c>
    </row>
    <row r="3626" spans="1:10" x14ac:dyDescent="0.25">
      <c r="A3626" s="303"/>
      <c r="B3626" s="333" t="s">
        <v>346</v>
      </c>
      <c r="C3626" s="317"/>
      <c r="D3626" s="318"/>
      <c r="E3626" s="319"/>
      <c r="F3626" s="319"/>
      <c r="G3626" s="319"/>
      <c r="H3626" s="320"/>
      <c r="I3626" s="332"/>
      <c r="J3626" s="321"/>
    </row>
    <row r="3627" spans="1:10" x14ac:dyDescent="0.25">
      <c r="A3627" s="303"/>
      <c r="B3627" s="333" t="s">
        <v>346</v>
      </c>
      <c r="C3627" s="317"/>
      <c r="D3627" s="318"/>
      <c r="E3627" s="319"/>
      <c r="F3627" s="319"/>
      <c r="G3627" s="319"/>
      <c r="H3627" s="320"/>
      <c r="I3627" s="332"/>
      <c r="J3627" s="321"/>
    </row>
    <row r="3628" spans="1:10" x14ac:dyDescent="0.25">
      <c r="A3628" s="303"/>
      <c r="B3628" s="333" t="s">
        <v>346</v>
      </c>
      <c r="C3628" s="317"/>
      <c r="D3628" s="318"/>
      <c r="E3628" s="319"/>
      <c r="F3628" s="319"/>
      <c r="G3628" s="319"/>
      <c r="H3628" s="320"/>
      <c r="I3628" s="332"/>
      <c r="J3628" s="321"/>
    </row>
    <row r="3629" spans="1:10" x14ac:dyDescent="0.25">
      <c r="A3629" s="303"/>
      <c r="B3629" s="333" t="s">
        <v>346</v>
      </c>
      <c r="C3629" s="317"/>
      <c r="D3629" s="318"/>
      <c r="E3629" s="319"/>
      <c r="F3629" s="319"/>
      <c r="G3629" s="319"/>
      <c r="H3629" s="320"/>
      <c r="I3629" s="332"/>
      <c r="J3629" s="321"/>
    </row>
    <row r="3630" spans="1:10" x14ac:dyDescent="0.25">
      <c r="A3630" s="303"/>
      <c r="B3630" s="333" t="s">
        <v>346</v>
      </c>
      <c r="C3630" s="317"/>
      <c r="D3630" s="318"/>
      <c r="E3630" s="319"/>
      <c r="F3630" s="319"/>
      <c r="G3630" s="319"/>
      <c r="H3630" s="320"/>
      <c r="I3630" s="332"/>
      <c r="J3630" s="321"/>
    </row>
    <row r="3631" spans="1:10" x14ac:dyDescent="0.25">
      <c r="A3631" s="303"/>
      <c r="B3631" s="310"/>
      <c r="C3631" s="334"/>
      <c r="D3631" s="312"/>
      <c r="E3631" s="313"/>
      <c r="F3631" s="313"/>
      <c r="G3631" s="313"/>
      <c r="H3631" s="313"/>
      <c r="I3631" s="338" t="s">
        <v>484</v>
      </c>
      <c r="J3631" s="315">
        <v>3.3849</v>
      </c>
    </row>
    <row r="3632" spans="1:10" x14ac:dyDescent="0.25">
      <c r="A3632" s="303"/>
      <c r="B3632" s="339"/>
      <c r="C3632" s="334"/>
      <c r="D3632" s="312"/>
      <c r="E3632" s="313"/>
      <c r="F3632" s="313"/>
      <c r="G3632" s="313"/>
      <c r="H3632" s="313"/>
      <c r="I3632" s="338" t="s">
        <v>485</v>
      </c>
      <c r="J3632" s="340">
        <v>3.3849</v>
      </c>
    </row>
    <row r="3633" spans="1:10" x14ac:dyDescent="0.25">
      <c r="A3633" s="303"/>
      <c r="B3633" s="339"/>
      <c r="C3633" s="341" t="s">
        <v>486</v>
      </c>
      <c r="D3633" s="312">
        <v>1</v>
      </c>
      <c r="E3633" s="313"/>
      <c r="F3633" s="313"/>
      <c r="G3633" s="313"/>
      <c r="H3633" s="313"/>
      <c r="I3633" s="338" t="s">
        <v>487</v>
      </c>
      <c r="J3633" s="340">
        <v>3.3849</v>
      </c>
    </row>
    <row r="3634" spans="1:10" x14ac:dyDescent="0.25">
      <c r="A3634" s="303"/>
      <c r="B3634" s="310"/>
      <c r="C3634" s="334"/>
      <c r="D3634" s="312"/>
      <c r="E3634" s="313"/>
      <c r="F3634" s="313"/>
      <c r="G3634" s="313"/>
      <c r="H3634" s="338" t="s">
        <v>488</v>
      </c>
      <c r="I3634" s="342">
        <v>0</v>
      </c>
      <c r="J3634" s="315">
        <v>0</v>
      </c>
    </row>
    <row r="3635" spans="1:10" x14ac:dyDescent="0.25">
      <c r="A3635" s="303"/>
      <c r="B3635" s="310"/>
      <c r="C3635" s="334"/>
      <c r="D3635" s="312"/>
      <c r="E3635" s="313"/>
      <c r="F3635" s="313"/>
      <c r="G3635" s="313"/>
      <c r="H3635" s="335" t="s">
        <v>489</v>
      </c>
      <c r="I3635" s="343">
        <v>0</v>
      </c>
      <c r="J3635" s="315">
        <v>0</v>
      </c>
    </row>
    <row r="3636" spans="1:10" x14ac:dyDescent="0.25">
      <c r="A3636" s="303"/>
      <c r="B3636" s="310" t="s">
        <v>464</v>
      </c>
      <c r="C3636" s="311" t="s">
        <v>490</v>
      </c>
      <c r="D3636" s="312"/>
      <c r="E3636" s="313"/>
      <c r="F3636" s="313"/>
      <c r="G3636" s="314" t="s">
        <v>465</v>
      </c>
      <c r="H3636" s="336" t="s">
        <v>468</v>
      </c>
      <c r="I3636" s="336" t="s">
        <v>491</v>
      </c>
      <c r="J3636" s="322" t="s">
        <v>492</v>
      </c>
    </row>
    <row r="3637" spans="1:10" x14ac:dyDescent="0.25">
      <c r="A3637" s="303"/>
      <c r="B3637" s="337" t="s">
        <v>796</v>
      </c>
      <c r="C3637" s="311" t="s">
        <v>797</v>
      </c>
      <c r="D3637" s="312"/>
      <c r="E3637" s="313"/>
      <c r="F3637" s="313"/>
      <c r="G3637" s="314" t="s">
        <v>560</v>
      </c>
      <c r="H3637" s="329">
        <v>10.3218</v>
      </c>
      <c r="I3637" s="329">
        <v>1.1000000000000001</v>
      </c>
      <c r="J3637" s="315">
        <v>11.353999999999999</v>
      </c>
    </row>
    <row r="3638" spans="1:10" x14ac:dyDescent="0.25">
      <c r="A3638" s="303"/>
      <c r="B3638" s="333" t="s">
        <v>729</v>
      </c>
      <c r="C3638" s="317" t="s">
        <v>730</v>
      </c>
      <c r="D3638" s="318"/>
      <c r="E3638" s="319"/>
      <c r="F3638" s="319"/>
      <c r="G3638" s="320" t="s">
        <v>560</v>
      </c>
      <c r="H3638" s="332">
        <v>11.297499999999999</v>
      </c>
      <c r="I3638" s="332">
        <v>1.4999999999999999E-2</v>
      </c>
      <c r="J3638" s="321">
        <v>0.16950000000000001</v>
      </c>
    </row>
    <row r="3639" spans="1:10" x14ac:dyDescent="0.25">
      <c r="A3639" s="303"/>
      <c r="B3639" s="333" t="s">
        <v>346</v>
      </c>
      <c r="C3639" s="317"/>
      <c r="D3639" s="318"/>
      <c r="E3639" s="319"/>
      <c r="F3639" s="319"/>
      <c r="G3639" s="320"/>
      <c r="H3639" s="332"/>
      <c r="I3639" s="332"/>
      <c r="J3639" s="321"/>
    </row>
    <row r="3640" spans="1:10" x14ac:dyDescent="0.25">
      <c r="A3640" s="303"/>
      <c r="B3640" s="333" t="s">
        <v>346</v>
      </c>
      <c r="C3640" s="317"/>
      <c r="D3640" s="318"/>
      <c r="E3640" s="319"/>
      <c r="F3640" s="319"/>
      <c r="G3640" s="320"/>
      <c r="H3640" s="332"/>
      <c r="I3640" s="332"/>
      <c r="J3640" s="321"/>
    </row>
    <row r="3641" spans="1:10" x14ac:dyDescent="0.25">
      <c r="A3641" s="303"/>
      <c r="B3641" s="333" t="s">
        <v>346</v>
      </c>
      <c r="C3641" s="317"/>
      <c r="D3641" s="318"/>
      <c r="E3641" s="319"/>
      <c r="F3641" s="319"/>
      <c r="G3641" s="320"/>
      <c r="H3641" s="332"/>
      <c r="I3641" s="332"/>
      <c r="J3641" s="321"/>
    </row>
    <row r="3642" spans="1:10" x14ac:dyDescent="0.25">
      <c r="A3642" s="303"/>
      <c r="B3642" s="333" t="s">
        <v>346</v>
      </c>
      <c r="C3642" s="317"/>
      <c r="D3642" s="318"/>
      <c r="E3642" s="319"/>
      <c r="F3642" s="319"/>
      <c r="G3642" s="320"/>
      <c r="H3642" s="332"/>
      <c r="I3642" s="332"/>
      <c r="J3642" s="321"/>
    </row>
    <row r="3643" spans="1:10" x14ac:dyDescent="0.25">
      <c r="A3643" s="303"/>
      <c r="B3643" s="333" t="s">
        <v>346</v>
      </c>
      <c r="C3643" s="317"/>
      <c r="D3643" s="318"/>
      <c r="E3643" s="319"/>
      <c r="F3643" s="319"/>
      <c r="G3643" s="320"/>
      <c r="H3643" s="332"/>
      <c r="I3643" s="332"/>
      <c r="J3643" s="321"/>
    </row>
    <row r="3644" spans="1:10" x14ac:dyDescent="0.25">
      <c r="A3644" s="303"/>
      <c r="B3644" s="310"/>
      <c r="C3644" s="334"/>
      <c r="D3644" s="312"/>
      <c r="E3644" s="313"/>
      <c r="F3644" s="313"/>
      <c r="G3644" s="313"/>
      <c r="H3644" s="343"/>
      <c r="I3644" s="335" t="s">
        <v>498</v>
      </c>
      <c r="J3644" s="315">
        <v>11.523499999999999</v>
      </c>
    </row>
    <row r="3645" spans="1:10" x14ac:dyDescent="0.25">
      <c r="A3645" s="303"/>
      <c r="B3645" s="310" t="s">
        <v>464</v>
      </c>
      <c r="C3645" s="311" t="s">
        <v>499</v>
      </c>
      <c r="D3645" s="312"/>
      <c r="E3645" s="313"/>
      <c r="F3645" s="313"/>
      <c r="G3645" s="314" t="s">
        <v>465</v>
      </c>
      <c r="H3645" s="336" t="s">
        <v>468</v>
      </c>
      <c r="I3645" s="336" t="s">
        <v>491</v>
      </c>
      <c r="J3645" s="322" t="s">
        <v>492</v>
      </c>
    </row>
    <row r="3646" spans="1:10" x14ac:dyDescent="0.25">
      <c r="A3646" s="303"/>
      <c r="B3646" s="337"/>
      <c r="C3646" s="311"/>
      <c r="D3646" s="312"/>
      <c r="E3646" s="313"/>
      <c r="F3646" s="313"/>
      <c r="G3646" s="314"/>
      <c r="H3646" s="329"/>
      <c r="I3646" s="329"/>
      <c r="J3646" s="315"/>
    </row>
    <row r="3647" spans="1:10" x14ac:dyDescent="0.25">
      <c r="A3647" s="303"/>
      <c r="B3647" s="333"/>
      <c r="C3647" s="317"/>
      <c r="D3647" s="318"/>
      <c r="E3647" s="319"/>
      <c r="F3647" s="319"/>
      <c r="G3647" s="320"/>
      <c r="H3647" s="332"/>
      <c r="I3647" s="332"/>
      <c r="J3647" s="321"/>
    </row>
    <row r="3648" spans="1:10" x14ac:dyDescent="0.25">
      <c r="A3648" s="303"/>
      <c r="B3648" s="333"/>
      <c r="C3648" s="317"/>
      <c r="D3648" s="318"/>
      <c r="E3648" s="319"/>
      <c r="F3648" s="319"/>
      <c r="G3648" s="320"/>
      <c r="H3648" s="332"/>
      <c r="I3648" s="332"/>
      <c r="J3648" s="321"/>
    </row>
    <row r="3649" spans="1:10" x14ac:dyDescent="0.25">
      <c r="A3649" s="303"/>
      <c r="B3649" s="333"/>
      <c r="C3649" s="317"/>
      <c r="D3649" s="318"/>
      <c r="E3649" s="319"/>
      <c r="F3649" s="319"/>
      <c r="G3649" s="320"/>
      <c r="H3649" s="332"/>
      <c r="I3649" s="332"/>
      <c r="J3649" s="321"/>
    </row>
    <row r="3650" spans="1:10" x14ac:dyDescent="0.25">
      <c r="A3650" s="303"/>
      <c r="B3650" s="333"/>
      <c r="C3650" s="317"/>
      <c r="D3650" s="318"/>
      <c r="E3650" s="319"/>
      <c r="F3650" s="319"/>
      <c r="G3650" s="320"/>
      <c r="H3650" s="332"/>
      <c r="I3650" s="332"/>
      <c r="J3650" s="321"/>
    </row>
    <row r="3651" spans="1:10" x14ac:dyDescent="0.25">
      <c r="A3651" s="303"/>
      <c r="B3651" s="310"/>
      <c r="C3651" s="334"/>
      <c r="D3651" s="312"/>
      <c r="E3651" s="313"/>
      <c r="F3651" s="313"/>
      <c r="G3651" s="313"/>
      <c r="H3651" s="343"/>
      <c r="I3651" s="335" t="s">
        <v>501</v>
      </c>
      <c r="J3651" s="315">
        <v>0</v>
      </c>
    </row>
    <row r="3652" spans="1:10" x14ac:dyDescent="0.25">
      <c r="A3652" s="303"/>
      <c r="B3652" s="310" t="s">
        <v>464</v>
      </c>
      <c r="C3652" s="311" t="s">
        <v>502</v>
      </c>
      <c r="D3652" s="312"/>
      <c r="E3652" s="313"/>
      <c r="F3652" s="314" t="s">
        <v>464</v>
      </c>
      <c r="G3652" s="324" t="s">
        <v>503</v>
      </c>
      <c r="H3652" s="329" t="s">
        <v>465</v>
      </c>
      <c r="I3652" s="336" t="s">
        <v>468</v>
      </c>
      <c r="J3652" s="322" t="s">
        <v>492</v>
      </c>
    </row>
    <row r="3653" spans="1:10" x14ac:dyDescent="0.25">
      <c r="A3653" s="303"/>
      <c r="B3653" s="337" t="s">
        <v>798</v>
      </c>
      <c r="C3653" s="311" t="s">
        <v>799</v>
      </c>
      <c r="D3653" s="312"/>
      <c r="E3653" s="313"/>
      <c r="F3653" s="344" t="s">
        <v>632</v>
      </c>
      <c r="G3653" s="314">
        <v>1.1000000000000001E-3</v>
      </c>
      <c r="H3653" s="329" t="s">
        <v>370</v>
      </c>
      <c r="I3653" s="329">
        <v>26.18</v>
      </c>
      <c r="J3653" s="315">
        <v>2.8799999999999999E-2</v>
      </c>
    </row>
    <row r="3654" spans="1:10" x14ac:dyDescent="0.25">
      <c r="A3654" s="303"/>
      <c r="B3654" s="333" t="s">
        <v>733</v>
      </c>
      <c r="C3654" s="317" t="s">
        <v>734</v>
      </c>
      <c r="D3654" s="318"/>
      <c r="E3654" s="319"/>
      <c r="F3654" s="354" t="s">
        <v>632</v>
      </c>
      <c r="G3654" s="320">
        <v>2.0000000000000002E-5</v>
      </c>
      <c r="H3654" s="332" t="s">
        <v>370</v>
      </c>
      <c r="I3654" s="332">
        <v>26.18</v>
      </c>
      <c r="J3654" s="321">
        <v>5.0000000000000001E-4</v>
      </c>
    </row>
    <row r="3655" spans="1:10" x14ac:dyDescent="0.25">
      <c r="A3655" s="303"/>
      <c r="B3655" s="333" t="s">
        <v>346</v>
      </c>
      <c r="C3655" s="317"/>
      <c r="D3655" s="318"/>
      <c r="E3655" s="319"/>
      <c r="F3655" s="320"/>
      <c r="G3655" s="320"/>
      <c r="H3655" s="332"/>
      <c r="I3655" s="332"/>
      <c r="J3655" s="321"/>
    </row>
    <row r="3656" spans="1:10" x14ac:dyDescent="0.25">
      <c r="A3656" s="303"/>
      <c r="B3656" s="333" t="s">
        <v>346</v>
      </c>
      <c r="C3656" s="317"/>
      <c r="D3656" s="318"/>
      <c r="E3656" s="319"/>
      <c r="F3656" s="320"/>
      <c r="G3656" s="320"/>
      <c r="H3656" s="332"/>
      <c r="I3656" s="332"/>
      <c r="J3656" s="321"/>
    </row>
    <row r="3657" spans="1:10" x14ac:dyDescent="0.25">
      <c r="A3657" s="303"/>
      <c r="B3657" s="333" t="s">
        <v>346</v>
      </c>
      <c r="C3657" s="317"/>
      <c r="D3657" s="318"/>
      <c r="E3657" s="319"/>
      <c r="F3657" s="320"/>
      <c r="G3657" s="320"/>
      <c r="H3657" s="332"/>
      <c r="I3657" s="332"/>
      <c r="J3657" s="321"/>
    </row>
    <row r="3658" spans="1:10" x14ac:dyDescent="0.25">
      <c r="A3658" s="303"/>
      <c r="B3658" s="310"/>
      <c r="C3658" s="334"/>
      <c r="D3658" s="312"/>
      <c r="E3658" s="313"/>
      <c r="F3658" s="313"/>
      <c r="G3658" s="313"/>
      <c r="H3658" s="343"/>
      <c r="I3658" s="338" t="s">
        <v>507</v>
      </c>
      <c r="J3658" s="315">
        <v>2.93E-2</v>
      </c>
    </row>
    <row r="3659" spans="1:10" x14ac:dyDescent="0.25">
      <c r="A3659" s="303"/>
      <c r="B3659" s="310" t="s">
        <v>464</v>
      </c>
      <c r="C3659" s="311" t="s">
        <v>508</v>
      </c>
      <c r="D3659" s="345" t="s">
        <v>509</v>
      </c>
      <c r="E3659" s="324" t="s">
        <v>873</v>
      </c>
      <c r="F3659" s="324" t="s">
        <v>874</v>
      </c>
      <c r="G3659" s="324" t="s">
        <v>875</v>
      </c>
      <c r="H3659" s="336" t="s">
        <v>468</v>
      </c>
      <c r="I3659" s="324" t="s">
        <v>491</v>
      </c>
      <c r="J3659" s="322" t="s">
        <v>492</v>
      </c>
    </row>
    <row r="3660" spans="1:10" x14ac:dyDescent="0.25">
      <c r="A3660" s="303"/>
      <c r="B3660" s="337" t="s">
        <v>800</v>
      </c>
      <c r="C3660" s="311" t="s">
        <v>801</v>
      </c>
      <c r="D3660" s="345" t="s">
        <v>510</v>
      </c>
      <c r="E3660" s="314">
        <v>0</v>
      </c>
      <c r="F3660" s="314">
        <v>0</v>
      </c>
      <c r="G3660" s="314">
        <v>100.45</v>
      </c>
      <c r="H3660" s="329">
        <v>0.55000000000000004</v>
      </c>
      <c r="I3660" s="314">
        <v>1.1000000000000001E-3</v>
      </c>
      <c r="J3660" s="315">
        <v>6.08E-2</v>
      </c>
    </row>
    <row r="3661" spans="1:10" x14ac:dyDescent="0.25">
      <c r="A3661" s="303"/>
      <c r="B3661" s="333" t="s">
        <v>737</v>
      </c>
      <c r="C3661" s="317" t="s">
        <v>738</v>
      </c>
      <c r="D3661" s="346" t="s">
        <v>510</v>
      </c>
      <c r="E3661" s="320">
        <v>0</v>
      </c>
      <c r="F3661" s="320">
        <v>0</v>
      </c>
      <c r="G3661" s="320">
        <v>100.45</v>
      </c>
      <c r="H3661" s="332">
        <v>0.55000000000000004</v>
      </c>
      <c r="I3661" s="320">
        <v>2.0000000000000002E-5</v>
      </c>
      <c r="J3661" s="321">
        <v>1.1000000000000001E-3</v>
      </c>
    </row>
    <row r="3662" spans="1:10" x14ac:dyDescent="0.25">
      <c r="A3662" s="303"/>
      <c r="B3662" s="333" t="s">
        <v>346</v>
      </c>
      <c r="C3662" s="317"/>
      <c r="D3662" s="346"/>
      <c r="E3662" s="320"/>
      <c r="F3662" s="320"/>
      <c r="G3662" s="320"/>
      <c r="H3662" s="332"/>
      <c r="I3662" s="320"/>
      <c r="J3662" s="321"/>
    </row>
    <row r="3663" spans="1:10" x14ac:dyDescent="0.25">
      <c r="A3663" s="303"/>
      <c r="B3663" s="333" t="s">
        <v>346</v>
      </c>
      <c r="C3663" s="317"/>
      <c r="D3663" s="346"/>
      <c r="E3663" s="320"/>
      <c r="F3663" s="320"/>
      <c r="G3663" s="320"/>
      <c r="H3663" s="332"/>
      <c r="I3663" s="320"/>
      <c r="J3663" s="321"/>
    </row>
    <row r="3664" spans="1:10" x14ac:dyDescent="0.25">
      <c r="A3664" s="303"/>
      <c r="B3664" s="333" t="s">
        <v>346</v>
      </c>
      <c r="C3664" s="317"/>
      <c r="D3664" s="346"/>
      <c r="E3664" s="320"/>
      <c r="F3664" s="320"/>
      <c r="G3664" s="320"/>
      <c r="H3664" s="332"/>
      <c r="I3664" s="320"/>
      <c r="J3664" s="321"/>
    </row>
    <row r="3665" spans="1:10" x14ac:dyDescent="0.25">
      <c r="A3665" s="303"/>
      <c r="B3665" s="333" t="s">
        <v>346</v>
      </c>
      <c r="C3665" s="317"/>
      <c r="D3665" s="346"/>
      <c r="E3665" s="320"/>
      <c r="F3665" s="320"/>
      <c r="G3665" s="320"/>
      <c r="H3665" s="332"/>
      <c r="I3665" s="320"/>
      <c r="J3665" s="321"/>
    </row>
    <row r="3666" spans="1:10" x14ac:dyDescent="0.25">
      <c r="A3666" s="303"/>
      <c r="B3666" s="333" t="s">
        <v>346</v>
      </c>
      <c r="C3666" s="317"/>
      <c r="D3666" s="346"/>
      <c r="E3666" s="320"/>
      <c r="F3666" s="320"/>
      <c r="G3666" s="320"/>
      <c r="H3666" s="332"/>
      <c r="I3666" s="320"/>
      <c r="J3666" s="321"/>
    </row>
    <row r="3667" spans="1:10" x14ac:dyDescent="0.25">
      <c r="A3667" s="303"/>
      <c r="B3667" s="310"/>
      <c r="C3667" s="334"/>
      <c r="D3667" s="312"/>
      <c r="E3667" s="313"/>
      <c r="F3667" s="313"/>
      <c r="G3667" s="313"/>
      <c r="H3667" s="313"/>
      <c r="I3667" s="338" t="s">
        <v>513</v>
      </c>
      <c r="J3667" s="315">
        <v>6.1899999999999997E-2</v>
      </c>
    </row>
    <row r="3668" spans="1:10" x14ac:dyDescent="0.25">
      <c r="A3668" s="303"/>
      <c r="B3668" s="310" t="s">
        <v>514</v>
      </c>
      <c r="C3668" s="334"/>
      <c r="D3668" s="312"/>
      <c r="E3668" s="313"/>
      <c r="F3668" s="313"/>
      <c r="G3668" s="313"/>
      <c r="H3668" s="313"/>
      <c r="I3668" s="313"/>
      <c r="J3668" s="315">
        <v>14.999599999999999</v>
      </c>
    </row>
    <row r="3669" spans="1:10" x14ac:dyDescent="0.25">
      <c r="A3669" s="303"/>
      <c r="B3669" s="310" t="s">
        <v>515</v>
      </c>
      <c r="C3669" s="334"/>
      <c r="D3669" s="312">
        <v>0</v>
      </c>
      <c r="E3669" s="313"/>
      <c r="F3669" s="313"/>
      <c r="G3669" s="313"/>
      <c r="H3669" s="313"/>
      <c r="I3669" s="313"/>
      <c r="J3669" s="315">
        <v>0</v>
      </c>
    </row>
    <row r="3670" spans="1:10" ht="14.4" thickBot="1" x14ac:dyDescent="0.3">
      <c r="A3670" s="303"/>
      <c r="B3670" s="310" t="s">
        <v>516</v>
      </c>
      <c r="C3670" s="334"/>
      <c r="D3670" s="312"/>
      <c r="E3670" s="313"/>
      <c r="F3670" s="313"/>
      <c r="G3670" s="313"/>
      <c r="H3670" s="313"/>
      <c r="I3670" s="313"/>
      <c r="J3670" s="347">
        <v>15</v>
      </c>
    </row>
    <row r="3671" spans="1:10" x14ac:dyDescent="0.25">
      <c r="A3671" s="303"/>
      <c r="B3671" s="304"/>
      <c r="C3671" s="305"/>
      <c r="D3671" s="348"/>
      <c r="E3671" s="308"/>
      <c r="F3671" s="308"/>
      <c r="G3671" s="308"/>
      <c r="H3671" s="308"/>
      <c r="I3671" s="308"/>
      <c r="J3671" s="309"/>
    </row>
    <row r="3672" spans="1:10" x14ac:dyDescent="0.25">
      <c r="A3672" s="303"/>
      <c r="B3672" s="316"/>
      <c r="C3672" s="303"/>
      <c r="D3672" s="318"/>
      <c r="E3672" s="319"/>
      <c r="F3672" s="319"/>
      <c r="G3672" s="319"/>
      <c r="H3672" s="319"/>
      <c r="I3672" s="319"/>
      <c r="J3672" s="349"/>
    </row>
    <row r="3673" spans="1:10" x14ac:dyDescent="0.25">
      <c r="A3673" s="303"/>
      <c r="B3673" s="316"/>
      <c r="C3673" s="303"/>
      <c r="D3673" s="318"/>
      <c r="E3673" s="319"/>
      <c r="F3673" s="319"/>
      <c r="G3673" s="319"/>
      <c r="H3673" s="319"/>
      <c r="I3673" s="319"/>
      <c r="J3673" s="349"/>
    </row>
    <row r="3674" spans="1:10" ht="14.4" thickBot="1" x14ac:dyDescent="0.3">
      <c r="A3674" s="303"/>
      <c r="B3674" s="350"/>
      <c r="C3674" s="303"/>
      <c r="D3674" s="318"/>
      <c r="E3674" s="319"/>
      <c r="F3674" s="319"/>
      <c r="G3674" s="319"/>
      <c r="H3674" s="319"/>
      <c r="I3674" s="319"/>
      <c r="J3674" s="351"/>
    </row>
    <row r="3675" spans="1:10" x14ac:dyDescent="0.25">
      <c r="A3675" s="303"/>
      <c r="B3675" s="305"/>
      <c r="C3675" s="305"/>
      <c r="D3675" s="348"/>
      <c r="E3675" s="308"/>
      <c r="F3675" s="308"/>
      <c r="G3675" s="308"/>
      <c r="H3675" s="308"/>
      <c r="I3675" s="308"/>
      <c r="J3675" s="352"/>
    </row>
    <row r="3676" spans="1:10" ht="14.4" thickBot="1" x14ac:dyDescent="0.3">
      <c r="A3676" s="303"/>
      <c r="B3676" s="303"/>
      <c r="C3676" s="303"/>
      <c r="D3676" s="318"/>
      <c r="E3676" s="319"/>
      <c r="F3676" s="319"/>
      <c r="G3676" s="319"/>
      <c r="H3676" s="319"/>
      <c r="I3676" s="319"/>
      <c r="J3676" s="353"/>
    </row>
    <row r="3677" spans="1:10" x14ac:dyDescent="0.25">
      <c r="A3677" s="303"/>
      <c r="B3677" s="304"/>
      <c r="C3677" s="305"/>
      <c r="D3677" s="306" t="s">
        <v>463</v>
      </c>
      <c r="E3677" s="307"/>
      <c r="F3677" s="307"/>
      <c r="G3677" s="308"/>
      <c r="H3677" s="308"/>
      <c r="I3677" s="308"/>
      <c r="J3677" s="309"/>
    </row>
    <row r="3678" spans="1:10" x14ac:dyDescent="0.25">
      <c r="A3678" s="303"/>
      <c r="B3678" s="310" t="s">
        <v>464</v>
      </c>
      <c r="C3678" s="311" t="s">
        <v>134</v>
      </c>
      <c r="D3678" s="312"/>
      <c r="E3678" s="313"/>
      <c r="F3678" s="313"/>
      <c r="G3678" s="313"/>
      <c r="H3678" s="314"/>
      <c r="I3678" s="313"/>
      <c r="J3678" s="315" t="s">
        <v>465</v>
      </c>
    </row>
    <row r="3679" spans="1:10" x14ac:dyDescent="0.25">
      <c r="A3679" s="303"/>
      <c r="B3679" s="316">
        <v>3716131</v>
      </c>
      <c r="C3679" s="317" t="s">
        <v>435</v>
      </c>
      <c r="D3679" s="318"/>
      <c r="E3679" s="319"/>
      <c r="F3679" s="319"/>
      <c r="G3679" s="319"/>
      <c r="H3679" s="320"/>
      <c r="I3679" s="319"/>
      <c r="J3679" s="321" t="s">
        <v>433</v>
      </c>
    </row>
    <row r="3680" spans="1:10" x14ac:dyDescent="0.25">
      <c r="A3680" s="303"/>
      <c r="B3680" s="310"/>
      <c r="C3680" s="311"/>
      <c r="D3680" s="312"/>
      <c r="E3680" s="314"/>
      <c r="F3680" s="314" t="s">
        <v>466</v>
      </c>
      <c r="G3680" s="314"/>
      <c r="H3680" s="314" t="s">
        <v>467</v>
      </c>
      <c r="I3680" s="314"/>
      <c r="J3680" s="322" t="s">
        <v>468</v>
      </c>
    </row>
    <row r="3681" spans="1:10" x14ac:dyDescent="0.25">
      <c r="A3681" s="303"/>
      <c r="B3681" s="316" t="s">
        <v>464</v>
      </c>
      <c r="C3681" s="317" t="s">
        <v>469</v>
      </c>
      <c r="D3681" s="318"/>
      <c r="E3681" s="323" t="s">
        <v>355</v>
      </c>
      <c r="F3681" s="324" t="s">
        <v>470</v>
      </c>
      <c r="G3681" s="324" t="s">
        <v>471</v>
      </c>
      <c r="H3681" s="324" t="s">
        <v>472</v>
      </c>
      <c r="I3681" s="325" t="s">
        <v>473</v>
      </c>
      <c r="J3681" s="326" t="s">
        <v>474</v>
      </c>
    </row>
    <row r="3682" spans="1:10" x14ac:dyDescent="0.25">
      <c r="A3682" s="303"/>
      <c r="B3682" s="327" t="s">
        <v>744</v>
      </c>
      <c r="C3682" s="311" t="s">
        <v>745</v>
      </c>
      <c r="D3682" s="312"/>
      <c r="E3682" s="328">
        <v>2</v>
      </c>
      <c r="F3682" s="328">
        <v>1</v>
      </c>
      <c r="G3682" s="328">
        <v>0</v>
      </c>
      <c r="H3682" s="329">
        <v>0.55820000000000003</v>
      </c>
      <c r="I3682" s="329">
        <v>0.37959999999999999</v>
      </c>
      <c r="J3682" s="315">
        <v>1.1164000000000001</v>
      </c>
    </row>
    <row r="3683" spans="1:10" x14ac:dyDescent="0.25">
      <c r="A3683" s="303"/>
      <c r="B3683" s="330" t="s">
        <v>673</v>
      </c>
      <c r="C3683" s="317" t="s">
        <v>674</v>
      </c>
      <c r="D3683" s="318"/>
      <c r="E3683" s="331">
        <v>1</v>
      </c>
      <c r="F3683" s="331">
        <v>1</v>
      </c>
      <c r="G3683" s="331">
        <v>0</v>
      </c>
      <c r="H3683" s="332">
        <v>13.1327</v>
      </c>
      <c r="I3683" s="332">
        <v>2.9087000000000001</v>
      </c>
      <c r="J3683" s="321">
        <v>13.1327</v>
      </c>
    </row>
    <row r="3684" spans="1:10" x14ac:dyDescent="0.25">
      <c r="A3684" s="303"/>
      <c r="B3684" s="330" t="s">
        <v>790</v>
      </c>
      <c r="C3684" s="317" t="s">
        <v>791</v>
      </c>
      <c r="D3684" s="318"/>
      <c r="E3684" s="331">
        <v>1</v>
      </c>
      <c r="F3684" s="331">
        <v>1</v>
      </c>
      <c r="G3684" s="331">
        <v>0</v>
      </c>
      <c r="H3684" s="332">
        <v>3.2501000000000002</v>
      </c>
      <c r="I3684" s="332">
        <v>2.0023</v>
      </c>
      <c r="J3684" s="321">
        <v>3.2501000000000002</v>
      </c>
    </row>
    <row r="3685" spans="1:10" x14ac:dyDescent="0.25">
      <c r="A3685" s="303"/>
      <c r="B3685" s="330" t="s">
        <v>792</v>
      </c>
      <c r="C3685" s="317" t="s">
        <v>793</v>
      </c>
      <c r="D3685" s="318"/>
      <c r="E3685" s="331">
        <v>1</v>
      </c>
      <c r="F3685" s="331">
        <v>1</v>
      </c>
      <c r="G3685" s="331">
        <v>0</v>
      </c>
      <c r="H3685" s="332">
        <v>0.28589999999999999</v>
      </c>
      <c r="I3685" s="332">
        <v>0.19650000000000001</v>
      </c>
      <c r="J3685" s="321">
        <v>0.28589999999999999</v>
      </c>
    </row>
    <row r="3686" spans="1:10" x14ac:dyDescent="0.25">
      <c r="A3686" s="303"/>
      <c r="B3686" s="333" t="s">
        <v>346</v>
      </c>
      <c r="C3686" s="317"/>
      <c r="D3686" s="318"/>
      <c r="E3686" s="331"/>
      <c r="F3686" s="331"/>
      <c r="G3686" s="331"/>
      <c r="H3686" s="332"/>
      <c r="I3686" s="332"/>
      <c r="J3686" s="321"/>
    </row>
    <row r="3687" spans="1:10" x14ac:dyDescent="0.25">
      <c r="A3687" s="303"/>
      <c r="B3687" s="333" t="s">
        <v>346</v>
      </c>
      <c r="C3687" s="317"/>
      <c r="D3687" s="318"/>
      <c r="E3687" s="331"/>
      <c r="F3687" s="331"/>
      <c r="G3687" s="331"/>
      <c r="H3687" s="332"/>
      <c r="I3687" s="332"/>
      <c r="J3687" s="321"/>
    </row>
    <row r="3688" spans="1:10" x14ac:dyDescent="0.25">
      <c r="A3688" s="303"/>
      <c r="B3688" s="333" t="s">
        <v>346</v>
      </c>
      <c r="C3688" s="317"/>
      <c r="D3688" s="318"/>
      <c r="E3688" s="331"/>
      <c r="F3688" s="331"/>
      <c r="G3688" s="331"/>
      <c r="H3688" s="332"/>
      <c r="I3688" s="332"/>
      <c r="J3688" s="321"/>
    </row>
    <row r="3689" spans="1:10" x14ac:dyDescent="0.25">
      <c r="A3689" s="303"/>
      <c r="B3689" s="310"/>
      <c r="C3689" s="334"/>
      <c r="D3689" s="312"/>
      <c r="E3689" s="313"/>
      <c r="F3689" s="313"/>
      <c r="G3689" s="313"/>
      <c r="H3689" s="313"/>
      <c r="I3689" s="335" t="s">
        <v>479</v>
      </c>
      <c r="J3689" s="315">
        <v>17.785100000000003</v>
      </c>
    </row>
    <row r="3690" spans="1:10" x14ac:dyDescent="0.25">
      <c r="A3690" s="303"/>
      <c r="B3690" s="310" t="s">
        <v>464</v>
      </c>
      <c r="C3690" s="311" t="s">
        <v>480</v>
      </c>
      <c r="D3690" s="312"/>
      <c r="E3690" s="313"/>
      <c r="F3690" s="313"/>
      <c r="G3690" s="313"/>
      <c r="H3690" s="324" t="s">
        <v>355</v>
      </c>
      <c r="I3690" s="336" t="s">
        <v>481</v>
      </c>
      <c r="J3690" s="322" t="s">
        <v>331</v>
      </c>
    </row>
    <row r="3691" spans="1:10" x14ac:dyDescent="0.25">
      <c r="A3691" s="303"/>
      <c r="B3691" s="337" t="s">
        <v>482</v>
      </c>
      <c r="C3691" s="311" t="s">
        <v>483</v>
      </c>
      <c r="D3691" s="312"/>
      <c r="E3691" s="313"/>
      <c r="F3691" s="313"/>
      <c r="G3691" s="313"/>
      <c r="H3691" s="314">
        <v>4</v>
      </c>
      <c r="I3691" s="329">
        <v>17.768000000000001</v>
      </c>
      <c r="J3691" s="315">
        <v>71.072000000000003</v>
      </c>
    </row>
    <row r="3692" spans="1:10" x14ac:dyDescent="0.25">
      <c r="A3692" s="303"/>
      <c r="B3692" s="333" t="s">
        <v>346</v>
      </c>
      <c r="C3692" s="317"/>
      <c r="D3692" s="318"/>
      <c r="E3692" s="319"/>
      <c r="F3692" s="319"/>
      <c r="G3692" s="319"/>
      <c r="H3692" s="320"/>
      <c r="I3692" s="332"/>
      <c r="J3692" s="321"/>
    </row>
    <row r="3693" spans="1:10" x14ac:dyDescent="0.25">
      <c r="A3693" s="303"/>
      <c r="B3693" s="333" t="s">
        <v>346</v>
      </c>
      <c r="C3693" s="317"/>
      <c r="D3693" s="318"/>
      <c r="E3693" s="319"/>
      <c r="F3693" s="319"/>
      <c r="G3693" s="319"/>
      <c r="H3693" s="320"/>
      <c r="I3693" s="332"/>
      <c r="J3693" s="321"/>
    </row>
    <row r="3694" spans="1:10" x14ac:dyDescent="0.25">
      <c r="A3694" s="303"/>
      <c r="B3694" s="333" t="s">
        <v>346</v>
      </c>
      <c r="C3694" s="317"/>
      <c r="D3694" s="318"/>
      <c r="E3694" s="319"/>
      <c r="F3694" s="319"/>
      <c r="G3694" s="319"/>
      <c r="H3694" s="320"/>
      <c r="I3694" s="332"/>
      <c r="J3694" s="321"/>
    </row>
    <row r="3695" spans="1:10" x14ac:dyDescent="0.25">
      <c r="A3695" s="303"/>
      <c r="B3695" s="333" t="s">
        <v>346</v>
      </c>
      <c r="C3695" s="317"/>
      <c r="D3695" s="318"/>
      <c r="E3695" s="319"/>
      <c r="F3695" s="319"/>
      <c r="G3695" s="319"/>
      <c r="H3695" s="320"/>
      <c r="I3695" s="332"/>
      <c r="J3695" s="321"/>
    </row>
    <row r="3696" spans="1:10" x14ac:dyDescent="0.25">
      <c r="A3696" s="303"/>
      <c r="B3696" s="333" t="s">
        <v>346</v>
      </c>
      <c r="C3696" s="317"/>
      <c r="D3696" s="318"/>
      <c r="E3696" s="319"/>
      <c r="F3696" s="319"/>
      <c r="G3696" s="319"/>
      <c r="H3696" s="320"/>
      <c r="I3696" s="332"/>
      <c r="J3696" s="321"/>
    </row>
    <row r="3697" spans="1:10" x14ac:dyDescent="0.25">
      <c r="A3697" s="303"/>
      <c r="B3697" s="333" t="s">
        <v>346</v>
      </c>
      <c r="C3697" s="317"/>
      <c r="D3697" s="318"/>
      <c r="E3697" s="319"/>
      <c r="F3697" s="319"/>
      <c r="G3697" s="319"/>
      <c r="H3697" s="320"/>
      <c r="I3697" s="332"/>
      <c r="J3697" s="321"/>
    </row>
    <row r="3698" spans="1:10" x14ac:dyDescent="0.25">
      <c r="A3698" s="303"/>
      <c r="B3698" s="310"/>
      <c r="C3698" s="334"/>
      <c r="D3698" s="312"/>
      <c r="E3698" s="313"/>
      <c r="F3698" s="313"/>
      <c r="G3698" s="313"/>
      <c r="H3698" s="313"/>
      <c r="I3698" s="338" t="s">
        <v>484</v>
      </c>
      <c r="J3698" s="315">
        <v>71.072000000000003</v>
      </c>
    </row>
    <row r="3699" spans="1:10" x14ac:dyDescent="0.25">
      <c r="A3699" s="303"/>
      <c r="B3699" s="339"/>
      <c r="C3699" s="334"/>
      <c r="D3699" s="312"/>
      <c r="E3699" s="313"/>
      <c r="F3699" s="313"/>
      <c r="G3699" s="313"/>
      <c r="H3699" s="313"/>
      <c r="I3699" s="338" t="s">
        <v>485</v>
      </c>
      <c r="J3699" s="340">
        <v>88.857100000000003</v>
      </c>
    </row>
    <row r="3700" spans="1:10" x14ac:dyDescent="0.25">
      <c r="A3700" s="303"/>
      <c r="B3700" s="339"/>
      <c r="C3700" s="341" t="s">
        <v>486</v>
      </c>
      <c r="D3700" s="312">
        <v>87</v>
      </c>
      <c r="E3700" s="313"/>
      <c r="F3700" s="313"/>
      <c r="G3700" s="313"/>
      <c r="H3700" s="313"/>
      <c r="I3700" s="338" t="s">
        <v>487</v>
      </c>
      <c r="J3700" s="340">
        <v>1.0213000000000001</v>
      </c>
    </row>
    <row r="3701" spans="1:10" x14ac:dyDescent="0.25">
      <c r="A3701" s="303"/>
      <c r="B3701" s="310"/>
      <c r="C3701" s="334"/>
      <c r="D3701" s="312"/>
      <c r="E3701" s="313"/>
      <c r="F3701" s="313"/>
      <c r="G3701" s="313"/>
      <c r="H3701" s="338" t="s">
        <v>488</v>
      </c>
      <c r="I3701" s="342">
        <v>0</v>
      </c>
      <c r="J3701" s="315">
        <v>0</v>
      </c>
    </row>
    <row r="3702" spans="1:10" x14ac:dyDescent="0.25">
      <c r="A3702" s="303"/>
      <c r="B3702" s="310"/>
      <c r="C3702" s="334"/>
      <c r="D3702" s="312"/>
      <c r="E3702" s="313"/>
      <c r="F3702" s="313"/>
      <c r="G3702" s="313"/>
      <c r="H3702" s="335" t="s">
        <v>489</v>
      </c>
      <c r="I3702" s="343">
        <v>0</v>
      </c>
      <c r="J3702" s="315">
        <v>0</v>
      </c>
    </row>
    <row r="3703" spans="1:10" x14ac:dyDescent="0.25">
      <c r="A3703" s="303"/>
      <c r="B3703" s="310" t="s">
        <v>464</v>
      </c>
      <c r="C3703" s="311" t="s">
        <v>490</v>
      </c>
      <c r="D3703" s="312"/>
      <c r="E3703" s="313"/>
      <c r="F3703" s="313"/>
      <c r="G3703" s="314" t="s">
        <v>465</v>
      </c>
      <c r="H3703" s="336" t="s">
        <v>468</v>
      </c>
      <c r="I3703" s="336" t="s">
        <v>491</v>
      </c>
      <c r="J3703" s="322" t="s">
        <v>492</v>
      </c>
    </row>
    <row r="3704" spans="1:10" x14ac:dyDescent="0.25">
      <c r="A3704" s="303"/>
      <c r="B3704" s="337" t="s">
        <v>346</v>
      </c>
      <c r="C3704" s="311"/>
      <c r="D3704" s="312"/>
      <c r="E3704" s="313"/>
      <c r="F3704" s="313"/>
      <c r="G3704" s="314"/>
      <c r="H3704" s="329"/>
      <c r="I3704" s="329"/>
      <c r="J3704" s="315"/>
    </row>
    <row r="3705" spans="1:10" x14ac:dyDescent="0.25">
      <c r="A3705" s="303"/>
      <c r="B3705" s="333" t="s">
        <v>346</v>
      </c>
      <c r="C3705" s="317"/>
      <c r="D3705" s="318"/>
      <c r="E3705" s="319"/>
      <c r="F3705" s="319"/>
      <c r="G3705" s="320"/>
      <c r="H3705" s="332"/>
      <c r="I3705" s="332"/>
      <c r="J3705" s="321"/>
    </row>
    <row r="3706" spans="1:10" x14ac:dyDescent="0.25">
      <c r="A3706" s="303"/>
      <c r="B3706" s="333" t="s">
        <v>346</v>
      </c>
      <c r="C3706" s="317"/>
      <c r="D3706" s="318"/>
      <c r="E3706" s="319"/>
      <c r="F3706" s="319"/>
      <c r="G3706" s="320"/>
      <c r="H3706" s="332"/>
      <c r="I3706" s="332"/>
      <c r="J3706" s="321"/>
    </row>
    <row r="3707" spans="1:10" x14ac:dyDescent="0.25">
      <c r="A3707" s="303"/>
      <c r="B3707" s="333" t="s">
        <v>346</v>
      </c>
      <c r="C3707" s="317"/>
      <c r="D3707" s="318"/>
      <c r="E3707" s="319"/>
      <c r="F3707" s="319"/>
      <c r="G3707" s="320"/>
      <c r="H3707" s="332"/>
      <c r="I3707" s="332"/>
      <c r="J3707" s="321"/>
    </row>
    <row r="3708" spans="1:10" x14ac:dyDescent="0.25">
      <c r="A3708" s="303"/>
      <c r="B3708" s="333" t="s">
        <v>346</v>
      </c>
      <c r="C3708" s="317"/>
      <c r="D3708" s="318"/>
      <c r="E3708" s="319"/>
      <c r="F3708" s="319"/>
      <c r="G3708" s="320"/>
      <c r="H3708" s="332"/>
      <c r="I3708" s="332"/>
      <c r="J3708" s="321"/>
    </row>
    <row r="3709" spans="1:10" x14ac:dyDescent="0.25">
      <c r="A3709" s="303"/>
      <c r="B3709" s="333" t="s">
        <v>346</v>
      </c>
      <c r="C3709" s="317"/>
      <c r="D3709" s="318"/>
      <c r="E3709" s="319"/>
      <c r="F3709" s="319"/>
      <c r="G3709" s="320"/>
      <c r="H3709" s="332"/>
      <c r="I3709" s="332"/>
      <c r="J3709" s="321"/>
    </row>
    <row r="3710" spans="1:10" x14ac:dyDescent="0.25">
      <c r="A3710" s="303"/>
      <c r="B3710" s="333" t="s">
        <v>346</v>
      </c>
      <c r="C3710" s="317"/>
      <c r="D3710" s="318"/>
      <c r="E3710" s="319"/>
      <c r="F3710" s="319"/>
      <c r="G3710" s="320"/>
      <c r="H3710" s="332"/>
      <c r="I3710" s="332"/>
      <c r="J3710" s="321"/>
    </row>
    <row r="3711" spans="1:10" x14ac:dyDescent="0.25">
      <c r="A3711" s="303"/>
      <c r="B3711" s="310"/>
      <c r="C3711" s="334"/>
      <c r="D3711" s="312"/>
      <c r="E3711" s="313"/>
      <c r="F3711" s="313"/>
      <c r="G3711" s="313"/>
      <c r="H3711" s="343"/>
      <c r="I3711" s="335" t="s">
        <v>498</v>
      </c>
      <c r="J3711" s="315">
        <v>0</v>
      </c>
    </row>
    <row r="3712" spans="1:10" x14ac:dyDescent="0.25">
      <c r="A3712" s="303"/>
      <c r="B3712" s="310" t="s">
        <v>464</v>
      </c>
      <c r="C3712" s="311" t="s">
        <v>499</v>
      </c>
      <c r="D3712" s="312"/>
      <c r="E3712" s="313"/>
      <c r="F3712" s="313"/>
      <c r="G3712" s="314" t="s">
        <v>465</v>
      </c>
      <c r="H3712" s="336" t="s">
        <v>468</v>
      </c>
      <c r="I3712" s="336" t="s">
        <v>491</v>
      </c>
      <c r="J3712" s="322" t="s">
        <v>492</v>
      </c>
    </row>
    <row r="3713" spans="1:10" x14ac:dyDescent="0.25">
      <c r="A3713" s="303"/>
      <c r="B3713" s="337">
        <v>407820</v>
      </c>
      <c r="C3713" s="311" t="s">
        <v>794</v>
      </c>
      <c r="D3713" s="312"/>
      <c r="E3713" s="313"/>
      <c r="F3713" s="313"/>
      <c r="G3713" s="314" t="s">
        <v>560</v>
      </c>
      <c r="H3713" s="329">
        <v>15</v>
      </c>
      <c r="I3713" s="329">
        <v>1.43771</v>
      </c>
      <c r="J3713" s="315">
        <v>21.5657</v>
      </c>
    </row>
    <row r="3714" spans="1:10" x14ac:dyDescent="0.25">
      <c r="A3714" s="303"/>
      <c r="B3714" s="333">
        <v>1116127</v>
      </c>
      <c r="C3714" s="317" t="s">
        <v>722</v>
      </c>
      <c r="D3714" s="318"/>
      <c r="E3714" s="319"/>
      <c r="F3714" s="319"/>
      <c r="G3714" s="320" t="s">
        <v>365</v>
      </c>
      <c r="H3714" s="332">
        <v>485.12</v>
      </c>
      <c r="I3714" s="332">
        <v>2.5409999999999999E-2</v>
      </c>
      <c r="J3714" s="321">
        <v>12.3269</v>
      </c>
    </row>
    <row r="3715" spans="1:10" x14ac:dyDescent="0.25">
      <c r="A3715" s="303"/>
      <c r="B3715" s="333"/>
      <c r="C3715" s="317"/>
      <c r="D3715" s="318"/>
      <c r="E3715" s="319"/>
      <c r="F3715" s="319"/>
      <c r="G3715" s="320"/>
      <c r="H3715" s="332"/>
      <c r="I3715" s="332"/>
      <c r="J3715" s="321"/>
    </row>
    <row r="3716" spans="1:10" x14ac:dyDescent="0.25">
      <c r="A3716" s="303"/>
      <c r="B3716" s="333"/>
      <c r="C3716" s="317"/>
      <c r="D3716" s="318"/>
      <c r="E3716" s="319"/>
      <c r="F3716" s="319"/>
      <c r="G3716" s="320"/>
      <c r="H3716" s="332"/>
      <c r="I3716" s="332"/>
      <c r="J3716" s="321"/>
    </row>
    <row r="3717" spans="1:10" x14ac:dyDescent="0.25">
      <c r="A3717" s="303"/>
      <c r="B3717" s="333"/>
      <c r="C3717" s="317"/>
      <c r="D3717" s="318"/>
      <c r="E3717" s="319"/>
      <c r="F3717" s="319"/>
      <c r="G3717" s="320"/>
      <c r="H3717" s="332"/>
      <c r="I3717" s="332"/>
      <c r="J3717" s="321"/>
    </row>
    <row r="3718" spans="1:10" x14ac:dyDescent="0.25">
      <c r="A3718" s="303"/>
      <c r="B3718" s="310"/>
      <c r="C3718" s="334"/>
      <c r="D3718" s="312"/>
      <c r="E3718" s="313"/>
      <c r="F3718" s="313"/>
      <c r="G3718" s="313"/>
      <c r="H3718" s="343"/>
      <c r="I3718" s="335" t="s">
        <v>501</v>
      </c>
      <c r="J3718" s="315">
        <v>33.892600000000002</v>
      </c>
    </row>
    <row r="3719" spans="1:10" x14ac:dyDescent="0.25">
      <c r="A3719" s="303"/>
      <c r="B3719" s="310" t="s">
        <v>464</v>
      </c>
      <c r="C3719" s="311" t="s">
        <v>502</v>
      </c>
      <c r="D3719" s="312"/>
      <c r="E3719" s="313"/>
      <c r="F3719" s="314" t="s">
        <v>464</v>
      </c>
      <c r="G3719" s="324" t="s">
        <v>503</v>
      </c>
      <c r="H3719" s="329" t="s">
        <v>465</v>
      </c>
      <c r="I3719" s="336" t="s">
        <v>468</v>
      </c>
      <c r="J3719" s="322" t="s">
        <v>492</v>
      </c>
    </row>
    <row r="3720" spans="1:10" x14ac:dyDescent="0.25">
      <c r="A3720" s="303"/>
      <c r="B3720" s="337" t="s">
        <v>346</v>
      </c>
      <c r="C3720" s="311"/>
      <c r="D3720" s="312"/>
      <c r="E3720" s="313"/>
      <c r="F3720" s="314"/>
      <c r="G3720" s="314"/>
      <c r="H3720" s="329"/>
      <c r="I3720" s="329"/>
      <c r="J3720" s="315"/>
    </row>
    <row r="3721" spans="1:10" x14ac:dyDescent="0.25">
      <c r="A3721" s="303"/>
      <c r="B3721" s="333" t="s">
        <v>346</v>
      </c>
      <c r="C3721" s="317"/>
      <c r="D3721" s="318"/>
      <c r="E3721" s="319"/>
      <c r="F3721" s="320"/>
      <c r="G3721" s="320"/>
      <c r="H3721" s="332"/>
      <c r="I3721" s="332"/>
      <c r="J3721" s="321"/>
    </row>
    <row r="3722" spans="1:10" x14ac:dyDescent="0.25">
      <c r="A3722" s="303"/>
      <c r="B3722" s="333" t="s">
        <v>346</v>
      </c>
      <c r="C3722" s="317"/>
      <c r="D3722" s="318"/>
      <c r="E3722" s="319"/>
      <c r="F3722" s="320"/>
      <c r="G3722" s="320"/>
      <c r="H3722" s="332"/>
      <c r="I3722" s="332"/>
      <c r="J3722" s="321"/>
    </row>
    <row r="3723" spans="1:10" x14ac:dyDescent="0.25">
      <c r="A3723" s="303"/>
      <c r="B3723" s="333" t="s">
        <v>346</v>
      </c>
      <c r="C3723" s="317"/>
      <c r="D3723" s="318"/>
      <c r="E3723" s="319"/>
      <c r="F3723" s="320"/>
      <c r="G3723" s="320"/>
      <c r="H3723" s="332"/>
      <c r="I3723" s="332"/>
      <c r="J3723" s="321"/>
    </row>
    <row r="3724" spans="1:10" x14ac:dyDescent="0.25">
      <c r="A3724" s="303"/>
      <c r="B3724" s="333" t="s">
        <v>346</v>
      </c>
      <c r="C3724" s="317"/>
      <c r="D3724" s="318"/>
      <c r="E3724" s="319"/>
      <c r="F3724" s="320"/>
      <c r="G3724" s="320"/>
      <c r="H3724" s="332"/>
      <c r="I3724" s="332"/>
      <c r="J3724" s="321"/>
    </row>
    <row r="3725" spans="1:10" x14ac:dyDescent="0.25">
      <c r="A3725" s="303"/>
      <c r="B3725" s="310"/>
      <c r="C3725" s="334"/>
      <c r="D3725" s="312"/>
      <c r="E3725" s="313"/>
      <c r="F3725" s="313"/>
      <c r="G3725" s="313"/>
      <c r="H3725" s="343"/>
      <c r="I3725" s="338" t="s">
        <v>507</v>
      </c>
      <c r="J3725" s="315">
        <v>0</v>
      </c>
    </row>
    <row r="3726" spans="1:10" x14ac:dyDescent="0.25">
      <c r="A3726" s="303"/>
      <c r="B3726" s="310" t="s">
        <v>464</v>
      </c>
      <c r="C3726" s="311" t="s">
        <v>508</v>
      </c>
      <c r="D3726" s="345" t="s">
        <v>509</v>
      </c>
      <c r="E3726" s="324" t="s">
        <v>873</v>
      </c>
      <c r="F3726" s="324" t="s">
        <v>874</v>
      </c>
      <c r="G3726" s="324" t="s">
        <v>875</v>
      </c>
      <c r="H3726" s="336" t="s">
        <v>468</v>
      </c>
      <c r="I3726" s="324" t="s">
        <v>491</v>
      </c>
      <c r="J3726" s="322" t="s">
        <v>492</v>
      </c>
    </row>
    <row r="3727" spans="1:10" x14ac:dyDescent="0.25">
      <c r="A3727" s="303"/>
      <c r="B3727" s="337" t="s">
        <v>346</v>
      </c>
      <c r="C3727" s="311"/>
      <c r="D3727" s="345"/>
      <c r="E3727" s="314"/>
      <c r="F3727" s="314"/>
      <c r="G3727" s="314"/>
      <c r="H3727" s="329"/>
      <c r="I3727" s="314"/>
      <c r="J3727" s="315"/>
    </row>
    <row r="3728" spans="1:10" x14ac:dyDescent="0.25">
      <c r="A3728" s="303"/>
      <c r="B3728" s="333" t="s">
        <v>346</v>
      </c>
      <c r="C3728" s="317"/>
      <c r="D3728" s="346"/>
      <c r="E3728" s="320"/>
      <c r="F3728" s="320"/>
      <c r="G3728" s="320"/>
      <c r="H3728" s="332"/>
      <c r="I3728" s="320"/>
      <c r="J3728" s="321"/>
    </row>
    <row r="3729" spans="1:10" x14ac:dyDescent="0.25">
      <c r="A3729" s="303"/>
      <c r="B3729" s="333" t="s">
        <v>346</v>
      </c>
      <c r="C3729" s="317"/>
      <c r="D3729" s="346"/>
      <c r="E3729" s="320"/>
      <c r="F3729" s="320"/>
      <c r="G3729" s="320"/>
      <c r="H3729" s="332"/>
      <c r="I3729" s="320"/>
      <c r="J3729" s="321"/>
    </row>
    <row r="3730" spans="1:10" x14ac:dyDescent="0.25">
      <c r="A3730" s="303"/>
      <c r="B3730" s="333" t="s">
        <v>346</v>
      </c>
      <c r="C3730" s="317"/>
      <c r="D3730" s="346"/>
      <c r="E3730" s="320"/>
      <c r="F3730" s="320"/>
      <c r="G3730" s="320"/>
      <c r="H3730" s="332"/>
      <c r="I3730" s="320"/>
      <c r="J3730" s="321"/>
    </row>
    <row r="3731" spans="1:10" x14ac:dyDescent="0.25">
      <c r="A3731" s="303"/>
      <c r="B3731" s="333" t="s">
        <v>346</v>
      </c>
      <c r="C3731" s="317"/>
      <c r="D3731" s="346"/>
      <c r="E3731" s="320"/>
      <c r="F3731" s="320"/>
      <c r="G3731" s="320"/>
      <c r="H3731" s="332"/>
      <c r="I3731" s="320"/>
      <c r="J3731" s="321"/>
    </row>
    <row r="3732" spans="1:10" x14ac:dyDescent="0.25">
      <c r="A3732" s="303"/>
      <c r="B3732" s="333" t="s">
        <v>346</v>
      </c>
      <c r="C3732" s="317"/>
      <c r="D3732" s="346"/>
      <c r="E3732" s="320"/>
      <c r="F3732" s="320"/>
      <c r="G3732" s="320"/>
      <c r="H3732" s="332"/>
      <c r="I3732" s="320"/>
      <c r="J3732" s="321"/>
    </row>
    <row r="3733" spans="1:10" x14ac:dyDescent="0.25">
      <c r="A3733" s="303"/>
      <c r="B3733" s="333" t="s">
        <v>346</v>
      </c>
      <c r="C3733" s="317"/>
      <c r="D3733" s="346"/>
      <c r="E3733" s="320"/>
      <c r="F3733" s="320"/>
      <c r="G3733" s="320"/>
      <c r="H3733" s="332"/>
      <c r="I3733" s="320"/>
      <c r="J3733" s="321"/>
    </row>
    <row r="3734" spans="1:10" x14ac:dyDescent="0.25">
      <c r="A3734" s="303"/>
      <c r="B3734" s="310"/>
      <c r="C3734" s="334"/>
      <c r="D3734" s="312"/>
      <c r="E3734" s="313"/>
      <c r="F3734" s="313"/>
      <c r="G3734" s="313"/>
      <c r="H3734" s="313"/>
      <c r="I3734" s="338" t="s">
        <v>513</v>
      </c>
      <c r="J3734" s="315">
        <v>0</v>
      </c>
    </row>
    <row r="3735" spans="1:10" x14ac:dyDescent="0.25">
      <c r="A3735" s="303"/>
      <c r="B3735" s="310" t="s">
        <v>514</v>
      </c>
      <c r="C3735" s="334"/>
      <c r="D3735" s="312"/>
      <c r="E3735" s="313"/>
      <c r="F3735" s="313"/>
      <c r="G3735" s="313"/>
      <c r="H3735" s="313"/>
      <c r="I3735" s="313"/>
      <c r="J3735" s="315">
        <v>34.913899999999998</v>
      </c>
    </row>
    <row r="3736" spans="1:10" x14ac:dyDescent="0.25">
      <c r="A3736" s="303"/>
      <c r="B3736" s="310" t="s">
        <v>515</v>
      </c>
      <c r="C3736" s="334"/>
      <c r="D3736" s="312">
        <v>0</v>
      </c>
      <c r="E3736" s="313"/>
      <c r="F3736" s="313"/>
      <c r="G3736" s="313"/>
      <c r="H3736" s="313"/>
      <c r="I3736" s="313"/>
      <c r="J3736" s="315">
        <v>0</v>
      </c>
    </row>
    <row r="3737" spans="1:10" ht="14.4" thickBot="1" x14ac:dyDescent="0.3">
      <c r="A3737" s="303"/>
      <c r="B3737" s="310" t="s">
        <v>516</v>
      </c>
      <c r="C3737" s="334"/>
      <c r="D3737" s="312"/>
      <c r="E3737" s="313"/>
      <c r="F3737" s="313"/>
      <c r="G3737" s="313"/>
      <c r="H3737" s="313"/>
      <c r="I3737" s="313"/>
      <c r="J3737" s="347">
        <v>34.909999999999997</v>
      </c>
    </row>
    <row r="3738" spans="1:10" x14ac:dyDescent="0.25">
      <c r="A3738" s="303"/>
      <c r="B3738" s="304"/>
      <c r="C3738" s="305"/>
      <c r="D3738" s="348"/>
      <c r="E3738" s="308"/>
      <c r="F3738" s="308"/>
      <c r="G3738" s="308"/>
      <c r="H3738" s="308"/>
      <c r="I3738" s="308"/>
      <c r="J3738" s="309"/>
    </row>
    <row r="3739" spans="1:10" x14ac:dyDescent="0.25">
      <c r="A3739" s="303"/>
      <c r="B3739" s="316"/>
      <c r="C3739" s="303"/>
      <c r="D3739" s="318"/>
      <c r="E3739" s="319"/>
      <c r="F3739" s="319"/>
      <c r="G3739" s="319"/>
      <c r="H3739" s="319"/>
      <c r="I3739" s="319"/>
      <c r="J3739" s="349"/>
    </row>
    <row r="3740" spans="1:10" x14ac:dyDescent="0.25">
      <c r="A3740" s="303"/>
      <c r="B3740" s="316"/>
      <c r="C3740" s="303"/>
      <c r="D3740" s="318"/>
      <c r="E3740" s="319"/>
      <c r="F3740" s="319"/>
      <c r="G3740" s="319"/>
      <c r="H3740" s="319"/>
      <c r="I3740" s="319"/>
      <c r="J3740" s="349"/>
    </row>
    <row r="3741" spans="1:10" ht="14.4" thickBot="1" x14ac:dyDescent="0.3">
      <c r="A3741" s="303"/>
      <c r="B3741" s="350"/>
      <c r="C3741" s="303"/>
      <c r="D3741" s="318"/>
      <c r="E3741" s="319"/>
      <c r="F3741" s="319"/>
      <c r="G3741" s="319"/>
      <c r="H3741" s="319"/>
      <c r="I3741" s="319"/>
      <c r="J3741" s="351"/>
    </row>
    <row r="3742" spans="1:10" x14ac:dyDescent="0.25">
      <c r="A3742" s="303"/>
      <c r="B3742" s="305"/>
      <c r="C3742" s="305"/>
      <c r="D3742" s="348"/>
      <c r="E3742" s="308"/>
      <c r="F3742" s="308"/>
      <c r="G3742" s="308"/>
      <c r="H3742" s="308"/>
      <c r="I3742" s="308"/>
      <c r="J3742" s="352"/>
    </row>
    <row r="3743" spans="1:10" ht="14.4" thickBot="1" x14ac:dyDescent="0.3">
      <c r="A3743" s="303"/>
      <c r="B3743" s="303"/>
      <c r="C3743" s="303"/>
      <c r="D3743" s="318"/>
      <c r="E3743" s="319"/>
      <c r="F3743" s="319"/>
      <c r="G3743" s="319"/>
      <c r="H3743" s="319"/>
      <c r="I3743" s="319"/>
      <c r="J3743" s="353"/>
    </row>
    <row r="3744" spans="1:10" x14ac:dyDescent="0.25">
      <c r="A3744" s="303"/>
      <c r="B3744" s="304"/>
      <c r="C3744" s="305"/>
      <c r="D3744" s="306" t="s">
        <v>463</v>
      </c>
      <c r="E3744" s="307"/>
      <c r="F3744" s="307"/>
      <c r="G3744" s="308"/>
      <c r="H3744" s="308"/>
      <c r="I3744" s="308"/>
      <c r="J3744" s="309"/>
    </row>
    <row r="3745" spans="1:10" x14ac:dyDescent="0.25">
      <c r="A3745" s="303"/>
      <c r="B3745" s="310" t="s">
        <v>464</v>
      </c>
      <c r="C3745" s="311" t="s">
        <v>134</v>
      </c>
      <c r="D3745" s="312"/>
      <c r="E3745" s="313"/>
      <c r="F3745" s="313"/>
      <c r="G3745" s="313"/>
      <c r="H3745" s="314"/>
      <c r="I3745" s="313"/>
      <c r="J3745" s="315" t="s">
        <v>465</v>
      </c>
    </row>
    <row r="3746" spans="1:10" x14ac:dyDescent="0.25">
      <c r="A3746" s="303"/>
      <c r="B3746" s="316" t="s">
        <v>348</v>
      </c>
      <c r="C3746" s="317" t="s">
        <v>419</v>
      </c>
      <c r="D3746" s="318"/>
      <c r="E3746" s="319"/>
      <c r="F3746" s="319"/>
      <c r="G3746" s="319"/>
      <c r="H3746" s="320"/>
      <c r="I3746" s="319"/>
      <c r="J3746" s="321" t="s">
        <v>321</v>
      </c>
    </row>
    <row r="3747" spans="1:10" x14ac:dyDescent="0.25">
      <c r="A3747" s="303"/>
      <c r="B3747" s="310"/>
      <c r="C3747" s="311"/>
      <c r="D3747" s="312"/>
      <c r="E3747" s="314"/>
      <c r="F3747" s="314" t="s">
        <v>466</v>
      </c>
      <c r="G3747" s="314"/>
      <c r="H3747" s="314" t="s">
        <v>467</v>
      </c>
      <c r="I3747" s="314"/>
      <c r="J3747" s="322" t="s">
        <v>468</v>
      </c>
    </row>
    <row r="3748" spans="1:10" x14ac:dyDescent="0.25">
      <c r="A3748" s="303"/>
      <c r="B3748" s="316" t="s">
        <v>464</v>
      </c>
      <c r="C3748" s="317" t="s">
        <v>469</v>
      </c>
      <c r="D3748" s="318"/>
      <c r="E3748" s="323" t="s">
        <v>355</v>
      </c>
      <c r="F3748" s="324" t="s">
        <v>470</v>
      </c>
      <c r="G3748" s="324" t="s">
        <v>471</v>
      </c>
      <c r="H3748" s="324" t="s">
        <v>472</v>
      </c>
      <c r="I3748" s="325" t="s">
        <v>473</v>
      </c>
      <c r="J3748" s="326" t="s">
        <v>474</v>
      </c>
    </row>
    <row r="3749" spans="1:10" x14ac:dyDescent="0.25">
      <c r="A3749" s="303"/>
      <c r="B3749" s="327" t="s">
        <v>802</v>
      </c>
      <c r="C3749" s="311" t="s">
        <v>803</v>
      </c>
      <c r="D3749" s="312"/>
      <c r="E3749" s="328">
        <v>1</v>
      </c>
      <c r="F3749" s="328">
        <v>0.3</v>
      </c>
      <c r="G3749" s="328">
        <v>0.7</v>
      </c>
      <c r="H3749" s="329">
        <v>0.1855</v>
      </c>
      <c r="I3749" s="329">
        <v>0.1221</v>
      </c>
      <c r="J3749" s="315">
        <v>0.1411</v>
      </c>
    </row>
    <row r="3750" spans="1:10" x14ac:dyDescent="0.25">
      <c r="A3750" s="303"/>
      <c r="B3750" s="330" t="s">
        <v>676</v>
      </c>
      <c r="C3750" s="317" t="s">
        <v>922</v>
      </c>
      <c r="D3750" s="318"/>
      <c r="E3750" s="331">
        <v>1</v>
      </c>
      <c r="F3750" s="331">
        <v>0.3</v>
      </c>
      <c r="G3750" s="331">
        <v>0.7</v>
      </c>
      <c r="H3750" s="332">
        <v>0.18540000000000001</v>
      </c>
      <c r="I3750" s="332">
        <v>0.122</v>
      </c>
      <c r="J3750" s="321">
        <v>0.14099999999999999</v>
      </c>
    </row>
    <row r="3751" spans="1:10" x14ac:dyDescent="0.25">
      <c r="A3751" s="303"/>
      <c r="B3751" s="330" t="s">
        <v>651</v>
      </c>
      <c r="C3751" s="317" t="s">
        <v>652</v>
      </c>
      <c r="D3751" s="318"/>
      <c r="E3751" s="331">
        <v>1</v>
      </c>
      <c r="F3751" s="331">
        <v>0.2</v>
      </c>
      <c r="G3751" s="331">
        <v>0.8</v>
      </c>
      <c r="H3751" s="332">
        <v>114.22329999999999</v>
      </c>
      <c r="I3751" s="332">
        <v>46.994700000000002</v>
      </c>
      <c r="J3751" s="321">
        <v>60.440399999999997</v>
      </c>
    </row>
    <row r="3752" spans="1:10" x14ac:dyDescent="0.25">
      <c r="A3752" s="303"/>
      <c r="B3752" s="333" t="s">
        <v>346</v>
      </c>
      <c r="C3752" s="317"/>
      <c r="D3752" s="318"/>
      <c r="E3752" s="331"/>
      <c r="F3752" s="331"/>
      <c r="G3752" s="331"/>
      <c r="H3752" s="332"/>
      <c r="I3752" s="332"/>
      <c r="J3752" s="321"/>
    </row>
    <row r="3753" spans="1:10" x14ac:dyDescent="0.25">
      <c r="A3753" s="303"/>
      <c r="B3753" s="333" t="s">
        <v>346</v>
      </c>
      <c r="C3753" s="317"/>
      <c r="D3753" s="318"/>
      <c r="E3753" s="331"/>
      <c r="F3753" s="331"/>
      <c r="G3753" s="331"/>
      <c r="H3753" s="332"/>
      <c r="I3753" s="332"/>
      <c r="J3753" s="321"/>
    </row>
    <row r="3754" spans="1:10" x14ac:dyDescent="0.25">
      <c r="A3754" s="303"/>
      <c r="B3754" s="333" t="s">
        <v>346</v>
      </c>
      <c r="C3754" s="317"/>
      <c r="D3754" s="318"/>
      <c r="E3754" s="331"/>
      <c r="F3754" s="331"/>
      <c r="G3754" s="331"/>
      <c r="H3754" s="332"/>
      <c r="I3754" s="332"/>
      <c r="J3754" s="321"/>
    </row>
    <row r="3755" spans="1:10" x14ac:dyDescent="0.25">
      <c r="A3755" s="303"/>
      <c r="B3755" s="333" t="s">
        <v>346</v>
      </c>
      <c r="C3755" s="317"/>
      <c r="D3755" s="318"/>
      <c r="E3755" s="331"/>
      <c r="F3755" s="331"/>
      <c r="G3755" s="331"/>
      <c r="H3755" s="332"/>
      <c r="I3755" s="332"/>
      <c r="J3755" s="321"/>
    </row>
    <row r="3756" spans="1:10" x14ac:dyDescent="0.25">
      <c r="A3756" s="303"/>
      <c r="B3756" s="310"/>
      <c r="C3756" s="334"/>
      <c r="D3756" s="312"/>
      <c r="E3756" s="313"/>
      <c r="F3756" s="313"/>
      <c r="G3756" s="313"/>
      <c r="H3756" s="313"/>
      <c r="I3756" s="335" t="s">
        <v>479</v>
      </c>
      <c r="J3756" s="315">
        <v>60.722499999999997</v>
      </c>
    </row>
    <row r="3757" spans="1:10" x14ac:dyDescent="0.25">
      <c r="A3757" s="303"/>
      <c r="B3757" s="310" t="s">
        <v>464</v>
      </c>
      <c r="C3757" s="311" t="s">
        <v>480</v>
      </c>
      <c r="D3757" s="312"/>
      <c r="E3757" s="313"/>
      <c r="F3757" s="313"/>
      <c r="G3757" s="313"/>
      <c r="H3757" s="324" t="s">
        <v>355</v>
      </c>
      <c r="I3757" s="336" t="s">
        <v>481</v>
      </c>
      <c r="J3757" s="322" t="s">
        <v>331</v>
      </c>
    </row>
    <row r="3758" spans="1:10" x14ac:dyDescent="0.25">
      <c r="A3758" s="303"/>
      <c r="B3758" s="337" t="s">
        <v>679</v>
      </c>
      <c r="C3758" s="311" t="s">
        <v>680</v>
      </c>
      <c r="D3758" s="312"/>
      <c r="E3758" s="313"/>
      <c r="F3758" s="313"/>
      <c r="G3758" s="313"/>
      <c r="H3758" s="314">
        <v>5</v>
      </c>
      <c r="I3758" s="329">
        <v>18.301200000000001</v>
      </c>
      <c r="J3758" s="315">
        <v>91.506</v>
      </c>
    </row>
    <row r="3759" spans="1:10" x14ac:dyDescent="0.25">
      <c r="A3759" s="303"/>
      <c r="B3759" s="333" t="s">
        <v>804</v>
      </c>
      <c r="C3759" s="317" t="s">
        <v>805</v>
      </c>
      <c r="D3759" s="318"/>
      <c r="E3759" s="319"/>
      <c r="F3759" s="319"/>
      <c r="G3759" s="319"/>
      <c r="H3759" s="320">
        <v>1</v>
      </c>
      <c r="I3759" s="332">
        <v>22.274699999999999</v>
      </c>
      <c r="J3759" s="321">
        <v>22.274699999999999</v>
      </c>
    </row>
    <row r="3760" spans="1:10" x14ac:dyDescent="0.25">
      <c r="A3760" s="303"/>
      <c r="B3760" s="333" t="s">
        <v>620</v>
      </c>
      <c r="C3760" s="317" t="s">
        <v>621</v>
      </c>
      <c r="D3760" s="318"/>
      <c r="E3760" s="319"/>
      <c r="F3760" s="319"/>
      <c r="G3760" s="319"/>
      <c r="H3760" s="320">
        <v>1</v>
      </c>
      <c r="I3760" s="332">
        <v>21.433599999999998</v>
      </c>
      <c r="J3760" s="321">
        <v>21.433599999999998</v>
      </c>
    </row>
    <row r="3761" spans="1:10" x14ac:dyDescent="0.25">
      <c r="A3761" s="303"/>
      <c r="B3761" s="333" t="s">
        <v>694</v>
      </c>
      <c r="C3761" s="317" t="s">
        <v>695</v>
      </c>
      <c r="D3761" s="318"/>
      <c r="E3761" s="319"/>
      <c r="F3761" s="319"/>
      <c r="G3761" s="319"/>
      <c r="H3761" s="320">
        <v>2</v>
      </c>
      <c r="I3761" s="332">
        <v>24.096599999999999</v>
      </c>
      <c r="J3761" s="321">
        <v>48.193199999999997</v>
      </c>
    </row>
    <row r="3762" spans="1:10" x14ac:dyDescent="0.25">
      <c r="A3762" s="303"/>
      <c r="B3762" s="333" t="s">
        <v>346</v>
      </c>
      <c r="C3762" s="317"/>
      <c r="D3762" s="318"/>
      <c r="E3762" s="319"/>
      <c r="F3762" s="319"/>
      <c r="G3762" s="319"/>
      <c r="H3762" s="320"/>
      <c r="I3762" s="332"/>
      <c r="J3762" s="321"/>
    </row>
    <row r="3763" spans="1:10" x14ac:dyDescent="0.25">
      <c r="A3763" s="303"/>
      <c r="B3763" s="333" t="s">
        <v>346</v>
      </c>
      <c r="C3763" s="317"/>
      <c r="D3763" s="318"/>
      <c r="E3763" s="319"/>
      <c r="F3763" s="319"/>
      <c r="G3763" s="319"/>
      <c r="H3763" s="320"/>
      <c r="I3763" s="332"/>
      <c r="J3763" s="321"/>
    </row>
    <row r="3764" spans="1:10" x14ac:dyDescent="0.25">
      <c r="A3764" s="303"/>
      <c r="B3764" s="333" t="s">
        <v>346</v>
      </c>
      <c r="C3764" s="317"/>
      <c r="D3764" s="318"/>
      <c r="E3764" s="319"/>
      <c r="F3764" s="319"/>
      <c r="G3764" s="319"/>
      <c r="H3764" s="320"/>
      <c r="I3764" s="332"/>
      <c r="J3764" s="321"/>
    </row>
    <row r="3765" spans="1:10" x14ac:dyDescent="0.25">
      <c r="A3765" s="303"/>
      <c r="B3765" s="310"/>
      <c r="C3765" s="334"/>
      <c r="D3765" s="312"/>
      <c r="E3765" s="313"/>
      <c r="F3765" s="313"/>
      <c r="G3765" s="313"/>
      <c r="H3765" s="313"/>
      <c r="I3765" s="338" t="s">
        <v>484</v>
      </c>
      <c r="J3765" s="315">
        <v>183.40749999999997</v>
      </c>
    </row>
    <row r="3766" spans="1:10" x14ac:dyDescent="0.25">
      <c r="A3766" s="303"/>
      <c r="B3766" s="339"/>
      <c r="C3766" s="334"/>
      <c r="D3766" s="312"/>
      <c r="E3766" s="313"/>
      <c r="F3766" s="313"/>
      <c r="G3766" s="313"/>
      <c r="H3766" s="313"/>
      <c r="I3766" s="338" t="s">
        <v>485</v>
      </c>
      <c r="J3766" s="340">
        <v>244.13</v>
      </c>
    </row>
    <row r="3767" spans="1:10" x14ac:dyDescent="0.25">
      <c r="A3767" s="303"/>
      <c r="B3767" s="339"/>
      <c r="C3767" s="341" t="s">
        <v>486</v>
      </c>
      <c r="D3767" s="312">
        <v>3.2849999999999997E-2</v>
      </c>
      <c r="E3767" s="313"/>
      <c r="F3767" s="313"/>
      <c r="G3767" s="313"/>
      <c r="H3767" s="313"/>
      <c r="I3767" s="338" t="s">
        <v>487</v>
      </c>
      <c r="J3767" s="340">
        <v>7431.6590999999999</v>
      </c>
    </row>
    <row r="3768" spans="1:10" x14ac:dyDescent="0.25">
      <c r="A3768" s="303"/>
      <c r="B3768" s="310"/>
      <c r="C3768" s="334"/>
      <c r="D3768" s="312"/>
      <c r="E3768" s="313"/>
      <c r="F3768" s="313"/>
      <c r="G3768" s="313"/>
      <c r="H3768" s="338" t="s">
        <v>488</v>
      </c>
      <c r="I3768" s="342">
        <v>0</v>
      </c>
      <c r="J3768" s="315">
        <v>0</v>
      </c>
    </row>
    <row r="3769" spans="1:10" x14ac:dyDescent="0.25">
      <c r="A3769" s="303"/>
      <c r="B3769" s="310"/>
      <c r="C3769" s="334"/>
      <c r="D3769" s="312"/>
      <c r="E3769" s="313"/>
      <c r="F3769" s="313"/>
      <c r="G3769" s="313"/>
      <c r="H3769" s="335" t="s">
        <v>489</v>
      </c>
      <c r="I3769" s="343">
        <v>0</v>
      </c>
      <c r="J3769" s="315">
        <v>0</v>
      </c>
    </row>
    <row r="3770" spans="1:10" x14ac:dyDescent="0.25">
      <c r="A3770" s="303"/>
      <c r="B3770" s="310" t="s">
        <v>464</v>
      </c>
      <c r="C3770" s="311" t="s">
        <v>490</v>
      </c>
      <c r="D3770" s="312"/>
      <c r="E3770" s="313"/>
      <c r="F3770" s="313"/>
      <c r="G3770" s="314" t="s">
        <v>465</v>
      </c>
      <c r="H3770" s="336" t="s">
        <v>468</v>
      </c>
      <c r="I3770" s="336" t="s">
        <v>491</v>
      </c>
      <c r="J3770" s="322" t="s">
        <v>492</v>
      </c>
    </row>
    <row r="3771" spans="1:10" x14ac:dyDescent="0.25">
      <c r="A3771" s="303"/>
      <c r="B3771" s="337" t="s">
        <v>806</v>
      </c>
      <c r="C3771" s="311" t="s">
        <v>807</v>
      </c>
      <c r="D3771" s="312"/>
      <c r="E3771" s="313"/>
      <c r="F3771" s="313"/>
      <c r="G3771" s="314" t="s">
        <v>433</v>
      </c>
      <c r="H3771" s="329">
        <v>3.8919000000000001</v>
      </c>
      <c r="I3771" s="329">
        <v>11.414099999999999</v>
      </c>
      <c r="J3771" s="315">
        <v>44.422499999999999</v>
      </c>
    </row>
    <row r="3772" spans="1:10" x14ac:dyDescent="0.25">
      <c r="A3772" s="303"/>
      <c r="B3772" s="333" t="s">
        <v>808</v>
      </c>
      <c r="C3772" s="317" t="s">
        <v>809</v>
      </c>
      <c r="D3772" s="318"/>
      <c r="E3772" s="319"/>
      <c r="F3772" s="319"/>
      <c r="G3772" s="320" t="s">
        <v>810</v>
      </c>
      <c r="H3772" s="332">
        <v>44.1021</v>
      </c>
      <c r="I3772" s="332">
        <v>1</v>
      </c>
      <c r="J3772" s="321">
        <v>44.1021</v>
      </c>
    </row>
    <row r="3773" spans="1:10" x14ac:dyDescent="0.25">
      <c r="A3773" s="303"/>
      <c r="B3773" s="333" t="s">
        <v>811</v>
      </c>
      <c r="C3773" s="317" t="s">
        <v>812</v>
      </c>
      <c r="D3773" s="318"/>
      <c r="E3773" s="319"/>
      <c r="F3773" s="319"/>
      <c r="G3773" s="320" t="s">
        <v>560</v>
      </c>
      <c r="H3773" s="332">
        <v>4.0429000000000004</v>
      </c>
      <c r="I3773" s="332">
        <v>34</v>
      </c>
      <c r="J3773" s="321">
        <v>137.45859999999999</v>
      </c>
    </row>
    <row r="3774" spans="1:10" x14ac:dyDescent="0.25">
      <c r="A3774" s="303"/>
      <c r="B3774" s="333" t="s">
        <v>813</v>
      </c>
      <c r="C3774" s="317" t="s">
        <v>1021</v>
      </c>
      <c r="D3774" s="318"/>
      <c r="E3774" s="319"/>
      <c r="F3774" s="319"/>
      <c r="G3774" s="320" t="s">
        <v>376</v>
      </c>
      <c r="H3774" s="332">
        <v>11.2903</v>
      </c>
      <c r="I3774" s="332">
        <v>12.9359</v>
      </c>
      <c r="J3774" s="321">
        <v>146.05019999999999</v>
      </c>
    </row>
    <row r="3775" spans="1:10" x14ac:dyDescent="0.25">
      <c r="A3775" s="303"/>
      <c r="B3775" s="333" t="s">
        <v>814</v>
      </c>
      <c r="C3775" s="317" t="s">
        <v>1022</v>
      </c>
      <c r="D3775" s="318"/>
      <c r="E3775" s="319"/>
      <c r="F3775" s="319"/>
      <c r="G3775" s="320" t="s">
        <v>376</v>
      </c>
      <c r="H3775" s="332">
        <v>22.367999999999999</v>
      </c>
      <c r="I3775" s="332">
        <v>6.0875000000000004</v>
      </c>
      <c r="J3775" s="321">
        <v>136.1652</v>
      </c>
    </row>
    <row r="3776" spans="1:10" x14ac:dyDescent="0.25">
      <c r="A3776" s="303"/>
      <c r="B3776" s="333" t="s">
        <v>346</v>
      </c>
      <c r="C3776" s="317"/>
      <c r="D3776" s="318"/>
      <c r="E3776" s="319"/>
      <c r="F3776" s="319"/>
      <c r="G3776" s="320"/>
      <c r="H3776" s="332"/>
      <c r="I3776" s="332"/>
      <c r="J3776" s="321"/>
    </row>
    <row r="3777" spans="1:10" x14ac:dyDescent="0.25">
      <c r="A3777" s="303"/>
      <c r="B3777" s="333" t="s">
        <v>346</v>
      </c>
      <c r="C3777" s="317"/>
      <c r="D3777" s="318"/>
      <c r="E3777" s="319"/>
      <c r="F3777" s="319"/>
      <c r="G3777" s="320"/>
      <c r="H3777" s="332"/>
      <c r="I3777" s="332"/>
      <c r="J3777" s="321"/>
    </row>
    <row r="3778" spans="1:10" x14ac:dyDescent="0.25">
      <c r="A3778" s="303"/>
      <c r="B3778" s="310"/>
      <c r="C3778" s="334"/>
      <c r="D3778" s="312"/>
      <c r="E3778" s="313"/>
      <c r="F3778" s="313"/>
      <c r="G3778" s="313"/>
      <c r="H3778" s="343"/>
      <c r="I3778" s="335" t="s">
        <v>498</v>
      </c>
      <c r="J3778" s="315">
        <v>508.19859999999994</v>
      </c>
    </row>
    <row r="3779" spans="1:10" x14ac:dyDescent="0.25">
      <c r="A3779" s="303"/>
      <c r="B3779" s="310" t="s">
        <v>464</v>
      </c>
      <c r="C3779" s="311" t="s">
        <v>499</v>
      </c>
      <c r="D3779" s="312"/>
      <c r="E3779" s="313"/>
      <c r="F3779" s="313"/>
      <c r="G3779" s="314" t="s">
        <v>465</v>
      </c>
      <c r="H3779" s="336" t="s">
        <v>468</v>
      </c>
      <c r="I3779" s="336" t="s">
        <v>491</v>
      </c>
      <c r="J3779" s="322" t="s">
        <v>492</v>
      </c>
    </row>
    <row r="3780" spans="1:10" x14ac:dyDescent="0.25">
      <c r="A3780" s="303"/>
      <c r="B3780" s="337"/>
      <c r="C3780" s="311"/>
      <c r="D3780" s="312"/>
      <c r="E3780" s="313"/>
      <c r="F3780" s="313"/>
      <c r="G3780" s="314"/>
      <c r="H3780" s="329"/>
      <c r="I3780" s="329"/>
      <c r="J3780" s="315"/>
    </row>
    <row r="3781" spans="1:10" x14ac:dyDescent="0.25">
      <c r="A3781" s="303"/>
      <c r="B3781" s="333"/>
      <c r="C3781" s="317"/>
      <c r="D3781" s="318"/>
      <c r="E3781" s="319"/>
      <c r="F3781" s="319"/>
      <c r="G3781" s="320"/>
      <c r="H3781" s="332"/>
      <c r="I3781" s="332"/>
      <c r="J3781" s="321"/>
    </row>
    <row r="3782" spans="1:10" x14ac:dyDescent="0.25">
      <c r="A3782" s="303"/>
      <c r="B3782" s="333"/>
      <c r="C3782" s="317"/>
      <c r="D3782" s="318"/>
      <c r="E3782" s="319"/>
      <c r="F3782" s="319"/>
      <c r="G3782" s="320"/>
      <c r="H3782" s="332"/>
      <c r="I3782" s="332"/>
      <c r="J3782" s="321"/>
    </row>
    <row r="3783" spans="1:10" x14ac:dyDescent="0.25">
      <c r="A3783" s="303"/>
      <c r="B3783" s="333"/>
      <c r="C3783" s="317"/>
      <c r="D3783" s="318"/>
      <c r="E3783" s="319"/>
      <c r="F3783" s="319"/>
      <c r="G3783" s="320"/>
      <c r="H3783" s="332"/>
      <c r="I3783" s="332"/>
      <c r="J3783" s="321"/>
    </row>
    <row r="3784" spans="1:10" x14ac:dyDescent="0.25">
      <c r="A3784" s="303"/>
      <c r="B3784" s="333"/>
      <c r="C3784" s="317"/>
      <c r="D3784" s="318"/>
      <c r="E3784" s="319"/>
      <c r="F3784" s="319"/>
      <c r="G3784" s="320"/>
      <c r="H3784" s="332"/>
      <c r="I3784" s="332"/>
      <c r="J3784" s="321"/>
    </row>
    <row r="3785" spans="1:10" x14ac:dyDescent="0.25">
      <c r="A3785" s="303"/>
      <c r="B3785" s="310"/>
      <c r="C3785" s="334"/>
      <c r="D3785" s="312"/>
      <c r="E3785" s="313"/>
      <c r="F3785" s="313"/>
      <c r="G3785" s="313"/>
      <c r="H3785" s="343"/>
      <c r="I3785" s="335" t="s">
        <v>501</v>
      </c>
      <c r="J3785" s="315">
        <v>0</v>
      </c>
    </row>
    <row r="3786" spans="1:10" x14ac:dyDescent="0.25">
      <c r="A3786" s="303"/>
      <c r="B3786" s="310" t="s">
        <v>464</v>
      </c>
      <c r="C3786" s="311" t="s">
        <v>502</v>
      </c>
      <c r="D3786" s="312"/>
      <c r="E3786" s="313"/>
      <c r="F3786" s="314" t="s">
        <v>464</v>
      </c>
      <c r="G3786" s="324" t="s">
        <v>503</v>
      </c>
      <c r="H3786" s="329" t="s">
        <v>465</v>
      </c>
      <c r="I3786" s="336" t="s">
        <v>468</v>
      </c>
      <c r="J3786" s="322" t="s">
        <v>492</v>
      </c>
    </row>
    <row r="3787" spans="1:10" x14ac:dyDescent="0.25">
      <c r="A3787" s="303"/>
      <c r="B3787" s="337" t="s">
        <v>346</v>
      </c>
      <c r="C3787" s="311"/>
      <c r="D3787" s="312"/>
      <c r="E3787" s="313"/>
      <c r="F3787" s="314"/>
      <c r="G3787" s="314"/>
      <c r="H3787" s="329"/>
      <c r="I3787" s="329"/>
      <c r="J3787" s="315"/>
    </row>
    <row r="3788" spans="1:10" x14ac:dyDescent="0.25">
      <c r="A3788" s="303"/>
      <c r="B3788" s="333" t="s">
        <v>346</v>
      </c>
      <c r="C3788" s="317"/>
      <c r="D3788" s="318"/>
      <c r="E3788" s="319"/>
      <c r="F3788" s="320"/>
      <c r="G3788" s="320"/>
      <c r="H3788" s="332"/>
      <c r="I3788" s="332"/>
      <c r="J3788" s="321"/>
    </row>
    <row r="3789" spans="1:10" x14ac:dyDescent="0.25">
      <c r="A3789" s="303"/>
      <c r="B3789" s="333" t="s">
        <v>346</v>
      </c>
      <c r="C3789" s="317"/>
      <c r="D3789" s="318"/>
      <c r="E3789" s="319"/>
      <c r="F3789" s="320"/>
      <c r="G3789" s="320"/>
      <c r="H3789" s="332"/>
      <c r="I3789" s="332"/>
      <c r="J3789" s="321"/>
    </row>
    <row r="3790" spans="1:10" x14ac:dyDescent="0.25">
      <c r="A3790" s="303"/>
      <c r="B3790" s="333" t="s">
        <v>346</v>
      </c>
      <c r="C3790" s="317"/>
      <c r="D3790" s="318"/>
      <c r="E3790" s="319"/>
      <c r="F3790" s="320"/>
      <c r="G3790" s="320"/>
      <c r="H3790" s="332"/>
      <c r="I3790" s="332"/>
      <c r="J3790" s="321"/>
    </row>
    <row r="3791" spans="1:10" x14ac:dyDescent="0.25">
      <c r="A3791" s="303"/>
      <c r="B3791" s="333" t="s">
        <v>346</v>
      </c>
      <c r="C3791" s="317"/>
      <c r="D3791" s="318"/>
      <c r="E3791" s="319"/>
      <c r="F3791" s="320"/>
      <c r="G3791" s="320"/>
      <c r="H3791" s="332"/>
      <c r="I3791" s="332"/>
      <c r="J3791" s="321"/>
    </row>
    <row r="3792" spans="1:10" x14ac:dyDescent="0.25">
      <c r="A3792" s="303"/>
      <c r="B3792" s="310"/>
      <c r="C3792" s="334"/>
      <c r="D3792" s="312"/>
      <c r="E3792" s="313"/>
      <c r="F3792" s="313"/>
      <c r="G3792" s="313"/>
      <c r="H3792" s="343"/>
      <c r="I3792" s="338" t="s">
        <v>507</v>
      </c>
      <c r="J3792" s="315">
        <v>0</v>
      </c>
    </row>
    <row r="3793" spans="1:10" x14ac:dyDescent="0.25">
      <c r="A3793" s="303"/>
      <c r="B3793" s="310" t="s">
        <v>464</v>
      </c>
      <c r="C3793" s="311" t="s">
        <v>508</v>
      </c>
      <c r="D3793" s="345" t="s">
        <v>509</v>
      </c>
      <c r="E3793" s="324" t="s">
        <v>873</v>
      </c>
      <c r="F3793" s="324" t="s">
        <v>874</v>
      </c>
      <c r="G3793" s="324" t="s">
        <v>875</v>
      </c>
      <c r="H3793" s="336" t="s">
        <v>468</v>
      </c>
      <c r="I3793" s="324" t="s">
        <v>491</v>
      </c>
      <c r="J3793" s="322" t="s">
        <v>492</v>
      </c>
    </row>
    <row r="3794" spans="1:10" x14ac:dyDescent="0.25">
      <c r="A3794" s="303"/>
      <c r="B3794" s="337" t="s">
        <v>346</v>
      </c>
      <c r="C3794" s="311"/>
      <c r="D3794" s="345"/>
      <c r="E3794" s="314"/>
      <c r="F3794" s="314"/>
      <c r="G3794" s="314"/>
      <c r="H3794" s="329"/>
      <c r="I3794" s="314"/>
      <c r="J3794" s="315"/>
    </row>
    <row r="3795" spans="1:10" x14ac:dyDescent="0.25">
      <c r="A3795" s="303"/>
      <c r="B3795" s="333" t="s">
        <v>346</v>
      </c>
      <c r="C3795" s="317"/>
      <c r="D3795" s="346"/>
      <c r="E3795" s="320"/>
      <c r="F3795" s="320"/>
      <c r="G3795" s="320"/>
      <c r="H3795" s="332"/>
      <c r="I3795" s="320"/>
      <c r="J3795" s="321"/>
    </row>
    <row r="3796" spans="1:10" x14ac:dyDescent="0.25">
      <c r="A3796" s="303"/>
      <c r="B3796" s="333" t="s">
        <v>346</v>
      </c>
      <c r="C3796" s="317"/>
      <c r="D3796" s="346"/>
      <c r="E3796" s="320"/>
      <c r="F3796" s="320"/>
      <c r="G3796" s="320"/>
      <c r="H3796" s="332"/>
      <c r="I3796" s="320"/>
      <c r="J3796" s="321"/>
    </row>
    <row r="3797" spans="1:10" x14ac:dyDescent="0.25">
      <c r="A3797" s="303"/>
      <c r="B3797" s="333" t="s">
        <v>346</v>
      </c>
      <c r="C3797" s="317"/>
      <c r="D3797" s="346"/>
      <c r="E3797" s="320"/>
      <c r="F3797" s="320"/>
      <c r="G3797" s="320"/>
      <c r="H3797" s="332"/>
      <c r="I3797" s="320"/>
      <c r="J3797" s="321"/>
    </row>
    <row r="3798" spans="1:10" x14ac:dyDescent="0.25">
      <c r="A3798" s="303"/>
      <c r="B3798" s="333" t="s">
        <v>346</v>
      </c>
      <c r="C3798" s="317"/>
      <c r="D3798" s="346"/>
      <c r="E3798" s="320"/>
      <c r="F3798" s="320"/>
      <c r="G3798" s="320"/>
      <c r="H3798" s="332"/>
      <c r="I3798" s="320"/>
      <c r="J3798" s="321"/>
    </row>
    <row r="3799" spans="1:10" x14ac:dyDescent="0.25">
      <c r="A3799" s="303"/>
      <c r="B3799" s="333" t="s">
        <v>346</v>
      </c>
      <c r="C3799" s="317"/>
      <c r="D3799" s="346"/>
      <c r="E3799" s="320"/>
      <c r="F3799" s="320"/>
      <c r="G3799" s="320"/>
      <c r="H3799" s="332"/>
      <c r="I3799" s="320"/>
      <c r="J3799" s="321"/>
    </row>
    <row r="3800" spans="1:10" x14ac:dyDescent="0.25">
      <c r="A3800" s="303"/>
      <c r="B3800" s="333" t="s">
        <v>346</v>
      </c>
      <c r="C3800" s="317"/>
      <c r="D3800" s="346"/>
      <c r="E3800" s="320"/>
      <c r="F3800" s="320"/>
      <c r="G3800" s="320"/>
      <c r="H3800" s="332"/>
      <c r="I3800" s="320"/>
      <c r="J3800" s="321"/>
    </row>
    <row r="3801" spans="1:10" x14ac:dyDescent="0.25">
      <c r="A3801" s="303"/>
      <c r="B3801" s="310"/>
      <c r="C3801" s="334"/>
      <c r="D3801" s="312"/>
      <c r="E3801" s="313"/>
      <c r="F3801" s="313"/>
      <c r="G3801" s="313"/>
      <c r="H3801" s="313"/>
      <c r="I3801" s="338" t="s">
        <v>513</v>
      </c>
      <c r="J3801" s="315">
        <v>0</v>
      </c>
    </row>
    <row r="3802" spans="1:10" x14ac:dyDescent="0.25">
      <c r="A3802" s="303"/>
      <c r="B3802" s="310" t="s">
        <v>514</v>
      </c>
      <c r="C3802" s="334"/>
      <c r="D3802" s="312"/>
      <c r="E3802" s="313"/>
      <c r="F3802" s="313"/>
      <c r="G3802" s="313"/>
      <c r="H3802" s="313"/>
      <c r="I3802" s="313"/>
      <c r="J3802" s="315">
        <v>7939.8576999999996</v>
      </c>
    </row>
    <row r="3803" spans="1:10" x14ac:dyDescent="0.25">
      <c r="A3803" s="303"/>
      <c r="B3803" s="310" t="s">
        <v>515</v>
      </c>
      <c r="C3803" s="334"/>
      <c r="D3803" s="312">
        <v>0</v>
      </c>
      <c r="E3803" s="313"/>
      <c r="F3803" s="313"/>
      <c r="G3803" s="313"/>
      <c r="H3803" s="313"/>
      <c r="I3803" s="313"/>
      <c r="J3803" s="315">
        <v>0</v>
      </c>
    </row>
    <row r="3804" spans="1:10" ht="14.4" thickBot="1" x14ac:dyDescent="0.3">
      <c r="A3804" s="303"/>
      <c r="B3804" s="310" t="s">
        <v>516</v>
      </c>
      <c r="C3804" s="334"/>
      <c r="D3804" s="312"/>
      <c r="E3804" s="313"/>
      <c r="F3804" s="313"/>
      <c r="G3804" s="313"/>
      <c r="H3804" s="313"/>
      <c r="I3804" s="313"/>
      <c r="J3804" s="347">
        <v>7939.86</v>
      </c>
    </row>
    <row r="3805" spans="1:10" x14ac:dyDescent="0.25">
      <c r="A3805" s="303"/>
      <c r="B3805" s="304"/>
      <c r="C3805" s="305"/>
      <c r="D3805" s="348"/>
      <c r="E3805" s="308"/>
      <c r="F3805" s="308"/>
      <c r="G3805" s="308"/>
      <c r="H3805" s="308"/>
      <c r="I3805" s="308"/>
      <c r="J3805" s="309"/>
    </row>
    <row r="3806" spans="1:10" x14ac:dyDescent="0.25">
      <c r="A3806" s="303"/>
      <c r="B3806" s="316"/>
      <c r="C3806" s="303"/>
      <c r="D3806" s="318"/>
      <c r="E3806" s="319"/>
      <c r="F3806" s="319"/>
      <c r="G3806" s="319"/>
      <c r="H3806" s="319"/>
      <c r="I3806" s="319"/>
      <c r="J3806" s="349"/>
    </row>
    <row r="3807" spans="1:10" x14ac:dyDescent="0.25">
      <c r="A3807" s="303"/>
      <c r="B3807" s="316"/>
      <c r="C3807" s="303"/>
      <c r="D3807" s="318"/>
      <c r="E3807" s="319"/>
      <c r="F3807" s="319"/>
      <c r="G3807" s="319"/>
      <c r="H3807" s="319"/>
      <c r="I3807" s="319"/>
      <c r="J3807" s="349"/>
    </row>
    <row r="3808" spans="1:10" ht="14.4" thickBot="1" x14ac:dyDescent="0.3">
      <c r="A3808" s="303"/>
      <c r="B3808" s="350"/>
      <c r="C3808" s="303"/>
      <c r="D3808" s="318"/>
      <c r="E3808" s="319"/>
      <c r="F3808" s="319"/>
      <c r="G3808" s="319"/>
      <c r="H3808" s="319"/>
      <c r="I3808" s="319"/>
      <c r="J3808" s="351"/>
    </row>
    <row r="3809" spans="1:10" x14ac:dyDescent="0.25">
      <c r="A3809" s="303"/>
      <c r="B3809" s="305"/>
      <c r="C3809" s="305"/>
      <c r="D3809" s="348"/>
      <c r="E3809" s="308"/>
      <c r="F3809" s="308"/>
      <c r="G3809" s="308"/>
      <c r="H3809" s="308"/>
      <c r="I3809" s="308"/>
      <c r="J3809" s="352"/>
    </row>
    <row r="3810" spans="1:10" ht="14.4" thickBot="1" x14ac:dyDescent="0.3">
      <c r="A3810" s="303"/>
      <c r="B3810" s="303"/>
      <c r="C3810" s="303"/>
      <c r="D3810" s="318"/>
      <c r="E3810" s="319"/>
      <c r="F3810" s="319"/>
      <c r="G3810" s="319"/>
      <c r="H3810" s="319"/>
      <c r="I3810" s="319"/>
      <c r="J3810" s="353"/>
    </row>
    <row r="3811" spans="1:10" x14ac:dyDescent="0.25">
      <c r="A3811" s="303"/>
      <c r="B3811" s="304"/>
      <c r="C3811" s="305"/>
      <c r="D3811" s="306" t="s">
        <v>463</v>
      </c>
      <c r="E3811" s="307"/>
      <c r="F3811" s="307"/>
      <c r="G3811" s="308"/>
      <c r="H3811" s="308"/>
      <c r="I3811" s="308"/>
      <c r="J3811" s="309"/>
    </row>
    <row r="3812" spans="1:10" x14ac:dyDescent="0.25">
      <c r="A3812" s="303"/>
      <c r="B3812" s="310" t="s">
        <v>464</v>
      </c>
      <c r="C3812" s="311" t="s">
        <v>134</v>
      </c>
      <c r="D3812" s="312"/>
      <c r="E3812" s="313"/>
      <c r="F3812" s="313"/>
      <c r="G3812" s="313"/>
      <c r="H3812" s="314"/>
      <c r="I3812" s="313"/>
      <c r="J3812" s="315" t="s">
        <v>465</v>
      </c>
    </row>
    <row r="3813" spans="1:10" x14ac:dyDescent="0.25">
      <c r="A3813" s="303"/>
      <c r="B3813" s="316" t="s">
        <v>349</v>
      </c>
      <c r="C3813" s="317" t="s">
        <v>422</v>
      </c>
      <c r="D3813" s="318"/>
      <c r="E3813" s="319"/>
      <c r="F3813" s="319"/>
      <c r="G3813" s="319"/>
      <c r="H3813" s="320"/>
      <c r="I3813" s="319"/>
      <c r="J3813" s="321" t="s">
        <v>321</v>
      </c>
    </row>
    <row r="3814" spans="1:10" x14ac:dyDescent="0.25">
      <c r="A3814" s="303"/>
      <c r="B3814" s="310"/>
      <c r="C3814" s="311"/>
      <c r="D3814" s="312"/>
      <c r="E3814" s="314"/>
      <c r="F3814" s="314" t="s">
        <v>466</v>
      </c>
      <c r="G3814" s="314"/>
      <c r="H3814" s="314" t="s">
        <v>467</v>
      </c>
      <c r="I3814" s="314"/>
      <c r="J3814" s="322" t="s">
        <v>468</v>
      </c>
    </row>
    <row r="3815" spans="1:10" x14ac:dyDescent="0.25">
      <c r="A3815" s="303"/>
      <c r="B3815" s="316" t="s">
        <v>464</v>
      </c>
      <c r="C3815" s="317" t="s">
        <v>469</v>
      </c>
      <c r="D3815" s="318"/>
      <c r="E3815" s="323" t="s">
        <v>355</v>
      </c>
      <c r="F3815" s="324" t="s">
        <v>470</v>
      </c>
      <c r="G3815" s="324" t="s">
        <v>471</v>
      </c>
      <c r="H3815" s="324" t="s">
        <v>472</v>
      </c>
      <c r="I3815" s="325" t="s">
        <v>473</v>
      </c>
      <c r="J3815" s="326" t="s">
        <v>474</v>
      </c>
    </row>
    <row r="3816" spans="1:10" x14ac:dyDescent="0.25">
      <c r="A3816" s="303"/>
      <c r="B3816" s="327" t="s">
        <v>815</v>
      </c>
      <c r="C3816" s="311" t="s">
        <v>816</v>
      </c>
      <c r="D3816" s="312"/>
      <c r="E3816" s="328">
        <v>1</v>
      </c>
      <c r="F3816" s="328">
        <v>0.2</v>
      </c>
      <c r="G3816" s="328">
        <v>0.8</v>
      </c>
      <c r="H3816" s="329">
        <v>306.44940000000003</v>
      </c>
      <c r="I3816" s="329">
        <v>107.52079999999999</v>
      </c>
      <c r="J3816" s="315">
        <v>147.3065</v>
      </c>
    </row>
    <row r="3817" spans="1:10" x14ac:dyDescent="0.25">
      <c r="A3817" s="303"/>
      <c r="B3817" s="330" t="s">
        <v>817</v>
      </c>
      <c r="C3817" s="317" t="s">
        <v>1023</v>
      </c>
      <c r="D3817" s="318"/>
      <c r="E3817" s="331">
        <v>1</v>
      </c>
      <c r="F3817" s="331">
        <v>0.4</v>
      </c>
      <c r="G3817" s="331">
        <v>0.6</v>
      </c>
      <c r="H3817" s="332">
        <v>89.293099999999995</v>
      </c>
      <c r="I3817" s="332">
        <v>43.954000000000001</v>
      </c>
      <c r="J3817" s="321">
        <v>62.089599999999997</v>
      </c>
    </row>
    <row r="3818" spans="1:10" x14ac:dyDescent="0.25">
      <c r="A3818" s="303"/>
      <c r="B3818" s="333" t="s">
        <v>346</v>
      </c>
      <c r="C3818" s="317"/>
      <c r="D3818" s="318"/>
      <c r="E3818" s="331"/>
      <c r="F3818" s="331"/>
      <c r="G3818" s="331"/>
      <c r="H3818" s="332"/>
      <c r="I3818" s="332"/>
      <c r="J3818" s="321"/>
    </row>
    <row r="3819" spans="1:10" x14ac:dyDescent="0.25">
      <c r="A3819" s="303"/>
      <c r="B3819" s="333" t="s">
        <v>346</v>
      </c>
      <c r="C3819" s="317"/>
      <c r="D3819" s="318"/>
      <c r="E3819" s="331"/>
      <c r="F3819" s="331"/>
      <c r="G3819" s="331"/>
      <c r="H3819" s="332"/>
      <c r="I3819" s="332"/>
      <c r="J3819" s="321"/>
    </row>
    <row r="3820" spans="1:10" x14ac:dyDescent="0.25">
      <c r="A3820" s="303"/>
      <c r="B3820" s="333" t="s">
        <v>346</v>
      </c>
      <c r="C3820" s="317"/>
      <c r="D3820" s="318"/>
      <c r="E3820" s="331"/>
      <c r="F3820" s="331"/>
      <c r="G3820" s="331"/>
      <c r="H3820" s="332"/>
      <c r="I3820" s="332"/>
      <c r="J3820" s="321"/>
    </row>
    <row r="3821" spans="1:10" x14ac:dyDescent="0.25">
      <c r="A3821" s="303"/>
      <c r="B3821" s="333" t="s">
        <v>346</v>
      </c>
      <c r="C3821" s="317"/>
      <c r="D3821" s="318"/>
      <c r="E3821" s="331"/>
      <c r="F3821" s="331"/>
      <c r="G3821" s="331"/>
      <c r="H3821" s="332"/>
      <c r="I3821" s="332"/>
      <c r="J3821" s="321"/>
    </row>
    <row r="3822" spans="1:10" x14ac:dyDescent="0.25">
      <c r="A3822" s="303"/>
      <c r="B3822" s="333" t="s">
        <v>346</v>
      </c>
      <c r="C3822" s="317"/>
      <c r="D3822" s="318"/>
      <c r="E3822" s="331"/>
      <c r="F3822" s="331"/>
      <c r="G3822" s="331"/>
      <c r="H3822" s="332"/>
      <c r="I3822" s="332"/>
      <c r="J3822" s="321"/>
    </row>
    <row r="3823" spans="1:10" x14ac:dyDescent="0.25">
      <c r="A3823" s="303"/>
      <c r="B3823" s="310"/>
      <c r="C3823" s="334"/>
      <c r="D3823" s="312"/>
      <c r="E3823" s="313"/>
      <c r="F3823" s="313"/>
      <c r="G3823" s="313"/>
      <c r="H3823" s="313"/>
      <c r="I3823" s="335" t="s">
        <v>479</v>
      </c>
      <c r="J3823" s="315">
        <v>209.39609999999999</v>
      </c>
    </row>
    <row r="3824" spans="1:10" x14ac:dyDescent="0.25">
      <c r="A3824" s="303"/>
      <c r="B3824" s="310" t="s">
        <v>464</v>
      </c>
      <c r="C3824" s="311" t="s">
        <v>480</v>
      </c>
      <c r="D3824" s="312"/>
      <c r="E3824" s="313"/>
      <c r="F3824" s="313"/>
      <c r="G3824" s="313"/>
      <c r="H3824" s="324" t="s">
        <v>355</v>
      </c>
      <c r="I3824" s="336" t="s">
        <v>481</v>
      </c>
      <c r="J3824" s="322" t="s">
        <v>331</v>
      </c>
    </row>
    <row r="3825" spans="1:10" x14ac:dyDescent="0.25">
      <c r="A3825" s="303"/>
      <c r="B3825" s="337" t="s">
        <v>679</v>
      </c>
      <c r="C3825" s="311" t="s">
        <v>680</v>
      </c>
      <c r="D3825" s="312"/>
      <c r="E3825" s="313"/>
      <c r="F3825" s="313"/>
      <c r="G3825" s="313"/>
      <c r="H3825" s="314">
        <v>3</v>
      </c>
      <c r="I3825" s="329">
        <v>18.301200000000001</v>
      </c>
      <c r="J3825" s="315">
        <v>54.903599999999997</v>
      </c>
    </row>
    <row r="3826" spans="1:10" x14ac:dyDescent="0.25">
      <c r="A3826" s="303"/>
      <c r="B3826" s="333" t="s">
        <v>818</v>
      </c>
      <c r="C3826" s="317" t="s">
        <v>819</v>
      </c>
      <c r="D3826" s="318"/>
      <c r="E3826" s="319"/>
      <c r="F3826" s="319"/>
      <c r="G3826" s="319"/>
      <c r="H3826" s="320">
        <v>1</v>
      </c>
      <c r="I3826" s="332">
        <v>23.258900000000001</v>
      </c>
      <c r="J3826" s="321">
        <v>23.258900000000001</v>
      </c>
    </row>
    <row r="3827" spans="1:10" x14ac:dyDescent="0.25">
      <c r="A3827" s="303"/>
      <c r="B3827" s="333" t="s">
        <v>346</v>
      </c>
      <c r="C3827" s="317"/>
      <c r="D3827" s="318"/>
      <c r="E3827" s="319"/>
      <c r="F3827" s="319"/>
      <c r="G3827" s="319"/>
      <c r="H3827" s="320"/>
      <c r="I3827" s="332"/>
      <c r="J3827" s="321"/>
    </row>
    <row r="3828" spans="1:10" x14ac:dyDescent="0.25">
      <c r="A3828" s="303"/>
      <c r="B3828" s="333" t="s">
        <v>346</v>
      </c>
      <c r="C3828" s="317"/>
      <c r="D3828" s="318"/>
      <c r="E3828" s="319"/>
      <c r="F3828" s="319"/>
      <c r="G3828" s="319"/>
      <c r="H3828" s="320"/>
      <c r="I3828" s="332"/>
      <c r="J3828" s="321"/>
    </row>
    <row r="3829" spans="1:10" x14ac:dyDescent="0.25">
      <c r="A3829" s="303"/>
      <c r="B3829" s="333" t="s">
        <v>346</v>
      </c>
      <c r="C3829" s="317"/>
      <c r="D3829" s="318"/>
      <c r="E3829" s="319"/>
      <c r="F3829" s="319"/>
      <c r="G3829" s="319"/>
      <c r="H3829" s="320"/>
      <c r="I3829" s="332"/>
      <c r="J3829" s="321"/>
    </row>
    <row r="3830" spans="1:10" x14ac:dyDescent="0.25">
      <c r="A3830" s="303"/>
      <c r="B3830" s="333" t="s">
        <v>346</v>
      </c>
      <c r="C3830" s="317"/>
      <c r="D3830" s="318"/>
      <c r="E3830" s="319"/>
      <c r="F3830" s="319"/>
      <c r="G3830" s="319"/>
      <c r="H3830" s="320"/>
      <c r="I3830" s="332"/>
      <c r="J3830" s="321"/>
    </row>
    <row r="3831" spans="1:10" x14ac:dyDescent="0.25">
      <c r="A3831" s="303"/>
      <c r="B3831" s="333" t="s">
        <v>346</v>
      </c>
      <c r="C3831" s="317"/>
      <c r="D3831" s="318"/>
      <c r="E3831" s="319"/>
      <c r="F3831" s="319"/>
      <c r="G3831" s="319"/>
      <c r="H3831" s="320"/>
      <c r="I3831" s="332"/>
      <c r="J3831" s="321"/>
    </row>
    <row r="3832" spans="1:10" x14ac:dyDescent="0.25">
      <c r="A3832" s="303"/>
      <c r="B3832" s="310"/>
      <c r="C3832" s="334"/>
      <c r="D3832" s="312"/>
      <c r="E3832" s="313"/>
      <c r="F3832" s="313"/>
      <c r="G3832" s="313"/>
      <c r="H3832" s="313"/>
      <c r="I3832" s="338" t="s">
        <v>484</v>
      </c>
      <c r="J3832" s="315">
        <v>78.162499999999994</v>
      </c>
    </row>
    <row r="3833" spans="1:10" x14ac:dyDescent="0.25">
      <c r="A3833" s="303"/>
      <c r="B3833" s="339"/>
      <c r="C3833" s="334"/>
      <c r="D3833" s="312"/>
      <c r="E3833" s="313"/>
      <c r="F3833" s="313"/>
      <c r="G3833" s="313"/>
      <c r="H3833" s="313"/>
      <c r="I3833" s="338" t="s">
        <v>485</v>
      </c>
      <c r="J3833" s="340">
        <v>287.55859999999996</v>
      </c>
    </row>
    <row r="3834" spans="1:10" x14ac:dyDescent="0.25">
      <c r="A3834" s="303"/>
      <c r="B3834" s="339"/>
      <c r="C3834" s="341" t="s">
        <v>486</v>
      </c>
      <c r="D3834" s="312">
        <v>3.2849999999999997E-2</v>
      </c>
      <c r="E3834" s="313"/>
      <c r="F3834" s="313"/>
      <c r="G3834" s="313"/>
      <c r="H3834" s="313"/>
      <c r="I3834" s="338" t="s">
        <v>487</v>
      </c>
      <c r="J3834" s="340">
        <v>8753.6864999999998</v>
      </c>
    </row>
    <row r="3835" spans="1:10" x14ac:dyDescent="0.25">
      <c r="A3835" s="303"/>
      <c r="B3835" s="310"/>
      <c r="C3835" s="334"/>
      <c r="D3835" s="312"/>
      <c r="E3835" s="313"/>
      <c r="F3835" s="313"/>
      <c r="G3835" s="313"/>
      <c r="H3835" s="338" t="s">
        <v>488</v>
      </c>
      <c r="I3835" s="342">
        <v>0</v>
      </c>
      <c r="J3835" s="315">
        <v>0</v>
      </c>
    </row>
    <row r="3836" spans="1:10" x14ac:dyDescent="0.25">
      <c r="A3836" s="303"/>
      <c r="B3836" s="310"/>
      <c r="C3836" s="334"/>
      <c r="D3836" s="312"/>
      <c r="E3836" s="313"/>
      <c r="F3836" s="313"/>
      <c r="G3836" s="313"/>
      <c r="H3836" s="335" t="s">
        <v>489</v>
      </c>
      <c r="I3836" s="343">
        <v>0</v>
      </c>
      <c r="J3836" s="315">
        <v>0</v>
      </c>
    </row>
    <row r="3837" spans="1:10" x14ac:dyDescent="0.25">
      <c r="A3837" s="303"/>
      <c r="B3837" s="310" t="s">
        <v>464</v>
      </c>
      <c r="C3837" s="311" t="s">
        <v>490</v>
      </c>
      <c r="D3837" s="312"/>
      <c r="E3837" s="313"/>
      <c r="F3837" s="313"/>
      <c r="G3837" s="314" t="s">
        <v>465</v>
      </c>
      <c r="H3837" s="336" t="s">
        <v>468</v>
      </c>
      <c r="I3837" s="336" t="s">
        <v>491</v>
      </c>
      <c r="J3837" s="322" t="s">
        <v>492</v>
      </c>
    </row>
    <row r="3838" spans="1:10" x14ac:dyDescent="0.25">
      <c r="A3838" s="303"/>
      <c r="B3838" s="337" t="s">
        <v>820</v>
      </c>
      <c r="C3838" s="311" t="s">
        <v>821</v>
      </c>
      <c r="D3838" s="312"/>
      <c r="E3838" s="313"/>
      <c r="F3838" s="313"/>
      <c r="G3838" s="314" t="s">
        <v>433</v>
      </c>
      <c r="H3838" s="329">
        <v>3116.9991</v>
      </c>
      <c r="I3838" s="329">
        <v>0.5</v>
      </c>
      <c r="J3838" s="315">
        <v>1558.4996000000001</v>
      </c>
    </row>
    <row r="3839" spans="1:10" x14ac:dyDescent="0.25">
      <c r="A3839" s="303"/>
      <c r="B3839" s="333" t="s">
        <v>822</v>
      </c>
      <c r="C3839" s="317" t="s">
        <v>823</v>
      </c>
      <c r="D3839" s="318"/>
      <c r="E3839" s="319"/>
      <c r="F3839" s="319"/>
      <c r="G3839" s="320" t="s">
        <v>810</v>
      </c>
      <c r="H3839" s="332">
        <v>155.85429999999999</v>
      </c>
      <c r="I3839" s="332">
        <v>1</v>
      </c>
      <c r="J3839" s="321">
        <v>155.85429999999999</v>
      </c>
    </row>
    <row r="3840" spans="1:10" x14ac:dyDescent="0.25">
      <c r="A3840" s="303"/>
      <c r="B3840" s="333" t="s">
        <v>346</v>
      </c>
      <c r="C3840" s="317"/>
      <c r="D3840" s="318"/>
      <c r="E3840" s="319"/>
      <c r="F3840" s="319"/>
      <c r="G3840" s="320"/>
      <c r="H3840" s="332"/>
      <c r="I3840" s="332"/>
      <c r="J3840" s="321"/>
    </row>
    <row r="3841" spans="1:10" x14ac:dyDescent="0.25">
      <c r="A3841" s="303"/>
      <c r="B3841" s="333" t="s">
        <v>346</v>
      </c>
      <c r="C3841" s="317"/>
      <c r="D3841" s="318"/>
      <c r="E3841" s="319"/>
      <c r="F3841" s="319"/>
      <c r="G3841" s="320"/>
      <c r="H3841" s="332"/>
      <c r="I3841" s="332"/>
      <c r="J3841" s="321"/>
    </row>
    <row r="3842" spans="1:10" x14ac:dyDescent="0.25">
      <c r="A3842" s="303"/>
      <c r="B3842" s="333" t="s">
        <v>346</v>
      </c>
      <c r="C3842" s="317"/>
      <c r="D3842" s="318"/>
      <c r="E3842" s="319"/>
      <c r="F3842" s="319"/>
      <c r="G3842" s="320"/>
      <c r="H3842" s="332"/>
      <c r="I3842" s="332"/>
      <c r="J3842" s="321"/>
    </row>
    <row r="3843" spans="1:10" x14ac:dyDescent="0.25">
      <c r="A3843" s="303"/>
      <c r="B3843" s="333" t="s">
        <v>346</v>
      </c>
      <c r="C3843" s="317"/>
      <c r="D3843" s="318"/>
      <c r="E3843" s="319"/>
      <c r="F3843" s="319"/>
      <c r="G3843" s="320"/>
      <c r="H3843" s="332"/>
      <c r="I3843" s="332"/>
      <c r="J3843" s="321"/>
    </row>
    <row r="3844" spans="1:10" x14ac:dyDescent="0.25">
      <c r="A3844" s="303"/>
      <c r="B3844" s="333" t="s">
        <v>346</v>
      </c>
      <c r="C3844" s="317"/>
      <c r="D3844" s="318"/>
      <c r="E3844" s="319"/>
      <c r="F3844" s="319"/>
      <c r="G3844" s="320"/>
      <c r="H3844" s="332"/>
      <c r="I3844" s="332"/>
      <c r="J3844" s="321"/>
    </row>
    <row r="3845" spans="1:10" x14ac:dyDescent="0.25">
      <c r="A3845" s="303"/>
      <c r="B3845" s="310"/>
      <c r="C3845" s="334"/>
      <c r="D3845" s="312"/>
      <c r="E3845" s="313"/>
      <c r="F3845" s="313"/>
      <c r="G3845" s="313"/>
      <c r="H3845" s="343"/>
      <c r="I3845" s="335" t="s">
        <v>498</v>
      </c>
      <c r="J3845" s="315">
        <v>1714.3539000000001</v>
      </c>
    </row>
    <row r="3846" spans="1:10" x14ac:dyDescent="0.25">
      <c r="A3846" s="303"/>
      <c r="B3846" s="310" t="s">
        <v>464</v>
      </c>
      <c r="C3846" s="311" t="s">
        <v>499</v>
      </c>
      <c r="D3846" s="312"/>
      <c r="E3846" s="313"/>
      <c r="F3846" s="313"/>
      <c r="G3846" s="314" t="s">
        <v>465</v>
      </c>
      <c r="H3846" s="336" t="s">
        <v>468</v>
      </c>
      <c r="I3846" s="336" t="s">
        <v>491</v>
      </c>
      <c r="J3846" s="322" t="s">
        <v>492</v>
      </c>
    </row>
    <row r="3847" spans="1:10" x14ac:dyDescent="0.25">
      <c r="A3847" s="303"/>
      <c r="B3847" s="337"/>
      <c r="C3847" s="311"/>
      <c r="D3847" s="312"/>
      <c r="E3847" s="313"/>
      <c r="F3847" s="313"/>
      <c r="G3847" s="314"/>
      <c r="H3847" s="329"/>
      <c r="I3847" s="329"/>
      <c r="J3847" s="315"/>
    </row>
    <row r="3848" spans="1:10" x14ac:dyDescent="0.25">
      <c r="A3848" s="303"/>
      <c r="B3848" s="333"/>
      <c r="C3848" s="317"/>
      <c r="D3848" s="318"/>
      <c r="E3848" s="319"/>
      <c r="F3848" s="319"/>
      <c r="G3848" s="320"/>
      <c r="H3848" s="332"/>
      <c r="I3848" s="332"/>
      <c r="J3848" s="321"/>
    </row>
    <row r="3849" spans="1:10" x14ac:dyDescent="0.25">
      <c r="A3849" s="303"/>
      <c r="B3849" s="333"/>
      <c r="C3849" s="317"/>
      <c r="D3849" s="318"/>
      <c r="E3849" s="319"/>
      <c r="F3849" s="319"/>
      <c r="G3849" s="320"/>
      <c r="H3849" s="332"/>
      <c r="I3849" s="332"/>
      <c r="J3849" s="321"/>
    </row>
    <row r="3850" spans="1:10" x14ac:dyDescent="0.25">
      <c r="A3850" s="303"/>
      <c r="B3850" s="333"/>
      <c r="C3850" s="317"/>
      <c r="D3850" s="318"/>
      <c r="E3850" s="319"/>
      <c r="F3850" s="319"/>
      <c r="G3850" s="320"/>
      <c r="H3850" s="332"/>
      <c r="I3850" s="332"/>
      <c r="J3850" s="321"/>
    </row>
    <row r="3851" spans="1:10" x14ac:dyDescent="0.25">
      <c r="A3851" s="303"/>
      <c r="B3851" s="333"/>
      <c r="C3851" s="317"/>
      <c r="D3851" s="318"/>
      <c r="E3851" s="319"/>
      <c r="F3851" s="319"/>
      <c r="G3851" s="320"/>
      <c r="H3851" s="332"/>
      <c r="I3851" s="332"/>
      <c r="J3851" s="321"/>
    </row>
    <row r="3852" spans="1:10" x14ac:dyDescent="0.25">
      <c r="A3852" s="303"/>
      <c r="B3852" s="310"/>
      <c r="C3852" s="334"/>
      <c r="D3852" s="312"/>
      <c r="E3852" s="313"/>
      <c r="F3852" s="313"/>
      <c r="G3852" s="313"/>
      <c r="H3852" s="343"/>
      <c r="I3852" s="335" t="s">
        <v>501</v>
      </c>
      <c r="J3852" s="315">
        <v>0</v>
      </c>
    </row>
    <row r="3853" spans="1:10" x14ac:dyDescent="0.25">
      <c r="A3853" s="303"/>
      <c r="B3853" s="310" t="s">
        <v>464</v>
      </c>
      <c r="C3853" s="311" t="s">
        <v>502</v>
      </c>
      <c r="D3853" s="312"/>
      <c r="E3853" s="313"/>
      <c r="F3853" s="314" t="s">
        <v>464</v>
      </c>
      <c r="G3853" s="324" t="s">
        <v>503</v>
      </c>
      <c r="H3853" s="329" t="s">
        <v>465</v>
      </c>
      <c r="I3853" s="336" t="s">
        <v>468</v>
      </c>
      <c r="J3853" s="322" t="s">
        <v>492</v>
      </c>
    </row>
    <row r="3854" spans="1:10" x14ac:dyDescent="0.25">
      <c r="A3854" s="303"/>
      <c r="B3854" s="337" t="s">
        <v>346</v>
      </c>
      <c r="C3854" s="311"/>
      <c r="D3854" s="312"/>
      <c r="E3854" s="313"/>
      <c r="F3854" s="314"/>
      <c r="G3854" s="314"/>
      <c r="H3854" s="329"/>
      <c r="I3854" s="329"/>
      <c r="J3854" s="315"/>
    </row>
    <row r="3855" spans="1:10" x14ac:dyDescent="0.25">
      <c r="A3855" s="303"/>
      <c r="B3855" s="333" t="s">
        <v>346</v>
      </c>
      <c r="C3855" s="317"/>
      <c r="D3855" s="318"/>
      <c r="E3855" s="319"/>
      <c r="F3855" s="320"/>
      <c r="G3855" s="320"/>
      <c r="H3855" s="332"/>
      <c r="I3855" s="332"/>
      <c r="J3855" s="321"/>
    </row>
    <row r="3856" spans="1:10" x14ac:dyDescent="0.25">
      <c r="A3856" s="303"/>
      <c r="B3856" s="333" t="s">
        <v>346</v>
      </c>
      <c r="C3856" s="317"/>
      <c r="D3856" s="318"/>
      <c r="E3856" s="319"/>
      <c r="F3856" s="320"/>
      <c r="G3856" s="320"/>
      <c r="H3856" s="332"/>
      <c r="I3856" s="332"/>
      <c r="J3856" s="321"/>
    </row>
    <row r="3857" spans="1:10" x14ac:dyDescent="0.25">
      <c r="A3857" s="303"/>
      <c r="B3857" s="333" t="s">
        <v>346</v>
      </c>
      <c r="C3857" s="317"/>
      <c r="D3857" s="318"/>
      <c r="E3857" s="319"/>
      <c r="F3857" s="320"/>
      <c r="G3857" s="320"/>
      <c r="H3857" s="332"/>
      <c r="I3857" s="332"/>
      <c r="J3857" s="321"/>
    </row>
    <row r="3858" spans="1:10" x14ac:dyDescent="0.25">
      <c r="A3858" s="303"/>
      <c r="B3858" s="333" t="s">
        <v>346</v>
      </c>
      <c r="C3858" s="317"/>
      <c r="D3858" s="318"/>
      <c r="E3858" s="319"/>
      <c r="F3858" s="320"/>
      <c r="G3858" s="320"/>
      <c r="H3858" s="332"/>
      <c r="I3858" s="332"/>
      <c r="J3858" s="321"/>
    </row>
    <row r="3859" spans="1:10" x14ac:dyDescent="0.25">
      <c r="A3859" s="303"/>
      <c r="B3859" s="310"/>
      <c r="C3859" s="334"/>
      <c r="D3859" s="312"/>
      <c r="E3859" s="313"/>
      <c r="F3859" s="313"/>
      <c r="G3859" s="313"/>
      <c r="H3859" s="343"/>
      <c r="I3859" s="338" t="s">
        <v>507</v>
      </c>
      <c r="J3859" s="315">
        <v>0</v>
      </c>
    </row>
    <row r="3860" spans="1:10" x14ac:dyDescent="0.25">
      <c r="A3860" s="303"/>
      <c r="B3860" s="310" t="s">
        <v>464</v>
      </c>
      <c r="C3860" s="311" t="s">
        <v>508</v>
      </c>
      <c r="D3860" s="345" t="s">
        <v>509</v>
      </c>
      <c r="E3860" s="324" t="s">
        <v>873</v>
      </c>
      <c r="F3860" s="324" t="s">
        <v>874</v>
      </c>
      <c r="G3860" s="324" t="s">
        <v>875</v>
      </c>
      <c r="H3860" s="336" t="s">
        <v>468</v>
      </c>
      <c r="I3860" s="324" t="s">
        <v>491</v>
      </c>
      <c r="J3860" s="322" t="s">
        <v>492</v>
      </c>
    </row>
    <row r="3861" spans="1:10" x14ac:dyDescent="0.25">
      <c r="A3861" s="303"/>
      <c r="B3861" s="337" t="s">
        <v>346</v>
      </c>
      <c r="C3861" s="311"/>
      <c r="D3861" s="345"/>
      <c r="E3861" s="314"/>
      <c r="F3861" s="314"/>
      <c r="G3861" s="314"/>
      <c r="H3861" s="329"/>
      <c r="I3861" s="314"/>
      <c r="J3861" s="315"/>
    </row>
    <row r="3862" spans="1:10" x14ac:dyDescent="0.25">
      <c r="A3862" s="303"/>
      <c r="B3862" s="333" t="s">
        <v>346</v>
      </c>
      <c r="C3862" s="317"/>
      <c r="D3862" s="346"/>
      <c r="E3862" s="320"/>
      <c r="F3862" s="320"/>
      <c r="G3862" s="320"/>
      <c r="H3862" s="332"/>
      <c r="I3862" s="320"/>
      <c r="J3862" s="321"/>
    </row>
    <row r="3863" spans="1:10" x14ac:dyDescent="0.25">
      <c r="A3863" s="303"/>
      <c r="B3863" s="333" t="s">
        <v>346</v>
      </c>
      <c r="C3863" s="317"/>
      <c r="D3863" s="346"/>
      <c r="E3863" s="320"/>
      <c r="F3863" s="320"/>
      <c r="G3863" s="320"/>
      <c r="H3863" s="332"/>
      <c r="I3863" s="320"/>
      <c r="J3863" s="321"/>
    </row>
    <row r="3864" spans="1:10" x14ac:dyDescent="0.25">
      <c r="A3864" s="303"/>
      <c r="B3864" s="333" t="s">
        <v>346</v>
      </c>
      <c r="C3864" s="317"/>
      <c r="D3864" s="346"/>
      <c r="E3864" s="320"/>
      <c r="F3864" s="320"/>
      <c r="G3864" s="320"/>
      <c r="H3864" s="332"/>
      <c r="I3864" s="320"/>
      <c r="J3864" s="321"/>
    </row>
    <row r="3865" spans="1:10" x14ac:dyDescent="0.25">
      <c r="A3865" s="303"/>
      <c r="B3865" s="333" t="s">
        <v>346</v>
      </c>
      <c r="C3865" s="317"/>
      <c r="D3865" s="346"/>
      <c r="E3865" s="320"/>
      <c r="F3865" s="320"/>
      <c r="G3865" s="320"/>
      <c r="H3865" s="332"/>
      <c r="I3865" s="320"/>
      <c r="J3865" s="321"/>
    </row>
    <row r="3866" spans="1:10" x14ac:dyDescent="0.25">
      <c r="A3866" s="303"/>
      <c r="B3866" s="333" t="s">
        <v>346</v>
      </c>
      <c r="C3866" s="317"/>
      <c r="D3866" s="346"/>
      <c r="E3866" s="320"/>
      <c r="F3866" s="320"/>
      <c r="G3866" s="320"/>
      <c r="H3866" s="332"/>
      <c r="I3866" s="320"/>
      <c r="J3866" s="321"/>
    </row>
    <row r="3867" spans="1:10" x14ac:dyDescent="0.25">
      <c r="A3867" s="303"/>
      <c r="B3867" s="333" t="s">
        <v>346</v>
      </c>
      <c r="C3867" s="317"/>
      <c r="D3867" s="346"/>
      <c r="E3867" s="320"/>
      <c r="F3867" s="320"/>
      <c r="G3867" s="320"/>
      <c r="H3867" s="332"/>
      <c r="I3867" s="320"/>
      <c r="J3867" s="321"/>
    </row>
    <row r="3868" spans="1:10" x14ac:dyDescent="0.25">
      <c r="A3868" s="303"/>
      <c r="B3868" s="310"/>
      <c r="C3868" s="334"/>
      <c r="D3868" s="312"/>
      <c r="E3868" s="313"/>
      <c r="F3868" s="313"/>
      <c r="G3868" s="313"/>
      <c r="H3868" s="313"/>
      <c r="I3868" s="338" t="s">
        <v>513</v>
      </c>
      <c r="J3868" s="315">
        <v>0</v>
      </c>
    </row>
    <row r="3869" spans="1:10" x14ac:dyDescent="0.25">
      <c r="A3869" s="303"/>
      <c r="B3869" s="310" t="s">
        <v>514</v>
      </c>
      <c r="C3869" s="334"/>
      <c r="D3869" s="312"/>
      <c r="E3869" s="313"/>
      <c r="F3869" s="313"/>
      <c r="G3869" s="313"/>
      <c r="H3869" s="313"/>
      <c r="I3869" s="313"/>
      <c r="J3869" s="315">
        <v>10468.0404</v>
      </c>
    </row>
    <row r="3870" spans="1:10" x14ac:dyDescent="0.25">
      <c r="A3870" s="303"/>
      <c r="B3870" s="310" t="s">
        <v>515</v>
      </c>
      <c r="C3870" s="334"/>
      <c r="D3870" s="312">
        <v>0</v>
      </c>
      <c r="E3870" s="313"/>
      <c r="F3870" s="313"/>
      <c r="G3870" s="313"/>
      <c r="H3870" s="313"/>
      <c r="I3870" s="313"/>
      <c r="J3870" s="315">
        <v>0</v>
      </c>
    </row>
    <row r="3871" spans="1:10" ht="14.4" thickBot="1" x14ac:dyDescent="0.3">
      <c r="A3871" s="303"/>
      <c r="B3871" s="310" t="s">
        <v>516</v>
      </c>
      <c r="C3871" s="334"/>
      <c r="D3871" s="312"/>
      <c r="E3871" s="313"/>
      <c r="F3871" s="313"/>
      <c r="G3871" s="313"/>
      <c r="H3871" s="313"/>
      <c r="I3871" s="313"/>
      <c r="J3871" s="347">
        <v>10468.040000000001</v>
      </c>
    </row>
    <row r="3872" spans="1:10" x14ac:dyDescent="0.25">
      <c r="A3872" s="303"/>
      <c r="B3872" s="304"/>
      <c r="C3872" s="305"/>
      <c r="D3872" s="348"/>
      <c r="E3872" s="308"/>
      <c r="F3872" s="308"/>
      <c r="G3872" s="308"/>
      <c r="H3872" s="308"/>
      <c r="I3872" s="308"/>
      <c r="J3872" s="309"/>
    </row>
    <row r="3873" spans="1:10" x14ac:dyDescent="0.25">
      <c r="A3873" s="303"/>
      <c r="B3873" s="316"/>
      <c r="C3873" s="299"/>
      <c r="D3873" s="355"/>
      <c r="E3873" s="356"/>
      <c r="F3873" s="356"/>
      <c r="G3873" s="356"/>
      <c r="H3873" s="356"/>
      <c r="I3873" s="356"/>
      <c r="J3873" s="349"/>
    </row>
    <row r="3874" spans="1:10" x14ac:dyDescent="0.25">
      <c r="A3874" s="303"/>
      <c r="B3874" s="316"/>
      <c r="C3874" s="299"/>
      <c r="D3874" s="355"/>
      <c r="E3874" s="356"/>
      <c r="F3874" s="356"/>
      <c r="G3874" s="356"/>
      <c r="H3874" s="356"/>
      <c r="I3874" s="356"/>
      <c r="J3874" s="349"/>
    </row>
    <row r="3875" spans="1:10" ht="14.4" thickBot="1" x14ac:dyDescent="0.3">
      <c r="A3875" s="303"/>
      <c r="B3875" s="350"/>
      <c r="C3875" s="357"/>
      <c r="D3875" s="358"/>
      <c r="E3875" s="359"/>
      <c r="F3875" s="359"/>
      <c r="G3875" s="359"/>
      <c r="H3875" s="359"/>
      <c r="I3875" s="359"/>
      <c r="J3875" s="351"/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C2127-AAF9-4C1F-B18D-096E1B2834BE}">
  <sheetPr>
    <tabColor rgb="FF00B050"/>
  </sheetPr>
  <dimension ref="A1:AY414"/>
  <sheetViews>
    <sheetView showGridLines="0" zoomScale="80" zoomScaleNormal="80" workbookViewId="0">
      <pane xSplit="2" ySplit="7" topLeftCell="C8" activePane="bottomRight" state="frozen"/>
      <selection pane="topRight"/>
      <selection pane="bottomLeft"/>
      <selection pane="bottomRight"/>
    </sheetView>
  </sheetViews>
  <sheetFormatPr defaultRowHeight="13.8" outlineLevelRow="2" x14ac:dyDescent="0.25"/>
  <cols>
    <col min="2" max="2" width="109" customWidth="1"/>
    <col min="4" max="4" width="16.125" bestFit="1" customWidth="1"/>
    <col min="5" max="33" width="15.75" bestFit="1" customWidth="1"/>
    <col min="34" max="34" width="15.75" customWidth="1"/>
    <col min="36" max="36" width="14.75" bestFit="1" customWidth="1"/>
  </cols>
  <sheetData>
    <row r="1" spans="1:51" s="1" customFormat="1" ht="17.399999999999999" x14ac:dyDescent="0.25">
      <c r="B1" s="2" t="s">
        <v>0</v>
      </c>
      <c r="C1" s="3"/>
      <c r="D1" s="2" t="s">
        <v>1</v>
      </c>
      <c r="E1" s="4"/>
    </row>
    <row r="2" spans="1:51" s="1" customFormat="1" ht="15" x14ac:dyDescent="0.25">
      <c r="B2" s="5" t="s">
        <v>2</v>
      </c>
      <c r="C2" s="5"/>
      <c r="D2" s="248"/>
    </row>
    <row r="3" spans="1:51" s="1" customFormat="1" x14ac:dyDescent="0.25"/>
    <row r="4" spans="1:51" ht="14.4" x14ac:dyDescent="0.3">
      <c r="A4" s="392" t="s">
        <v>3</v>
      </c>
      <c r="B4" s="392" t="s">
        <v>4</v>
      </c>
      <c r="C4" s="393" t="s">
        <v>5</v>
      </c>
      <c r="D4" s="396" t="s">
        <v>6</v>
      </c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6"/>
    </row>
    <row r="5" spans="1:51" ht="14.4" x14ac:dyDescent="0.3">
      <c r="A5" s="392"/>
      <c r="B5" s="392"/>
      <c r="C5" s="394"/>
      <c r="D5" s="397">
        <v>1</v>
      </c>
      <c r="E5" s="397">
        <v>2</v>
      </c>
      <c r="F5" s="397">
        <v>3</v>
      </c>
      <c r="G5" s="397">
        <v>4</v>
      </c>
      <c r="H5" s="397">
        <v>5</v>
      </c>
      <c r="I5" s="397">
        <v>6</v>
      </c>
      <c r="J5" s="391">
        <v>7</v>
      </c>
      <c r="K5" s="391">
        <v>8</v>
      </c>
      <c r="L5" s="391">
        <v>9</v>
      </c>
      <c r="M5" s="391">
        <v>10</v>
      </c>
      <c r="N5" s="391">
        <v>11</v>
      </c>
      <c r="O5" s="391">
        <v>12</v>
      </c>
      <c r="P5" s="391">
        <v>13</v>
      </c>
      <c r="Q5" s="391">
        <v>14</v>
      </c>
      <c r="R5" s="391">
        <v>15</v>
      </c>
      <c r="S5" s="391">
        <v>16</v>
      </c>
      <c r="T5" s="391">
        <v>17</v>
      </c>
      <c r="U5" s="391">
        <v>18</v>
      </c>
      <c r="V5" s="391">
        <v>19</v>
      </c>
      <c r="W5" s="391">
        <v>20</v>
      </c>
      <c r="X5" s="391">
        <v>21</v>
      </c>
      <c r="Y5" s="391">
        <v>22</v>
      </c>
      <c r="Z5" s="391">
        <v>23</v>
      </c>
      <c r="AA5" s="391">
        <v>24</v>
      </c>
      <c r="AB5" s="391">
        <v>25</v>
      </c>
      <c r="AC5" s="391">
        <v>26</v>
      </c>
      <c r="AD5" s="391">
        <v>27</v>
      </c>
      <c r="AE5" s="391">
        <v>28</v>
      </c>
      <c r="AF5" s="391">
        <v>29</v>
      </c>
      <c r="AG5" s="391">
        <v>30</v>
      </c>
      <c r="AH5" s="6"/>
    </row>
    <row r="6" spans="1:51" ht="14.4" x14ac:dyDescent="0.3">
      <c r="A6" s="392"/>
      <c r="B6" s="392"/>
      <c r="C6" s="394"/>
      <c r="D6" s="398"/>
      <c r="E6" s="398"/>
      <c r="F6" s="398"/>
      <c r="G6" s="398"/>
      <c r="H6" s="398"/>
      <c r="I6" s="398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391"/>
      <c r="AF6" s="391"/>
      <c r="AG6" s="391"/>
      <c r="AH6" s="6"/>
    </row>
    <row r="7" spans="1:51" ht="14.4" x14ac:dyDescent="0.3">
      <c r="A7" s="392"/>
      <c r="B7" s="392"/>
      <c r="C7" s="395"/>
      <c r="D7" s="7">
        <v>12</v>
      </c>
      <c r="E7" s="7">
        <v>24</v>
      </c>
      <c r="F7" s="7">
        <v>36</v>
      </c>
      <c r="G7" s="7">
        <v>48</v>
      </c>
      <c r="H7" s="7">
        <v>60</v>
      </c>
      <c r="I7" s="7">
        <v>72</v>
      </c>
      <c r="J7" s="7">
        <v>84</v>
      </c>
      <c r="K7" s="7">
        <v>96</v>
      </c>
      <c r="L7" s="7">
        <v>108</v>
      </c>
      <c r="M7" s="7">
        <v>120</v>
      </c>
      <c r="N7" s="7">
        <v>132</v>
      </c>
      <c r="O7" s="7">
        <v>144</v>
      </c>
      <c r="P7" s="7">
        <v>156</v>
      </c>
      <c r="Q7" s="7">
        <v>168</v>
      </c>
      <c r="R7" s="7">
        <v>180</v>
      </c>
      <c r="S7" s="7">
        <v>192</v>
      </c>
      <c r="T7" s="7">
        <v>204</v>
      </c>
      <c r="U7" s="7">
        <v>216</v>
      </c>
      <c r="V7" s="7">
        <v>228</v>
      </c>
      <c r="W7" s="7">
        <v>240</v>
      </c>
      <c r="X7" s="7">
        <v>252</v>
      </c>
      <c r="Y7" s="7">
        <v>264</v>
      </c>
      <c r="Z7" s="7">
        <v>276</v>
      </c>
      <c r="AA7" s="7">
        <v>288</v>
      </c>
      <c r="AB7" s="7">
        <v>300</v>
      </c>
      <c r="AC7" s="7">
        <v>312</v>
      </c>
      <c r="AD7" s="7">
        <v>324</v>
      </c>
      <c r="AE7" s="7">
        <v>336</v>
      </c>
      <c r="AF7" s="7">
        <v>348</v>
      </c>
      <c r="AG7" s="7">
        <v>360</v>
      </c>
      <c r="AH7" s="6"/>
    </row>
    <row r="8" spans="1:51" ht="14.4" x14ac:dyDescent="0.25">
      <c r="A8" s="389" t="s">
        <v>7</v>
      </c>
      <c r="B8" s="390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10"/>
    </row>
    <row r="9" spans="1:51" ht="14.4" x14ac:dyDescent="0.25">
      <c r="A9" s="385" t="s">
        <v>8</v>
      </c>
      <c r="B9" s="386"/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3" t="s">
        <v>9</v>
      </c>
      <c r="AJ9" s="14"/>
      <c r="AK9" s="14"/>
    </row>
    <row r="10" spans="1:51" ht="14.4" x14ac:dyDescent="0.3">
      <c r="A10" s="15">
        <v>1</v>
      </c>
      <c r="B10" s="16" t="s">
        <v>10</v>
      </c>
      <c r="C10" s="16" t="s">
        <v>11</v>
      </c>
      <c r="D10" s="17">
        <f t="shared" ref="D10:AH10" si="0">SUM(D11:D22)</f>
        <v>401</v>
      </c>
      <c r="E10" s="17">
        <f t="shared" si="0"/>
        <v>401</v>
      </c>
      <c r="F10" s="17">
        <f t="shared" si="0"/>
        <v>401</v>
      </c>
      <c r="G10" s="17">
        <f t="shared" si="0"/>
        <v>401</v>
      </c>
      <c r="H10" s="17">
        <f t="shared" si="0"/>
        <v>398.5</v>
      </c>
      <c r="I10" s="17">
        <f t="shared" si="0"/>
        <v>398.5</v>
      </c>
      <c r="J10" s="17">
        <f t="shared" si="0"/>
        <v>398.5</v>
      </c>
      <c r="K10" s="17">
        <f t="shared" si="0"/>
        <v>398.5</v>
      </c>
      <c r="L10" s="17">
        <f t="shared" si="0"/>
        <v>398.5</v>
      </c>
      <c r="M10" s="17">
        <f t="shared" si="0"/>
        <v>398.5</v>
      </c>
      <c r="N10" s="17">
        <f t="shared" si="0"/>
        <v>398.5</v>
      </c>
      <c r="O10" s="17">
        <f t="shared" si="0"/>
        <v>398.5</v>
      </c>
      <c r="P10" s="17">
        <f t="shared" si="0"/>
        <v>398.5</v>
      </c>
      <c r="Q10" s="17">
        <f t="shared" si="0"/>
        <v>398.5</v>
      </c>
      <c r="R10" s="17">
        <f t="shared" si="0"/>
        <v>398.5</v>
      </c>
      <c r="S10" s="17">
        <f t="shared" si="0"/>
        <v>398.5</v>
      </c>
      <c r="T10" s="17">
        <f t="shared" si="0"/>
        <v>398.5</v>
      </c>
      <c r="U10" s="17">
        <f t="shared" si="0"/>
        <v>398.5</v>
      </c>
      <c r="V10" s="17">
        <f t="shared" si="0"/>
        <v>398.5</v>
      </c>
      <c r="W10" s="17">
        <f t="shared" si="0"/>
        <v>398.5</v>
      </c>
      <c r="X10" s="17">
        <f t="shared" si="0"/>
        <v>398.5</v>
      </c>
      <c r="Y10" s="17">
        <f t="shared" si="0"/>
        <v>398.5</v>
      </c>
      <c r="Z10" s="17">
        <f t="shared" si="0"/>
        <v>398.5</v>
      </c>
      <c r="AA10" s="17">
        <f t="shared" si="0"/>
        <v>398.5</v>
      </c>
      <c r="AB10" s="17">
        <f t="shared" si="0"/>
        <v>398.5</v>
      </c>
      <c r="AC10" s="17">
        <f t="shared" si="0"/>
        <v>398.5</v>
      </c>
      <c r="AD10" s="17">
        <f t="shared" si="0"/>
        <v>398.5</v>
      </c>
      <c r="AE10" s="17">
        <f t="shared" si="0"/>
        <v>398.5</v>
      </c>
      <c r="AF10" s="17">
        <f t="shared" si="0"/>
        <v>398.5</v>
      </c>
      <c r="AG10" s="17">
        <f t="shared" si="0"/>
        <v>398.5</v>
      </c>
      <c r="AH10" s="17">
        <f t="shared" si="0"/>
        <v>11965</v>
      </c>
      <c r="AI10" s="18"/>
      <c r="AJ10" s="19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</row>
    <row r="11" spans="1:51" outlineLevel="1" x14ac:dyDescent="0.25">
      <c r="A11" s="21" t="s">
        <v>12</v>
      </c>
      <c r="B11" s="22" t="s">
        <v>13</v>
      </c>
      <c r="C11" s="22" t="s">
        <v>14</v>
      </c>
      <c r="D11" s="25">
        <f>(21.7-0)*2</f>
        <v>43.4</v>
      </c>
      <c r="E11" s="25">
        <f t="shared" ref="E11:AG11" si="1">(21.7-0)*2</f>
        <v>43.4</v>
      </c>
      <c r="F11" s="25">
        <f t="shared" si="1"/>
        <v>43.4</v>
      </c>
      <c r="G11" s="25">
        <f t="shared" si="1"/>
        <v>43.4</v>
      </c>
      <c r="H11" s="25">
        <f t="shared" si="1"/>
        <v>43.4</v>
      </c>
      <c r="I11" s="25">
        <f t="shared" si="1"/>
        <v>43.4</v>
      </c>
      <c r="J11" s="25">
        <f t="shared" si="1"/>
        <v>43.4</v>
      </c>
      <c r="K11" s="25">
        <f t="shared" si="1"/>
        <v>43.4</v>
      </c>
      <c r="L11" s="25">
        <f t="shared" si="1"/>
        <v>43.4</v>
      </c>
      <c r="M11" s="25">
        <f t="shared" si="1"/>
        <v>43.4</v>
      </c>
      <c r="N11" s="25">
        <f t="shared" si="1"/>
        <v>43.4</v>
      </c>
      <c r="O11" s="25">
        <f t="shared" si="1"/>
        <v>43.4</v>
      </c>
      <c r="P11" s="25">
        <f t="shared" si="1"/>
        <v>43.4</v>
      </c>
      <c r="Q11" s="25">
        <f t="shared" si="1"/>
        <v>43.4</v>
      </c>
      <c r="R11" s="25">
        <f t="shared" si="1"/>
        <v>43.4</v>
      </c>
      <c r="S11" s="25">
        <f t="shared" si="1"/>
        <v>43.4</v>
      </c>
      <c r="T11" s="25">
        <f t="shared" si="1"/>
        <v>43.4</v>
      </c>
      <c r="U11" s="25">
        <f t="shared" si="1"/>
        <v>43.4</v>
      </c>
      <c r="V11" s="25">
        <f t="shared" si="1"/>
        <v>43.4</v>
      </c>
      <c r="W11" s="25">
        <f t="shared" si="1"/>
        <v>43.4</v>
      </c>
      <c r="X11" s="25">
        <f t="shared" si="1"/>
        <v>43.4</v>
      </c>
      <c r="Y11" s="25">
        <f t="shared" si="1"/>
        <v>43.4</v>
      </c>
      <c r="Z11" s="25">
        <f t="shared" si="1"/>
        <v>43.4</v>
      </c>
      <c r="AA11" s="25">
        <f t="shared" si="1"/>
        <v>43.4</v>
      </c>
      <c r="AB11" s="25">
        <f t="shared" si="1"/>
        <v>43.4</v>
      </c>
      <c r="AC11" s="25">
        <f t="shared" si="1"/>
        <v>43.4</v>
      </c>
      <c r="AD11" s="25">
        <f t="shared" si="1"/>
        <v>43.4</v>
      </c>
      <c r="AE11" s="25">
        <f t="shared" si="1"/>
        <v>43.4</v>
      </c>
      <c r="AF11" s="25">
        <f t="shared" si="1"/>
        <v>43.4</v>
      </c>
      <c r="AG11" s="25">
        <f t="shared" si="1"/>
        <v>43.4</v>
      </c>
      <c r="AH11" s="25">
        <f t="shared" ref="AH11:AH22" si="2">SUM(D11:AG11)</f>
        <v>1302.0000000000002</v>
      </c>
      <c r="AI11" s="20"/>
      <c r="AJ11" s="18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</row>
    <row r="12" spans="1:51" outlineLevel="2" x14ac:dyDescent="0.25">
      <c r="A12" s="21" t="s">
        <v>15</v>
      </c>
      <c r="B12" s="22" t="s">
        <v>16</v>
      </c>
      <c r="C12" s="22" t="s">
        <v>14</v>
      </c>
      <c r="D12" s="25">
        <f>(52.9-21.7)*2</f>
        <v>62.4</v>
      </c>
      <c r="E12" s="25">
        <f t="shared" ref="E12:AG12" si="3">(52.9-21.7)*2</f>
        <v>62.4</v>
      </c>
      <c r="F12" s="25">
        <f t="shared" si="3"/>
        <v>62.4</v>
      </c>
      <c r="G12" s="25">
        <f t="shared" si="3"/>
        <v>62.4</v>
      </c>
      <c r="H12" s="25">
        <f t="shared" si="3"/>
        <v>62.4</v>
      </c>
      <c r="I12" s="25">
        <f t="shared" si="3"/>
        <v>62.4</v>
      </c>
      <c r="J12" s="25">
        <f t="shared" si="3"/>
        <v>62.4</v>
      </c>
      <c r="K12" s="25">
        <f t="shared" si="3"/>
        <v>62.4</v>
      </c>
      <c r="L12" s="25">
        <f t="shared" si="3"/>
        <v>62.4</v>
      </c>
      <c r="M12" s="25">
        <f t="shared" si="3"/>
        <v>62.4</v>
      </c>
      <c r="N12" s="25">
        <f t="shared" si="3"/>
        <v>62.4</v>
      </c>
      <c r="O12" s="25">
        <f t="shared" si="3"/>
        <v>62.4</v>
      </c>
      <c r="P12" s="25">
        <f t="shared" si="3"/>
        <v>62.4</v>
      </c>
      <c r="Q12" s="25">
        <f t="shared" si="3"/>
        <v>62.4</v>
      </c>
      <c r="R12" s="25">
        <f t="shared" si="3"/>
        <v>62.4</v>
      </c>
      <c r="S12" s="25">
        <f t="shared" si="3"/>
        <v>62.4</v>
      </c>
      <c r="T12" s="25">
        <f t="shared" si="3"/>
        <v>62.4</v>
      </c>
      <c r="U12" s="25">
        <f t="shared" si="3"/>
        <v>62.4</v>
      </c>
      <c r="V12" s="25">
        <f t="shared" si="3"/>
        <v>62.4</v>
      </c>
      <c r="W12" s="25">
        <f t="shared" si="3"/>
        <v>62.4</v>
      </c>
      <c r="X12" s="25">
        <f t="shared" si="3"/>
        <v>62.4</v>
      </c>
      <c r="Y12" s="25">
        <f t="shared" si="3"/>
        <v>62.4</v>
      </c>
      <c r="Z12" s="25">
        <f t="shared" si="3"/>
        <v>62.4</v>
      </c>
      <c r="AA12" s="25">
        <f t="shared" si="3"/>
        <v>62.4</v>
      </c>
      <c r="AB12" s="25">
        <f t="shared" si="3"/>
        <v>62.4</v>
      </c>
      <c r="AC12" s="25">
        <f t="shared" si="3"/>
        <v>62.4</v>
      </c>
      <c r="AD12" s="25">
        <f t="shared" si="3"/>
        <v>62.4</v>
      </c>
      <c r="AE12" s="25">
        <f t="shared" si="3"/>
        <v>62.4</v>
      </c>
      <c r="AF12" s="25">
        <f t="shared" si="3"/>
        <v>62.4</v>
      </c>
      <c r="AG12" s="25">
        <f t="shared" si="3"/>
        <v>62.4</v>
      </c>
      <c r="AH12" s="25">
        <f t="shared" si="2"/>
        <v>1872.0000000000009</v>
      </c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</row>
    <row r="13" spans="1:51" outlineLevel="2" x14ac:dyDescent="0.25">
      <c r="A13" s="21" t="s">
        <v>17</v>
      </c>
      <c r="B13" s="22" t="s">
        <v>18</v>
      </c>
      <c r="C13" s="22" t="s">
        <v>14</v>
      </c>
      <c r="D13" s="25">
        <f>(75.1-52.9)*2</f>
        <v>44.399999999999991</v>
      </c>
      <c r="E13" s="25">
        <f t="shared" ref="E13:AG13" si="4">(75.1-52.9)*2</f>
        <v>44.399999999999991</v>
      </c>
      <c r="F13" s="25">
        <f t="shared" si="4"/>
        <v>44.399999999999991</v>
      </c>
      <c r="G13" s="25">
        <f t="shared" si="4"/>
        <v>44.399999999999991</v>
      </c>
      <c r="H13" s="25">
        <f t="shared" si="4"/>
        <v>44.399999999999991</v>
      </c>
      <c r="I13" s="25">
        <f t="shared" si="4"/>
        <v>44.399999999999991</v>
      </c>
      <c r="J13" s="25">
        <f t="shared" si="4"/>
        <v>44.399999999999991</v>
      </c>
      <c r="K13" s="25">
        <f t="shared" si="4"/>
        <v>44.399999999999991</v>
      </c>
      <c r="L13" s="25">
        <f t="shared" si="4"/>
        <v>44.399999999999991</v>
      </c>
      <c r="M13" s="25">
        <f t="shared" si="4"/>
        <v>44.399999999999991</v>
      </c>
      <c r="N13" s="25">
        <f t="shared" si="4"/>
        <v>44.399999999999991</v>
      </c>
      <c r="O13" s="25">
        <f t="shared" si="4"/>
        <v>44.399999999999991</v>
      </c>
      <c r="P13" s="25">
        <f t="shared" si="4"/>
        <v>44.399999999999991</v>
      </c>
      <c r="Q13" s="25">
        <f t="shared" si="4"/>
        <v>44.399999999999991</v>
      </c>
      <c r="R13" s="25">
        <f t="shared" si="4"/>
        <v>44.399999999999991</v>
      </c>
      <c r="S13" s="25">
        <f t="shared" si="4"/>
        <v>44.399999999999991</v>
      </c>
      <c r="T13" s="25">
        <f t="shared" si="4"/>
        <v>44.399999999999991</v>
      </c>
      <c r="U13" s="25">
        <f t="shared" si="4"/>
        <v>44.399999999999991</v>
      </c>
      <c r="V13" s="25">
        <f t="shared" si="4"/>
        <v>44.399999999999991</v>
      </c>
      <c r="W13" s="25">
        <f t="shared" si="4"/>
        <v>44.399999999999991</v>
      </c>
      <c r="X13" s="25">
        <f t="shared" si="4"/>
        <v>44.399999999999991</v>
      </c>
      <c r="Y13" s="25">
        <f t="shared" si="4"/>
        <v>44.399999999999991</v>
      </c>
      <c r="Z13" s="25">
        <f t="shared" si="4"/>
        <v>44.399999999999991</v>
      </c>
      <c r="AA13" s="25">
        <f t="shared" si="4"/>
        <v>44.399999999999991</v>
      </c>
      <c r="AB13" s="25">
        <f t="shared" si="4"/>
        <v>44.399999999999991</v>
      </c>
      <c r="AC13" s="25">
        <f t="shared" si="4"/>
        <v>44.399999999999991</v>
      </c>
      <c r="AD13" s="25">
        <f t="shared" si="4"/>
        <v>44.399999999999991</v>
      </c>
      <c r="AE13" s="25">
        <f t="shared" si="4"/>
        <v>44.399999999999991</v>
      </c>
      <c r="AF13" s="25">
        <f t="shared" si="4"/>
        <v>44.399999999999991</v>
      </c>
      <c r="AG13" s="25">
        <f t="shared" si="4"/>
        <v>44.399999999999991</v>
      </c>
      <c r="AH13" s="25">
        <f t="shared" si="2"/>
        <v>1332.0000000000002</v>
      </c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</row>
    <row r="14" spans="1:51" outlineLevel="2" x14ac:dyDescent="0.25">
      <c r="A14" s="21" t="s">
        <v>19</v>
      </c>
      <c r="B14" s="22" t="s">
        <v>20</v>
      </c>
      <c r="C14" s="22" t="s">
        <v>14</v>
      </c>
      <c r="D14" s="25">
        <f>(89.9-75.1)*2</f>
        <v>29.600000000000023</v>
      </c>
      <c r="E14" s="25">
        <f t="shared" ref="E14:AG14" si="5">(89.9-75.1)*2</f>
        <v>29.600000000000023</v>
      </c>
      <c r="F14" s="25">
        <f t="shared" si="5"/>
        <v>29.600000000000023</v>
      </c>
      <c r="G14" s="25">
        <f t="shared" si="5"/>
        <v>29.600000000000023</v>
      </c>
      <c r="H14" s="25">
        <f t="shared" si="5"/>
        <v>29.600000000000023</v>
      </c>
      <c r="I14" s="25">
        <f t="shared" si="5"/>
        <v>29.600000000000023</v>
      </c>
      <c r="J14" s="25">
        <f t="shared" si="5"/>
        <v>29.600000000000023</v>
      </c>
      <c r="K14" s="25">
        <f t="shared" si="5"/>
        <v>29.600000000000023</v>
      </c>
      <c r="L14" s="25">
        <f t="shared" si="5"/>
        <v>29.600000000000023</v>
      </c>
      <c r="M14" s="25">
        <f t="shared" si="5"/>
        <v>29.600000000000023</v>
      </c>
      <c r="N14" s="25">
        <f t="shared" si="5"/>
        <v>29.600000000000023</v>
      </c>
      <c r="O14" s="25">
        <f t="shared" si="5"/>
        <v>29.600000000000023</v>
      </c>
      <c r="P14" s="25">
        <f t="shared" si="5"/>
        <v>29.600000000000023</v>
      </c>
      <c r="Q14" s="25">
        <f t="shared" si="5"/>
        <v>29.600000000000023</v>
      </c>
      <c r="R14" s="25">
        <f t="shared" si="5"/>
        <v>29.600000000000023</v>
      </c>
      <c r="S14" s="25">
        <f t="shared" si="5"/>
        <v>29.600000000000023</v>
      </c>
      <c r="T14" s="25">
        <f t="shared" si="5"/>
        <v>29.600000000000023</v>
      </c>
      <c r="U14" s="25">
        <f t="shared" si="5"/>
        <v>29.600000000000023</v>
      </c>
      <c r="V14" s="25">
        <f t="shared" si="5"/>
        <v>29.600000000000023</v>
      </c>
      <c r="W14" s="25">
        <f t="shared" si="5"/>
        <v>29.600000000000023</v>
      </c>
      <c r="X14" s="25">
        <f t="shared" si="5"/>
        <v>29.600000000000023</v>
      </c>
      <c r="Y14" s="25">
        <f t="shared" si="5"/>
        <v>29.600000000000023</v>
      </c>
      <c r="Z14" s="25">
        <f t="shared" si="5"/>
        <v>29.600000000000023</v>
      </c>
      <c r="AA14" s="25">
        <f t="shared" si="5"/>
        <v>29.600000000000023</v>
      </c>
      <c r="AB14" s="25">
        <f t="shared" si="5"/>
        <v>29.600000000000023</v>
      </c>
      <c r="AC14" s="25">
        <f t="shared" si="5"/>
        <v>29.600000000000023</v>
      </c>
      <c r="AD14" s="25">
        <f t="shared" si="5"/>
        <v>29.600000000000023</v>
      </c>
      <c r="AE14" s="25">
        <f t="shared" si="5"/>
        <v>29.600000000000023</v>
      </c>
      <c r="AF14" s="25">
        <f t="shared" si="5"/>
        <v>29.600000000000023</v>
      </c>
      <c r="AG14" s="25">
        <f t="shared" si="5"/>
        <v>29.600000000000023</v>
      </c>
      <c r="AH14" s="25">
        <f t="shared" si="2"/>
        <v>888.00000000000068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</row>
    <row r="15" spans="1:51" outlineLevel="2" x14ac:dyDescent="0.25">
      <c r="A15" s="21" t="s">
        <v>21</v>
      </c>
      <c r="B15" s="22" t="s">
        <v>22</v>
      </c>
      <c r="C15" s="22" t="s">
        <v>14</v>
      </c>
      <c r="D15" s="25">
        <f>(90.8-89.9)*2</f>
        <v>1.7999999999999829</v>
      </c>
      <c r="E15" s="25">
        <f t="shared" ref="E15:AG15" si="6">(90.8-89.9)*2</f>
        <v>1.7999999999999829</v>
      </c>
      <c r="F15" s="25">
        <f t="shared" si="6"/>
        <v>1.7999999999999829</v>
      </c>
      <c r="G15" s="25">
        <f t="shared" si="6"/>
        <v>1.7999999999999829</v>
      </c>
      <c r="H15" s="25">
        <f t="shared" si="6"/>
        <v>1.7999999999999829</v>
      </c>
      <c r="I15" s="25">
        <f t="shared" si="6"/>
        <v>1.7999999999999829</v>
      </c>
      <c r="J15" s="25">
        <f t="shared" si="6"/>
        <v>1.7999999999999829</v>
      </c>
      <c r="K15" s="25">
        <f t="shared" si="6"/>
        <v>1.7999999999999829</v>
      </c>
      <c r="L15" s="25">
        <f t="shared" si="6"/>
        <v>1.7999999999999829</v>
      </c>
      <c r="M15" s="25">
        <f t="shared" si="6"/>
        <v>1.7999999999999829</v>
      </c>
      <c r="N15" s="25">
        <f t="shared" si="6"/>
        <v>1.7999999999999829</v>
      </c>
      <c r="O15" s="25">
        <f t="shared" si="6"/>
        <v>1.7999999999999829</v>
      </c>
      <c r="P15" s="25">
        <f t="shared" si="6"/>
        <v>1.7999999999999829</v>
      </c>
      <c r="Q15" s="25">
        <f t="shared" si="6"/>
        <v>1.7999999999999829</v>
      </c>
      <c r="R15" s="25">
        <f t="shared" si="6"/>
        <v>1.7999999999999829</v>
      </c>
      <c r="S15" s="25">
        <f t="shared" si="6"/>
        <v>1.7999999999999829</v>
      </c>
      <c r="T15" s="25">
        <f t="shared" si="6"/>
        <v>1.7999999999999829</v>
      </c>
      <c r="U15" s="25">
        <f t="shared" si="6"/>
        <v>1.7999999999999829</v>
      </c>
      <c r="V15" s="25">
        <f t="shared" si="6"/>
        <v>1.7999999999999829</v>
      </c>
      <c r="W15" s="25">
        <f t="shared" si="6"/>
        <v>1.7999999999999829</v>
      </c>
      <c r="X15" s="25">
        <f t="shared" si="6"/>
        <v>1.7999999999999829</v>
      </c>
      <c r="Y15" s="25">
        <f t="shared" si="6"/>
        <v>1.7999999999999829</v>
      </c>
      <c r="Z15" s="25">
        <f t="shared" si="6"/>
        <v>1.7999999999999829</v>
      </c>
      <c r="AA15" s="25">
        <f t="shared" si="6"/>
        <v>1.7999999999999829</v>
      </c>
      <c r="AB15" s="25">
        <f t="shared" si="6"/>
        <v>1.7999999999999829</v>
      </c>
      <c r="AC15" s="25">
        <f t="shared" si="6"/>
        <v>1.7999999999999829</v>
      </c>
      <c r="AD15" s="25">
        <f t="shared" si="6"/>
        <v>1.7999999999999829</v>
      </c>
      <c r="AE15" s="25">
        <f t="shared" si="6"/>
        <v>1.7999999999999829</v>
      </c>
      <c r="AF15" s="25">
        <f t="shared" si="6"/>
        <v>1.7999999999999829</v>
      </c>
      <c r="AG15" s="25">
        <f t="shared" si="6"/>
        <v>1.7999999999999829</v>
      </c>
      <c r="AH15" s="25">
        <f t="shared" si="2"/>
        <v>53.999999999999488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</row>
    <row r="16" spans="1:51" outlineLevel="2" x14ac:dyDescent="0.25">
      <c r="A16" s="21" t="s">
        <v>23</v>
      </c>
      <c r="B16" s="22" t="s">
        <v>24</v>
      </c>
      <c r="C16" s="22" t="s">
        <v>14</v>
      </c>
      <c r="D16" s="25">
        <f>(108.2-90.8)*2</f>
        <v>34.800000000000011</v>
      </c>
      <c r="E16" s="25">
        <f t="shared" ref="E16:AG16" si="7">(108.2-90.8)*2</f>
        <v>34.800000000000011</v>
      </c>
      <c r="F16" s="25">
        <f t="shared" si="7"/>
        <v>34.800000000000011</v>
      </c>
      <c r="G16" s="25">
        <f t="shared" si="7"/>
        <v>34.800000000000011</v>
      </c>
      <c r="H16" s="25">
        <f t="shared" si="7"/>
        <v>34.800000000000011</v>
      </c>
      <c r="I16" s="25">
        <f t="shared" si="7"/>
        <v>34.800000000000011</v>
      </c>
      <c r="J16" s="25">
        <f t="shared" si="7"/>
        <v>34.800000000000011</v>
      </c>
      <c r="K16" s="25">
        <f t="shared" si="7"/>
        <v>34.800000000000011</v>
      </c>
      <c r="L16" s="25">
        <f t="shared" si="7"/>
        <v>34.800000000000011</v>
      </c>
      <c r="M16" s="25">
        <f t="shared" si="7"/>
        <v>34.800000000000011</v>
      </c>
      <c r="N16" s="25">
        <f t="shared" si="7"/>
        <v>34.800000000000011</v>
      </c>
      <c r="O16" s="25">
        <f t="shared" si="7"/>
        <v>34.800000000000011</v>
      </c>
      <c r="P16" s="25">
        <f t="shared" si="7"/>
        <v>34.800000000000011</v>
      </c>
      <c r="Q16" s="25">
        <f t="shared" si="7"/>
        <v>34.800000000000011</v>
      </c>
      <c r="R16" s="25">
        <f t="shared" si="7"/>
        <v>34.800000000000011</v>
      </c>
      <c r="S16" s="25">
        <f t="shared" si="7"/>
        <v>34.800000000000011</v>
      </c>
      <c r="T16" s="25">
        <f t="shared" si="7"/>
        <v>34.800000000000011</v>
      </c>
      <c r="U16" s="25">
        <f t="shared" si="7"/>
        <v>34.800000000000011</v>
      </c>
      <c r="V16" s="25">
        <f t="shared" si="7"/>
        <v>34.800000000000011</v>
      </c>
      <c r="W16" s="25">
        <f t="shared" si="7"/>
        <v>34.800000000000011</v>
      </c>
      <c r="X16" s="25">
        <f t="shared" si="7"/>
        <v>34.800000000000011</v>
      </c>
      <c r="Y16" s="25">
        <f t="shared" si="7"/>
        <v>34.800000000000011</v>
      </c>
      <c r="Z16" s="25">
        <f t="shared" si="7"/>
        <v>34.800000000000011</v>
      </c>
      <c r="AA16" s="25">
        <f t="shared" si="7"/>
        <v>34.800000000000011</v>
      </c>
      <c r="AB16" s="25">
        <f t="shared" si="7"/>
        <v>34.800000000000011</v>
      </c>
      <c r="AC16" s="25">
        <f t="shared" si="7"/>
        <v>34.800000000000011</v>
      </c>
      <c r="AD16" s="25">
        <f t="shared" si="7"/>
        <v>34.800000000000011</v>
      </c>
      <c r="AE16" s="25">
        <f t="shared" si="7"/>
        <v>34.800000000000011</v>
      </c>
      <c r="AF16" s="25">
        <f t="shared" si="7"/>
        <v>34.800000000000011</v>
      </c>
      <c r="AG16" s="25">
        <f t="shared" si="7"/>
        <v>34.800000000000011</v>
      </c>
      <c r="AH16" s="25">
        <f t="shared" si="2"/>
        <v>1043.9999999999995</v>
      </c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</row>
    <row r="17" spans="1:51" outlineLevel="2" x14ac:dyDescent="0.25">
      <c r="A17" s="21" t="s">
        <v>25</v>
      </c>
      <c r="B17" s="22" t="s">
        <v>26</v>
      </c>
      <c r="C17" s="22" t="s">
        <v>14</v>
      </c>
      <c r="D17" s="25">
        <f>(113.3-108.2)*2</f>
        <v>10.199999999999989</v>
      </c>
      <c r="E17" s="25">
        <f t="shared" ref="E17:AG17" si="8">(113.3-108.2)*2</f>
        <v>10.199999999999989</v>
      </c>
      <c r="F17" s="25">
        <f t="shared" si="8"/>
        <v>10.199999999999989</v>
      </c>
      <c r="G17" s="25">
        <f t="shared" si="8"/>
        <v>10.199999999999989</v>
      </c>
      <c r="H17" s="25">
        <f t="shared" si="8"/>
        <v>10.199999999999989</v>
      </c>
      <c r="I17" s="25">
        <f t="shared" si="8"/>
        <v>10.199999999999989</v>
      </c>
      <c r="J17" s="25">
        <f t="shared" si="8"/>
        <v>10.199999999999989</v>
      </c>
      <c r="K17" s="25">
        <f t="shared" si="8"/>
        <v>10.199999999999989</v>
      </c>
      <c r="L17" s="25">
        <f t="shared" si="8"/>
        <v>10.199999999999989</v>
      </c>
      <c r="M17" s="25">
        <f t="shared" si="8"/>
        <v>10.199999999999989</v>
      </c>
      <c r="N17" s="25">
        <f t="shared" si="8"/>
        <v>10.199999999999989</v>
      </c>
      <c r="O17" s="25">
        <f t="shared" si="8"/>
        <v>10.199999999999989</v>
      </c>
      <c r="P17" s="25">
        <f t="shared" si="8"/>
        <v>10.199999999999989</v>
      </c>
      <c r="Q17" s="25">
        <f t="shared" si="8"/>
        <v>10.199999999999989</v>
      </c>
      <c r="R17" s="25">
        <f t="shared" si="8"/>
        <v>10.199999999999989</v>
      </c>
      <c r="S17" s="25">
        <f t="shared" si="8"/>
        <v>10.199999999999989</v>
      </c>
      <c r="T17" s="25">
        <f t="shared" si="8"/>
        <v>10.199999999999989</v>
      </c>
      <c r="U17" s="25">
        <f t="shared" si="8"/>
        <v>10.199999999999989</v>
      </c>
      <c r="V17" s="25">
        <f t="shared" si="8"/>
        <v>10.199999999999989</v>
      </c>
      <c r="W17" s="25">
        <f t="shared" si="8"/>
        <v>10.199999999999989</v>
      </c>
      <c r="X17" s="25">
        <f t="shared" si="8"/>
        <v>10.199999999999989</v>
      </c>
      <c r="Y17" s="25">
        <f t="shared" si="8"/>
        <v>10.199999999999989</v>
      </c>
      <c r="Z17" s="25">
        <f t="shared" si="8"/>
        <v>10.199999999999989</v>
      </c>
      <c r="AA17" s="25">
        <f t="shared" si="8"/>
        <v>10.199999999999989</v>
      </c>
      <c r="AB17" s="25">
        <f t="shared" si="8"/>
        <v>10.199999999999989</v>
      </c>
      <c r="AC17" s="25">
        <f t="shared" si="8"/>
        <v>10.199999999999989</v>
      </c>
      <c r="AD17" s="25">
        <f t="shared" si="8"/>
        <v>10.199999999999989</v>
      </c>
      <c r="AE17" s="25">
        <f t="shared" si="8"/>
        <v>10.199999999999989</v>
      </c>
      <c r="AF17" s="25">
        <f t="shared" si="8"/>
        <v>10.199999999999989</v>
      </c>
      <c r="AG17" s="25">
        <f t="shared" si="8"/>
        <v>10.199999999999989</v>
      </c>
      <c r="AH17" s="25">
        <f t="shared" si="2"/>
        <v>305.99999999999966</v>
      </c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</row>
    <row r="18" spans="1:51" outlineLevel="2" x14ac:dyDescent="0.25">
      <c r="A18" s="21" t="s">
        <v>27</v>
      </c>
      <c r="B18" s="22" t="s">
        <v>28</v>
      </c>
      <c r="C18" s="22" t="s">
        <v>14</v>
      </c>
      <c r="D18" s="25">
        <f>(114.2-113.3)*2</f>
        <v>1.8000000000000114</v>
      </c>
      <c r="E18" s="25">
        <f t="shared" ref="E18:AG18" si="9">(114.2-113.3)*2</f>
        <v>1.8000000000000114</v>
      </c>
      <c r="F18" s="25">
        <f t="shared" si="9"/>
        <v>1.8000000000000114</v>
      </c>
      <c r="G18" s="25">
        <f t="shared" si="9"/>
        <v>1.8000000000000114</v>
      </c>
      <c r="H18" s="25">
        <f t="shared" si="9"/>
        <v>1.8000000000000114</v>
      </c>
      <c r="I18" s="25">
        <f t="shared" si="9"/>
        <v>1.8000000000000114</v>
      </c>
      <c r="J18" s="25">
        <f t="shared" si="9"/>
        <v>1.8000000000000114</v>
      </c>
      <c r="K18" s="25">
        <f t="shared" si="9"/>
        <v>1.8000000000000114</v>
      </c>
      <c r="L18" s="25">
        <f t="shared" si="9"/>
        <v>1.8000000000000114</v>
      </c>
      <c r="M18" s="25">
        <f t="shared" si="9"/>
        <v>1.8000000000000114</v>
      </c>
      <c r="N18" s="25">
        <f t="shared" si="9"/>
        <v>1.8000000000000114</v>
      </c>
      <c r="O18" s="25">
        <f t="shared" si="9"/>
        <v>1.8000000000000114</v>
      </c>
      <c r="P18" s="25">
        <f t="shared" si="9"/>
        <v>1.8000000000000114</v>
      </c>
      <c r="Q18" s="25">
        <f t="shared" si="9"/>
        <v>1.8000000000000114</v>
      </c>
      <c r="R18" s="25">
        <f t="shared" si="9"/>
        <v>1.8000000000000114</v>
      </c>
      <c r="S18" s="25">
        <f t="shared" si="9"/>
        <v>1.8000000000000114</v>
      </c>
      <c r="T18" s="25">
        <f t="shared" si="9"/>
        <v>1.8000000000000114</v>
      </c>
      <c r="U18" s="25">
        <f t="shared" si="9"/>
        <v>1.8000000000000114</v>
      </c>
      <c r="V18" s="25">
        <f t="shared" si="9"/>
        <v>1.8000000000000114</v>
      </c>
      <c r="W18" s="25">
        <f t="shared" si="9"/>
        <v>1.8000000000000114</v>
      </c>
      <c r="X18" s="25">
        <f t="shared" si="9"/>
        <v>1.8000000000000114</v>
      </c>
      <c r="Y18" s="25">
        <f t="shared" si="9"/>
        <v>1.8000000000000114</v>
      </c>
      <c r="Z18" s="25">
        <f t="shared" si="9"/>
        <v>1.8000000000000114</v>
      </c>
      <c r="AA18" s="25">
        <f t="shared" si="9"/>
        <v>1.8000000000000114</v>
      </c>
      <c r="AB18" s="25">
        <f t="shared" si="9"/>
        <v>1.8000000000000114</v>
      </c>
      <c r="AC18" s="25">
        <f t="shared" si="9"/>
        <v>1.8000000000000114</v>
      </c>
      <c r="AD18" s="25">
        <f t="shared" si="9"/>
        <v>1.8000000000000114</v>
      </c>
      <c r="AE18" s="25">
        <f t="shared" si="9"/>
        <v>1.8000000000000114</v>
      </c>
      <c r="AF18" s="25">
        <f t="shared" si="9"/>
        <v>1.8000000000000114</v>
      </c>
      <c r="AG18" s="25">
        <f t="shared" si="9"/>
        <v>1.8000000000000114</v>
      </c>
      <c r="AH18" s="25">
        <f t="shared" si="2"/>
        <v>54.000000000000341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</row>
    <row r="19" spans="1:51" outlineLevel="2" x14ac:dyDescent="0.25">
      <c r="A19" s="21" t="s">
        <v>29</v>
      </c>
      <c r="B19" s="22" t="s">
        <v>30</v>
      </c>
      <c r="C19" s="22" t="s">
        <v>14</v>
      </c>
      <c r="D19" s="25">
        <f>(154.3-114.2)*2</f>
        <v>80.200000000000017</v>
      </c>
      <c r="E19" s="25">
        <f t="shared" ref="E19:AG19" si="10">(154.3-114.2)*2</f>
        <v>80.200000000000017</v>
      </c>
      <c r="F19" s="25">
        <f t="shared" si="10"/>
        <v>80.200000000000017</v>
      </c>
      <c r="G19" s="25">
        <f t="shared" si="10"/>
        <v>80.200000000000017</v>
      </c>
      <c r="H19" s="25">
        <f t="shared" si="10"/>
        <v>80.200000000000017</v>
      </c>
      <c r="I19" s="25">
        <f t="shared" si="10"/>
        <v>80.200000000000017</v>
      </c>
      <c r="J19" s="25">
        <f t="shared" si="10"/>
        <v>80.200000000000017</v>
      </c>
      <c r="K19" s="25">
        <f t="shared" si="10"/>
        <v>80.200000000000017</v>
      </c>
      <c r="L19" s="25">
        <f t="shared" si="10"/>
        <v>80.200000000000017</v>
      </c>
      <c r="M19" s="25">
        <f t="shared" si="10"/>
        <v>80.200000000000017</v>
      </c>
      <c r="N19" s="25">
        <f t="shared" si="10"/>
        <v>80.200000000000017</v>
      </c>
      <c r="O19" s="25">
        <f t="shared" si="10"/>
        <v>80.200000000000017</v>
      </c>
      <c r="P19" s="25">
        <f t="shared" si="10"/>
        <v>80.200000000000017</v>
      </c>
      <c r="Q19" s="25">
        <f t="shared" si="10"/>
        <v>80.200000000000017</v>
      </c>
      <c r="R19" s="25">
        <f t="shared" si="10"/>
        <v>80.200000000000017</v>
      </c>
      <c r="S19" s="25">
        <f t="shared" si="10"/>
        <v>80.200000000000017</v>
      </c>
      <c r="T19" s="25">
        <f t="shared" si="10"/>
        <v>80.200000000000017</v>
      </c>
      <c r="U19" s="25">
        <f t="shared" si="10"/>
        <v>80.200000000000017</v>
      </c>
      <c r="V19" s="25">
        <f t="shared" si="10"/>
        <v>80.200000000000017</v>
      </c>
      <c r="W19" s="25">
        <f t="shared" si="10"/>
        <v>80.200000000000017</v>
      </c>
      <c r="X19" s="25">
        <f t="shared" si="10"/>
        <v>80.200000000000017</v>
      </c>
      <c r="Y19" s="25">
        <f t="shared" si="10"/>
        <v>80.200000000000017</v>
      </c>
      <c r="Z19" s="25">
        <f t="shared" si="10"/>
        <v>80.200000000000017</v>
      </c>
      <c r="AA19" s="25">
        <f t="shared" si="10"/>
        <v>80.200000000000017</v>
      </c>
      <c r="AB19" s="25">
        <f t="shared" si="10"/>
        <v>80.200000000000017</v>
      </c>
      <c r="AC19" s="25">
        <f t="shared" si="10"/>
        <v>80.200000000000017</v>
      </c>
      <c r="AD19" s="25">
        <f t="shared" si="10"/>
        <v>80.200000000000017</v>
      </c>
      <c r="AE19" s="25">
        <f t="shared" si="10"/>
        <v>80.200000000000017</v>
      </c>
      <c r="AF19" s="25">
        <f t="shared" si="10"/>
        <v>80.200000000000017</v>
      </c>
      <c r="AG19" s="25">
        <f t="shared" si="10"/>
        <v>80.200000000000017</v>
      </c>
      <c r="AH19" s="25">
        <f t="shared" si="2"/>
        <v>2406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</row>
    <row r="20" spans="1:51" outlineLevel="2" x14ac:dyDescent="0.25">
      <c r="A20" s="21" t="s">
        <v>31</v>
      </c>
      <c r="B20" s="22" t="s">
        <v>32</v>
      </c>
      <c r="C20" s="22" t="s">
        <v>14</v>
      </c>
      <c r="D20" s="25">
        <f>(180.8-154.3)*2</f>
        <v>53</v>
      </c>
      <c r="E20" s="25">
        <f t="shared" ref="E20:AG20" si="11">(180.8-154.3)*2</f>
        <v>53</v>
      </c>
      <c r="F20" s="25">
        <f t="shared" si="11"/>
        <v>53</v>
      </c>
      <c r="G20" s="25">
        <f t="shared" si="11"/>
        <v>53</v>
      </c>
      <c r="H20" s="25">
        <f t="shared" si="11"/>
        <v>53</v>
      </c>
      <c r="I20" s="25">
        <f t="shared" si="11"/>
        <v>53</v>
      </c>
      <c r="J20" s="25">
        <f t="shared" si="11"/>
        <v>53</v>
      </c>
      <c r="K20" s="25">
        <f t="shared" si="11"/>
        <v>53</v>
      </c>
      <c r="L20" s="25">
        <f t="shared" si="11"/>
        <v>53</v>
      </c>
      <c r="M20" s="25">
        <f t="shared" si="11"/>
        <v>53</v>
      </c>
      <c r="N20" s="25">
        <f t="shared" si="11"/>
        <v>53</v>
      </c>
      <c r="O20" s="25">
        <f t="shared" si="11"/>
        <v>53</v>
      </c>
      <c r="P20" s="25">
        <f t="shared" si="11"/>
        <v>53</v>
      </c>
      <c r="Q20" s="25">
        <f t="shared" si="11"/>
        <v>53</v>
      </c>
      <c r="R20" s="25">
        <f t="shared" si="11"/>
        <v>53</v>
      </c>
      <c r="S20" s="25">
        <f t="shared" si="11"/>
        <v>53</v>
      </c>
      <c r="T20" s="25">
        <f t="shared" si="11"/>
        <v>53</v>
      </c>
      <c r="U20" s="25">
        <f t="shared" si="11"/>
        <v>53</v>
      </c>
      <c r="V20" s="25">
        <f t="shared" si="11"/>
        <v>53</v>
      </c>
      <c r="W20" s="25">
        <f t="shared" si="11"/>
        <v>53</v>
      </c>
      <c r="X20" s="25">
        <f t="shared" si="11"/>
        <v>53</v>
      </c>
      <c r="Y20" s="25">
        <f t="shared" si="11"/>
        <v>53</v>
      </c>
      <c r="Z20" s="25">
        <f t="shared" si="11"/>
        <v>53</v>
      </c>
      <c r="AA20" s="25">
        <f t="shared" si="11"/>
        <v>53</v>
      </c>
      <c r="AB20" s="25">
        <f t="shared" si="11"/>
        <v>53</v>
      </c>
      <c r="AC20" s="25">
        <f t="shared" si="11"/>
        <v>53</v>
      </c>
      <c r="AD20" s="25">
        <f t="shared" si="11"/>
        <v>53</v>
      </c>
      <c r="AE20" s="25">
        <f t="shared" si="11"/>
        <v>53</v>
      </c>
      <c r="AF20" s="25">
        <f t="shared" si="11"/>
        <v>53</v>
      </c>
      <c r="AG20" s="25">
        <f t="shared" si="11"/>
        <v>53</v>
      </c>
      <c r="AH20" s="25">
        <f t="shared" si="2"/>
        <v>1590</v>
      </c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</row>
    <row r="21" spans="1:51" outlineLevel="2" x14ac:dyDescent="0.25">
      <c r="A21" s="21" t="s">
        <v>33</v>
      </c>
      <c r="B21" s="22" t="s">
        <v>34</v>
      </c>
      <c r="C21" s="22" t="s">
        <v>14</v>
      </c>
      <c r="D21" s="25">
        <f>(189-180.8)*2</f>
        <v>16.399999999999977</v>
      </c>
      <c r="E21" s="25">
        <f t="shared" ref="E21:AG21" si="12">(189-180.8)*2</f>
        <v>16.399999999999977</v>
      </c>
      <c r="F21" s="25">
        <f t="shared" si="12"/>
        <v>16.399999999999977</v>
      </c>
      <c r="G21" s="25">
        <f t="shared" si="12"/>
        <v>16.399999999999977</v>
      </c>
      <c r="H21" s="25">
        <f t="shared" si="12"/>
        <v>16.399999999999977</v>
      </c>
      <c r="I21" s="25">
        <f t="shared" si="12"/>
        <v>16.399999999999977</v>
      </c>
      <c r="J21" s="25">
        <f t="shared" si="12"/>
        <v>16.399999999999977</v>
      </c>
      <c r="K21" s="25">
        <f t="shared" si="12"/>
        <v>16.399999999999977</v>
      </c>
      <c r="L21" s="25">
        <f t="shared" si="12"/>
        <v>16.399999999999977</v>
      </c>
      <c r="M21" s="25">
        <f t="shared" si="12"/>
        <v>16.399999999999977</v>
      </c>
      <c r="N21" s="25">
        <f t="shared" si="12"/>
        <v>16.399999999999977</v>
      </c>
      <c r="O21" s="25">
        <f t="shared" si="12"/>
        <v>16.399999999999977</v>
      </c>
      <c r="P21" s="25">
        <f t="shared" si="12"/>
        <v>16.399999999999977</v>
      </c>
      <c r="Q21" s="25">
        <f t="shared" si="12"/>
        <v>16.399999999999977</v>
      </c>
      <c r="R21" s="25">
        <f t="shared" si="12"/>
        <v>16.399999999999977</v>
      </c>
      <c r="S21" s="25">
        <f t="shared" si="12"/>
        <v>16.399999999999977</v>
      </c>
      <c r="T21" s="25">
        <f t="shared" si="12"/>
        <v>16.399999999999977</v>
      </c>
      <c r="U21" s="25">
        <f t="shared" si="12"/>
        <v>16.399999999999977</v>
      </c>
      <c r="V21" s="25">
        <f t="shared" si="12"/>
        <v>16.399999999999977</v>
      </c>
      <c r="W21" s="25">
        <f t="shared" si="12"/>
        <v>16.399999999999977</v>
      </c>
      <c r="X21" s="25">
        <f t="shared" si="12"/>
        <v>16.399999999999977</v>
      </c>
      <c r="Y21" s="25">
        <f t="shared" si="12"/>
        <v>16.399999999999977</v>
      </c>
      <c r="Z21" s="25">
        <f t="shared" si="12"/>
        <v>16.399999999999977</v>
      </c>
      <c r="AA21" s="25">
        <f t="shared" si="12"/>
        <v>16.399999999999977</v>
      </c>
      <c r="AB21" s="25">
        <f t="shared" si="12"/>
        <v>16.399999999999977</v>
      </c>
      <c r="AC21" s="25">
        <f t="shared" si="12"/>
        <v>16.399999999999977</v>
      </c>
      <c r="AD21" s="25">
        <f t="shared" si="12"/>
        <v>16.399999999999977</v>
      </c>
      <c r="AE21" s="25">
        <f t="shared" si="12"/>
        <v>16.399999999999977</v>
      </c>
      <c r="AF21" s="25">
        <f t="shared" si="12"/>
        <v>16.399999999999977</v>
      </c>
      <c r="AG21" s="25">
        <f t="shared" si="12"/>
        <v>16.399999999999977</v>
      </c>
      <c r="AH21" s="25">
        <f t="shared" si="2"/>
        <v>491.99999999999932</v>
      </c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</row>
    <row r="22" spans="1:51" outlineLevel="2" x14ac:dyDescent="0.25">
      <c r="A22" s="21" t="s">
        <v>35</v>
      </c>
      <c r="B22" s="22" t="s">
        <v>36</v>
      </c>
      <c r="C22" s="22" t="s">
        <v>14</v>
      </c>
      <c r="D22" s="25">
        <f>(200.5-189)*2</f>
        <v>23</v>
      </c>
      <c r="E22" s="25">
        <f t="shared" ref="E22:G22" si="13">(200.5-189)*2</f>
        <v>23</v>
      </c>
      <c r="F22" s="25">
        <f t="shared" si="13"/>
        <v>23</v>
      </c>
      <c r="G22" s="25">
        <f t="shared" si="13"/>
        <v>23</v>
      </c>
      <c r="H22" s="25">
        <f>(199.25-189)*2</f>
        <v>20.5</v>
      </c>
      <c r="I22" s="25">
        <f t="shared" ref="I22:AG22" si="14">(199.25-189)*2</f>
        <v>20.5</v>
      </c>
      <c r="J22" s="25">
        <f t="shared" si="14"/>
        <v>20.5</v>
      </c>
      <c r="K22" s="25">
        <f t="shared" si="14"/>
        <v>20.5</v>
      </c>
      <c r="L22" s="25">
        <f t="shared" si="14"/>
        <v>20.5</v>
      </c>
      <c r="M22" s="25">
        <f t="shared" si="14"/>
        <v>20.5</v>
      </c>
      <c r="N22" s="25">
        <f t="shared" si="14"/>
        <v>20.5</v>
      </c>
      <c r="O22" s="25">
        <f t="shared" si="14"/>
        <v>20.5</v>
      </c>
      <c r="P22" s="25">
        <f t="shared" si="14"/>
        <v>20.5</v>
      </c>
      <c r="Q22" s="25">
        <f t="shared" si="14"/>
        <v>20.5</v>
      </c>
      <c r="R22" s="25">
        <f t="shared" si="14"/>
        <v>20.5</v>
      </c>
      <c r="S22" s="25">
        <f t="shared" si="14"/>
        <v>20.5</v>
      </c>
      <c r="T22" s="25">
        <f t="shared" si="14"/>
        <v>20.5</v>
      </c>
      <c r="U22" s="25">
        <f t="shared" si="14"/>
        <v>20.5</v>
      </c>
      <c r="V22" s="25">
        <f t="shared" si="14"/>
        <v>20.5</v>
      </c>
      <c r="W22" s="25">
        <f t="shared" si="14"/>
        <v>20.5</v>
      </c>
      <c r="X22" s="25">
        <f t="shared" si="14"/>
        <v>20.5</v>
      </c>
      <c r="Y22" s="25">
        <f t="shared" si="14"/>
        <v>20.5</v>
      </c>
      <c r="Z22" s="25">
        <f t="shared" si="14"/>
        <v>20.5</v>
      </c>
      <c r="AA22" s="25">
        <f t="shared" si="14"/>
        <v>20.5</v>
      </c>
      <c r="AB22" s="25">
        <f t="shared" si="14"/>
        <v>20.5</v>
      </c>
      <c r="AC22" s="25">
        <f t="shared" si="14"/>
        <v>20.5</v>
      </c>
      <c r="AD22" s="25">
        <f t="shared" si="14"/>
        <v>20.5</v>
      </c>
      <c r="AE22" s="25">
        <f t="shared" si="14"/>
        <v>20.5</v>
      </c>
      <c r="AF22" s="25">
        <f t="shared" si="14"/>
        <v>20.5</v>
      </c>
      <c r="AG22" s="25">
        <f t="shared" si="14"/>
        <v>20.5</v>
      </c>
      <c r="AH22" s="25">
        <f t="shared" si="2"/>
        <v>625</v>
      </c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</row>
    <row r="23" spans="1:51" ht="14.4" x14ac:dyDescent="0.25">
      <c r="A23" s="385" t="s">
        <v>37</v>
      </c>
      <c r="B23" s="386"/>
      <c r="C23" s="11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3" t="s">
        <v>9</v>
      </c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</row>
    <row r="24" spans="1:51" ht="14.4" x14ac:dyDescent="0.3">
      <c r="A24" s="15">
        <v>2</v>
      </c>
      <c r="B24" s="16" t="s">
        <v>38</v>
      </c>
      <c r="C24" s="16" t="s">
        <v>11</v>
      </c>
      <c r="D24" s="17">
        <f t="shared" ref="D24:AH24" si="15">SUM(D25:D36)</f>
        <v>0</v>
      </c>
      <c r="E24" s="17">
        <f t="shared" si="15"/>
        <v>0</v>
      </c>
      <c r="F24" s="17">
        <f t="shared" si="15"/>
        <v>0</v>
      </c>
      <c r="G24" s="17">
        <f t="shared" si="15"/>
        <v>0</v>
      </c>
      <c r="H24" s="17">
        <f t="shared" si="15"/>
        <v>0</v>
      </c>
      <c r="I24" s="17">
        <f t="shared" si="15"/>
        <v>0</v>
      </c>
      <c r="J24" s="17">
        <f t="shared" si="15"/>
        <v>0</v>
      </c>
      <c r="K24" s="17">
        <f t="shared" si="15"/>
        <v>0</v>
      </c>
      <c r="L24" s="17">
        <f t="shared" si="15"/>
        <v>0</v>
      </c>
      <c r="M24" s="17">
        <f t="shared" si="15"/>
        <v>0</v>
      </c>
      <c r="N24" s="17">
        <f t="shared" si="15"/>
        <v>0</v>
      </c>
      <c r="O24" s="17">
        <f t="shared" si="15"/>
        <v>0</v>
      </c>
      <c r="P24" s="17">
        <f t="shared" si="15"/>
        <v>0</v>
      </c>
      <c r="Q24" s="17">
        <f t="shared" si="15"/>
        <v>0</v>
      </c>
      <c r="R24" s="17">
        <f t="shared" si="15"/>
        <v>0</v>
      </c>
      <c r="S24" s="17">
        <f t="shared" si="15"/>
        <v>0</v>
      </c>
      <c r="T24" s="17">
        <f t="shared" si="15"/>
        <v>0</v>
      </c>
      <c r="U24" s="17">
        <f t="shared" si="15"/>
        <v>0</v>
      </c>
      <c r="V24" s="17">
        <f t="shared" si="15"/>
        <v>0</v>
      </c>
      <c r="W24" s="17">
        <f t="shared" si="15"/>
        <v>0</v>
      </c>
      <c r="X24" s="17">
        <f t="shared" si="15"/>
        <v>0</v>
      </c>
      <c r="Y24" s="17">
        <f t="shared" si="15"/>
        <v>0</v>
      </c>
      <c r="Z24" s="17">
        <f t="shared" si="15"/>
        <v>0</v>
      </c>
      <c r="AA24" s="17">
        <f t="shared" si="15"/>
        <v>0</v>
      </c>
      <c r="AB24" s="17">
        <f t="shared" si="15"/>
        <v>0</v>
      </c>
      <c r="AC24" s="17">
        <f t="shared" si="15"/>
        <v>0</v>
      </c>
      <c r="AD24" s="17">
        <f t="shared" si="15"/>
        <v>0</v>
      </c>
      <c r="AE24" s="17">
        <f t="shared" si="15"/>
        <v>0</v>
      </c>
      <c r="AF24" s="17">
        <f t="shared" si="15"/>
        <v>0</v>
      </c>
      <c r="AG24" s="17">
        <f t="shared" si="15"/>
        <v>0</v>
      </c>
      <c r="AH24" s="17">
        <f t="shared" si="15"/>
        <v>0</v>
      </c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</row>
    <row r="25" spans="1:51" ht="14.4" outlineLevel="1" x14ac:dyDescent="0.3">
      <c r="A25" s="21" t="s">
        <v>39</v>
      </c>
      <c r="B25" s="22" t="s">
        <v>13</v>
      </c>
      <c r="C25" s="22" t="s">
        <v>14</v>
      </c>
      <c r="D25" s="23">
        <f>(21.7-0)*2*0</f>
        <v>0</v>
      </c>
      <c r="E25" s="23">
        <f t="shared" ref="E25:AG25" si="16">(21.7-0)*2*0</f>
        <v>0</v>
      </c>
      <c r="F25" s="23">
        <f t="shared" si="16"/>
        <v>0</v>
      </c>
      <c r="G25" s="23">
        <f t="shared" si="16"/>
        <v>0</v>
      </c>
      <c r="H25" s="23">
        <f t="shared" si="16"/>
        <v>0</v>
      </c>
      <c r="I25" s="23">
        <f t="shared" si="16"/>
        <v>0</v>
      </c>
      <c r="J25" s="23">
        <f t="shared" si="16"/>
        <v>0</v>
      </c>
      <c r="K25" s="23">
        <f t="shared" si="16"/>
        <v>0</v>
      </c>
      <c r="L25" s="23">
        <f t="shared" si="16"/>
        <v>0</v>
      </c>
      <c r="M25" s="23">
        <f t="shared" si="16"/>
        <v>0</v>
      </c>
      <c r="N25" s="23">
        <f t="shared" si="16"/>
        <v>0</v>
      </c>
      <c r="O25" s="23">
        <f t="shared" si="16"/>
        <v>0</v>
      </c>
      <c r="P25" s="23">
        <f t="shared" si="16"/>
        <v>0</v>
      </c>
      <c r="Q25" s="23">
        <f t="shared" si="16"/>
        <v>0</v>
      </c>
      <c r="R25" s="23">
        <f t="shared" si="16"/>
        <v>0</v>
      </c>
      <c r="S25" s="23">
        <f t="shared" si="16"/>
        <v>0</v>
      </c>
      <c r="T25" s="23">
        <f t="shared" si="16"/>
        <v>0</v>
      </c>
      <c r="U25" s="23">
        <f t="shared" si="16"/>
        <v>0</v>
      </c>
      <c r="V25" s="23">
        <f t="shared" si="16"/>
        <v>0</v>
      </c>
      <c r="W25" s="23">
        <f t="shared" si="16"/>
        <v>0</v>
      </c>
      <c r="X25" s="23">
        <f t="shared" si="16"/>
        <v>0</v>
      </c>
      <c r="Y25" s="23">
        <f t="shared" si="16"/>
        <v>0</v>
      </c>
      <c r="Z25" s="23">
        <f t="shared" si="16"/>
        <v>0</v>
      </c>
      <c r="AA25" s="23">
        <f t="shared" si="16"/>
        <v>0</v>
      </c>
      <c r="AB25" s="23">
        <f t="shared" si="16"/>
        <v>0</v>
      </c>
      <c r="AC25" s="23">
        <f t="shared" si="16"/>
        <v>0</v>
      </c>
      <c r="AD25" s="23">
        <f t="shared" si="16"/>
        <v>0</v>
      </c>
      <c r="AE25" s="23">
        <f t="shared" si="16"/>
        <v>0</v>
      </c>
      <c r="AF25" s="23">
        <f t="shared" si="16"/>
        <v>0</v>
      </c>
      <c r="AG25" s="23">
        <f t="shared" si="16"/>
        <v>0</v>
      </c>
      <c r="AH25" s="23">
        <f t="shared" ref="AH25:AH36" si="17">SUM(D25:AG25)</f>
        <v>0</v>
      </c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</row>
    <row r="26" spans="1:51" outlineLevel="2" x14ac:dyDescent="0.25">
      <c r="A26" s="21" t="s">
        <v>40</v>
      </c>
      <c r="B26" s="22" t="s">
        <v>16</v>
      </c>
      <c r="C26" s="22" t="s">
        <v>14</v>
      </c>
      <c r="D26" s="25">
        <f>(52.9-21.7)*2*0</f>
        <v>0</v>
      </c>
      <c r="E26" s="25">
        <f t="shared" ref="E26:AG26" si="18">(52.9-21.7)*2*0</f>
        <v>0</v>
      </c>
      <c r="F26" s="25">
        <f t="shared" si="18"/>
        <v>0</v>
      </c>
      <c r="G26" s="25">
        <f t="shared" si="18"/>
        <v>0</v>
      </c>
      <c r="H26" s="25">
        <f t="shared" si="18"/>
        <v>0</v>
      </c>
      <c r="I26" s="25">
        <f t="shared" si="18"/>
        <v>0</v>
      </c>
      <c r="J26" s="25">
        <f t="shared" si="18"/>
        <v>0</v>
      </c>
      <c r="K26" s="25">
        <f t="shared" si="18"/>
        <v>0</v>
      </c>
      <c r="L26" s="25">
        <f t="shared" si="18"/>
        <v>0</v>
      </c>
      <c r="M26" s="25">
        <f t="shared" si="18"/>
        <v>0</v>
      </c>
      <c r="N26" s="25">
        <f t="shared" si="18"/>
        <v>0</v>
      </c>
      <c r="O26" s="25">
        <f t="shared" si="18"/>
        <v>0</v>
      </c>
      <c r="P26" s="25">
        <f t="shared" si="18"/>
        <v>0</v>
      </c>
      <c r="Q26" s="25">
        <f t="shared" si="18"/>
        <v>0</v>
      </c>
      <c r="R26" s="25">
        <f t="shared" si="18"/>
        <v>0</v>
      </c>
      <c r="S26" s="25">
        <f t="shared" si="18"/>
        <v>0</v>
      </c>
      <c r="T26" s="25">
        <f t="shared" si="18"/>
        <v>0</v>
      </c>
      <c r="U26" s="25">
        <f t="shared" si="18"/>
        <v>0</v>
      </c>
      <c r="V26" s="25">
        <f t="shared" si="18"/>
        <v>0</v>
      </c>
      <c r="W26" s="25">
        <f t="shared" si="18"/>
        <v>0</v>
      </c>
      <c r="X26" s="25">
        <f t="shared" si="18"/>
        <v>0</v>
      </c>
      <c r="Y26" s="25">
        <f t="shared" si="18"/>
        <v>0</v>
      </c>
      <c r="Z26" s="25">
        <f t="shared" si="18"/>
        <v>0</v>
      </c>
      <c r="AA26" s="25">
        <f t="shared" si="18"/>
        <v>0</v>
      </c>
      <c r="AB26" s="25">
        <f t="shared" si="18"/>
        <v>0</v>
      </c>
      <c r="AC26" s="25">
        <f t="shared" si="18"/>
        <v>0</v>
      </c>
      <c r="AD26" s="25">
        <f t="shared" si="18"/>
        <v>0</v>
      </c>
      <c r="AE26" s="25">
        <f t="shared" si="18"/>
        <v>0</v>
      </c>
      <c r="AF26" s="25">
        <f t="shared" si="18"/>
        <v>0</v>
      </c>
      <c r="AG26" s="25">
        <f t="shared" si="18"/>
        <v>0</v>
      </c>
      <c r="AH26" s="25">
        <f t="shared" si="17"/>
        <v>0</v>
      </c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</row>
    <row r="27" spans="1:51" outlineLevel="2" x14ac:dyDescent="0.25">
      <c r="A27" s="21" t="s">
        <v>41</v>
      </c>
      <c r="B27" s="22" t="s">
        <v>18</v>
      </c>
      <c r="C27" s="22" t="s">
        <v>14</v>
      </c>
      <c r="D27" s="25">
        <f>(75.1-52.9)*2*0</f>
        <v>0</v>
      </c>
      <c r="E27" s="25">
        <f t="shared" ref="E27:AG27" si="19">(75.1-52.9)*2*0</f>
        <v>0</v>
      </c>
      <c r="F27" s="25">
        <f t="shared" si="19"/>
        <v>0</v>
      </c>
      <c r="G27" s="25">
        <f t="shared" si="19"/>
        <v>0</v>
      </c>
      <c r="H27" s="25">
        <f t="shared" si="19"/>
        <v>0</v>
      </c>
      <c r="I27" s="25">
        <f t="shared" si="19"/>
        <v>0</v>
      </c>
      <c r="J27" s="25">
        <f t="shared" si="19"/>
        <v>0</v>
      </c>
      <c r="K27" s="25">
        <f t="shared" si="19"/>
        <v>0</v>
      </c>
      <c r="L27" s="25">
        <f t="shared" si="19"/>
        <v>0</v>
      </c>
      <c r="M27" s="25">
        <f t="shared" si="19"/>
        <v>0</v>
      </c>
      <c r="N27" s="25">
        <f t="shared" si="19"/>
        <v>0</v>
      </c>
      <c r="O27" s="25">
        <f t="shared" si="19"/>
        <v>0</v>
      </c>
      <c r="P27" s="25">
        <f t="shared" si="19"/>
        <v>0</v>
      </c>
      <c r="Q27" s="25">
        <f t="shared" si="19"/>
        <v>0</v>
      </c>
      <c r="R27" s="25">
        <f t="shared" si="19"/>
        <v>0</v>
      </c>
      <c r="S27" s="25">
        <f t="shared" si="19"/>
        <v>0</v>
      </c>
      <c r="T27" s="25">
        <f t="shared" si="19"/>
        <v>0</v>
      </c>
      <c r="U27" s="25">
        <f t="shared" si="19"/>
        <v>0</v>
      </c>
      <c r="V27" s="25">
        <f t="shared" si="19"/>
        <v>0</v>
      </c>
      <c r="W27" s="25">
        <f t="shared" si="19"/>
        <v>0</v>
      </c>
      <c r="X27" s="25">
        <f t="shared" si="19"/>
        <v>0</v>
      </c>
      <c r="Y27" s="25">
        <f t="shared" si="19"/>
        <v>0</v>
      </c>
      <c r="Z27" s="25">
        <f t="shared" si="19"/>
        <v>0</v>
      </c>
      <c r="AA27" s="25">
        <f t="shared" si="19"/>
        <v>0</v>
      </c>
      <c r="AB27" s="25">
        <f t="shared" si="19"/>
        <v>0</v>
      </c>
      <c r="AC27" s="25">
        <f t="shared" si="19"/>
        <v>0</v>
      </c>
      <c r="AD27" s="25">
        <f t="shared" si="19"/>
        <v>0</v>
      </c>
      <c r="AE27" s="25">
        <f t="shared" si="19"/>
        <v>0</v>
      </c>
      <c r="AF27" s="25">
        <f t="shared" si="19"/>
        <v>0</v>
      </c>
      <c r="AG27" s="25">
        <f t="shared" si="19"/>
        <v>0</v>
      </c>
      <c r="AH27" s="25">
        <f t="shared" si="17"/>
        <v>0</v>
      </c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outlineLevel="2" x14ac:dyDescent="0.25">
      <c r="A28" s="21" t="s">
        <v>42</v>
      </c>
      <c r="B28" s="22" t="s">
        <v>20</v>
      </c>
      <c r="C28" s="22" t="s">
        <v>14</v>
      </c>
      <c r="D28" s="25">
        <f>(89.9-75.1)*2*0</f>
        <v>0</v>
      </c>
      <c r="E28" s="25">
        <f t="shared" ref="E28:AG28" si="20">(89.9-75.1)*2*0</f>
        <v>0</v>
      </c>
      <c r="F28" s="25">
        <f t="shared" si="20"/>
        <v>0</v>
      </c>
      <c r="G28" s="25">
        <f t="shared" si="20"/>
        <v>0</v>
      </c>
      <c r="H28" s="25">
        <f t="shared" si="20"/>
        <v>0</v>
      </c>
      <c r="I28" s="25">
        <f t="shared" si="20"/>
        <v>0</v>
      </c>
      <c r="J28" s="25">
        <f t="shared" si="20"/>
        <v>0</v>
      </c>
      <c r="K28" s="25">
        <f t="shared" si="20"/>
        <v>0</v>
      </c>
      <c r="L28" s="25">
        <f t="shared" si="20"/>
        <v>0</v>
      </c>
      <c r="M28" s="25">
        <f t="shared" si="20"/>
        <v>0</v>
      </c>
      <c r="N28" s="25">
        <f t="shared" si="20"/>
        <v>0</v>
      </c>
      <c r="O28" s="25">
        <f t="shared" si="20"/>
        <v>0</v>
      </c>
      <c r="P28" s="25">
        <f t="shared" si="20"/>
        <v>0</v>
      </c>
      <c r="Q28" s="25">
        <f t="shared" si="20"/>
        <v>0</v>
      </c>
      <c r="R28" s="25">
        <f t="shared" si="20"/>
        <v>0</v>
      </c>
      <c r="S28" s="25">
        <f t="shared" si="20"/>
        <v>0</v>
      </c>
      <c r="T28" s="25">
        <f t="shared" si="20"/>
        <v>0</v>
      </c>
      <c r="U28" s="25">
        <f t="shared" si="20"/>
        <v>0</v>
      </c>
      <c r="V28" s="25">
        <f t="shared" si="20"/>
        <v>0</v>
      </c>
      <c r="W28" s="25">
        <f t="shared" si="20"/>
        <v>0</v>
      </c>
      <c r="X28" s="25">
        <f t="shared" si="20"/>
        <v>0</v>
      </c>
      <c r="Y28" s="25">
        <f t="shared" si="20"/>
        <v>0</v>
      </c>
      <c r="Z28" s="25">
        <f t="shared" si="20"/>
        <v>0</v>
      </c>
      <c r="AA28" s="25">
        <f t="shared" si="20"/>
        <v>0</v>
      </c>
      <c r="AB28" s="25">
        <f t="shared" si="20"/>
        <v>0</v>
      </c>
      <c r="AC28" s="25">
        <f t="shared" si="20"/>
        <v>0</v>
      </c>
      <c r="AD28" s="25">
        <f t="shared" si="20"/>
        <v>0</v>
      </c>
      <c r="AE28" s="25">
        <f t="shared" si="20"/>
        <v>0</v>
      </c>
      <c r="AF28" s="25">
        <f t="shared" si="20"/>
        <v>0</v>
      </c>
      <c r="AG28" s="25">
        <f t="shared" si="20"/>
        <v>0</v>
      </c>
      <c r="AH28" s="25">
        <f t="shared" si="17"/>
        <v>0</v>
      </c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</row>
    <row r="29" spans="1:51" outlineLevel="2" x14ac:dyDescent="0.25">
      <c r="A29" s="21" t="s">
        <v>43</v>
      </c>
      <c r="B29" s="22" t="s">
        <v>22</v>
      </c>
      <c r="C29" s="22" t="s">
        <v>14</v>
      </c>
      <c r="D29" s="25">
        <f>(90.8-89.9)*2*0</f>
        <v>0</v>
      </c>
      <c r="E29" s="25">
        <f t="shared" ref="E29:AG29" si="21">(90.8-89.9)*2*0</f>
        <v>0</v>
      </c>
      <c r="F29" s="25">
        <f t="shared" si="21"/>
        <v>0</v>
      </c>
      <c r="G29" s="25">
        <f t="shared" si="21"/>
        <v>0</v>
      </c>
      <c r="H29" s="25">
        <f t="shared" si="21"/>
        <v>0</v>
      </c>
      <c r="I29" s="25">
        <f t="shared" si="21"/>
        <v>0</v>
      </c>
      <c r="J29" s="25">
        <f t="shared" si="21"/>
        <v>0</v>
      </c>
      <c r="K29" s="25">
        <f t="shared" si="21"/>
        <v>0</v>
      </c>
      <c r="L29" s="25">
        <f t="shared" si="21"/>
        <v>0</v>
      </c>
      <c r="M29" s="25">
        <f t="shared" si="21"/>
        <v>0</v>
      </c>
      <c r="N29" s="25">
        <f t="shared" si="21"/>
        <v>0</v>
      </c>
      <c r="O29" s="25">
        <f t="shared" si="21"/>
        <v>0</v>
      </c>
      <c r="P29" s="25">
        <f t="shared" si="21"/>
        <v>0</v>
      </c>
      <c r="Q29" s="25">
        <f t="shared" si="21"/>
        <v>0</v>
      </c>
      <c r="R29" s="25">
        <f t="shared" si="21"/>
        <v>0</v>
      </c>
      <c r="S29" s="25">
        <f t="shared" si="21"/>
        <v>0</v>
      </c>
      <c r="T29" s="25">
        <f t="shared" si="21"/>
        <v>0</v>
      </c>
      <c r="U29" s="25">
        <f t="shared" si="21"/>
        <v>0</v>
      </c>
      <c r="V29" s="25">
        <f t="shared" si="21"/>
        <v>0</v>
      </c>
      <c r="W29" s="25">
        <f t="shared" si="21"/>
        <v>0</v>
      </c>
      <c r="X29" s="25">
        <f t="shared" si="21"/>
        <v>0</v>
      </c>
      <c r="Y29" s="25">
        <f t="shared" si="21"/>
        <v>0</v>
      </c>
      <c r="Z29" s="25">
        <f t="shared" si="21"/>
        <v>0</v>
      </c>
      <c r="AA29" s="25">
        <f t="shared" si="21"/>
        <v>0</v>
      </c>
      <c r="AB29" s="25">
        <f t="shared" si="21"/>
        <v>0</v>
      </c>
      <c r="AC29" s="25">
        <f t="shared" si="21"/>
        <v>0</v>
      </c>
      <c r="AD29" s="25">
        <f t="shared" si="21"/>
        <v>0</v>
      </c>
      <c r="AE29" s="25">
        <f t="shared" si="21"/>
        <v>0</v>
      </c>
      <c r="AF29" s="25">
        <f t="shared" si="21"/>
        <v>0</v>
      </c>
      <c r="AG29" s="25">
        <f t="shared" si="21"/>
        <v>0</v>
      </c>
      <c r="AH29" s="25">
        <f t="shared" si="17"/>
        <v>0</v>
      </c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</row>
    <row r="30" spans="1:51" outlineLevel="2" x14ac:dyDescent="0.25">
      <c r="A30" s="21" t="s">
        <v>44</v>
      </c>
      <c r="B30" s="22" t="s">
        <v>24</v>
      </c>
      <c r="C30" s="22" t="s">
        <v>14</v>
      </c>
      <c r="D30" s="25">
        <f>(108.2-90.8)*2*0</f>
        <v>0</v>
      </c>
      <c r="E30" s="25">
        <f t="shared" ref="E30:AG30" si="22">(108.2-90.8)*2*0</f>
        <v>0</v>
      </c>
      <c r="F30" s="25">
        <f t="shared" si="22"/>
        <v>0</v>
      </c>
      <c r="G30" s="25">
        <f t="shared" si="22"/>
        <v>0</v>
      </c>
      <c r="H30" s="25">
        <f t="shared" si="22"/>
        <v>0</v>
      </c>
      <c r="I30" s="25">
        <f t="shared" si="22"/>
        <v>0</v>
      </c>
      <c r="J30" s="25">
        <f t="shared" si="22"/>
        <v>0</v>
      </c>
      <c r="K30" s="25">
        <f t="shared" si="22"/>
        <v>0</v>
      </c>
      <c r="L30" s="25">
        <f t="shared" si="22"/>
        <v>0</v>
      </c>
      <c r="M30" s="25">
        <f t="shared" si="22"/>
        <v>0</v>
      </c>
      <c r="N30" s="25">
        <f t="shared" si="22"/>
        <v>0</v>
      </c>
      <c r="O30" s="25">
        <f t="shared" si="22"/>
        <v>0</v>
      </c>
      <c r="P30" s="25">
        <f t="shared" si="22"/>
        <v>0</v>
      </c>
      <c r="Q30" s="25">
        <f t="shared" si="22"/>
        <v>0</v>
      </c>
      <c r="R30" s="25">
        <f t="shared" si="22"/>
        <v>0</v>
      </c>
      <c r="S30" s="25">
        <f t="shared" si="22"/>
        <v>0</v>
      </c>
      <c r="T30" s="25">
        <f t="shared" si="22"/>
        <v>0</v>
      </c>
      <c r="U30" s="25">
        <f t="shared" si="22"/>
        <v>0</v>
      </c>
      <c r="V30" s="25">
        <f t="shared" si="22"/>
        <v>0</v>
      </c>
      <c r="W30" s="25">
        <f t="shared" si="22"/>
        <v>0</v>
      </c>
      <c r="X30" s="25">
        <f t="shared" si="22"/>
        <v>0</v>
      </c>
      <c r="Y30" s="25">
        <f t="shared" si="22"/>
        <v>0</v>
      </c>
      <c r="Z30" s="25">
        <f t="shared" si="22"/>
        <v>0</v>
      </c>
      <c r="AA30" s="25">
        <f t="shared" si="22"/>
        <v>0</v>
      </c>
      <c r="AB30" s="25">
        <f t="shared" si="22"/>
        <v>0</v>
      </c>
      <c r="AC30" s="25">
        <f t="shared" si="22"/>
        <v>0</v>
      </c>
      <c r="AD30" s="25">
        <f t="shared" si="22"/>
        <v>0</v>
      </c>
      <c r="AE30" s="25">
        <f t="shared" si="22"/>
        <v>0</v>
      </c>
      <c r="AF30" s="25">
        <f t="shared" si="22"/>
        <v>0</v>
      </c>
      <c r="AG30" s="25">
        <f t="shared" si="22"/>
        <v>0</v>
      </c>
      <c r="AH30" s="25">
        <f t="shared" si="17"/>
        <v>0</v>
      </c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</row>
    <row r="31" spans="1:51" outlineLevel="2" x14ac:dyDescent="0.25">
      <c r="A31" s="21" t="s">
        <v>45</v>
      </c>
      <c r="B31" s="22" t="s">
        <v>26</v>
      </c>
      <c r="C31" s="22" t="s">
        <v>14</v>
      </c>
      <c r="D31" s="25">
        <f>(113.3-108.2)*2*0</f>
        <v>0</v>
      </c>
      <c r="E31" s="25">
        <f t="shared" ref="E31:AG31" si="23">(113.3-108.2)*2*0</f>
        <v>0</v>
      </c>
      <c r="F31" s="25">
        <f t="shared" si="23"/>
        <v>0</v>
      </c>
      <c r="G31" s="25">
        <f t="shared" si="23"/>
        <v>0</v>
      </c>
      <c r="H31" s="25">
        <f t="shared" si="23"/>
        <v>0</v>
      </c>
      <c r="I31" s="25">
        <f t="shared" si="23"/>
        <v>0</v>
      </c>
      <c r="J31" s="25">
        <f t="shared" si="23"/>
        <v>0</v>
      </c>
      <c r="K31" s="25">
        <f t="shared" si="23"/>
        <v>0</v>
      </c>
      <c r="L31" s="25">
        <f t="shared" si="23"/>
        <v>0</v>
      </c>
      <c r="M31" s="25">
        <f t="shared" si="23"/>
        <v>0</v>
      </c>
      <c r="N31" s="25">
        <f t="shared" si="23"/>
        <v>0</v>
      </c>
      <c r="O31" s="25">
        <f t="shared" si="23"/>
        <v>0</v>
      </c>
      <c r="P31" s="25">
        <f t="shared" si="23"/>
        <v>0</v>
      </c>
      <c r="Q31" s="25">
        <f t="shared" si="23"/>
        <v>0</v>
      </c>
      <c r="R31" s="25">
        <f t="shared" si="23"/>
        <v>0</v>
      </c>
      <c r="S31" s="25">
        <f t="shared" si="23"/>
        <v>0</v>
      </c>
      <c r="T31" s="25">
        <f t="shared" si="23"/>
        <v>0</v>
      </c>
      <c r="U31" s="25">
        <f t="shared" si="23"/>
        <v>0</v>
      </c>
      <c r="V31" s="25">
        <f t="shared" si="23"/>
        <v>0</v>
      </c>
      <c r="W31" s="25">
        <f t="shared" si="23"/>
        <v>0</v>
      </c>
      <c r="X31" s="25">
        <f t="shared" si="23"/>
        <v>0</v>
      </c>
      <c r="Y31" s="25">
        <f t="shared" si="23"/>
        <v>0</v>
      </c>
      <c r="Z31" s="25">
        <f t="shared" si="23"/>
        <v>0</v>
      </c>
      <c r="AA31" s="25">
        <f t="shared" si="23"/>
        <v>0</v>
      </c>
      <c r="AB31" s="25">
        <f t="shared" si="23"/>
        <v>0</v>
      </c>
      <c r="AC31" s="25">
        <f t="shared" si="23"/>
        <v>0</v>
      </c>
      <c r="AD31" s="25">
        <f t="shared" si="23"/>
        <v>0</v>
      </c>
      <c r="AE31" s="25">
        <f t="shared" si="23"/>
        <v>0</v>
      </c>
      <c r="AF31" s="25">
        <f t="shared" si="23"/>
        <v>0</v>
      </c>
      <c r="AG31" s="25">
        <f t="shared" si="23"/>
        <v>0</v>
      </c>
      <c r="AH31" s="25">
        <f t="shared" si="17"/>
        <v>0</v>
      </c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</row>
    <row r="32" spans="1:51" outlineLevel="2" x14ac:dyDescent="0.25">
      <c r="A32" s="21" t="s">
        <v>46</v>
      </c>
      <c r="B32" s="22" t="s">
        <v>28</v>
      </c>
      <c r="C32" s="22" t="s">
        <v>14</v>
      </c>
      <c r="D32" s="25">
        <f>(114.2-113.3)*2*0</f>
        <v>0</v>
      </c>
      <c r="E32" s="25">
        <f t="shared" ref="E32:AG32" si="24">(114.2-113.3)*2*0</f>
        <v>0</v>
      </c>
      <c r="F32" s="25">
        <f t="shared" si="24"/>
        <v>0</v>
      </c>
      <c r="G32" s="25">
        <f t="shared" si="24"/>
        <v>0</v>
      </c>
      <c r="H32" s="25">
        <f t="shared" si="24"/>
        <v>0</v>
      </c>
      <c r="I32" s="25">
        <f t="shared" si="24"/>
        <v>0</v>
      </c>
      <c r="J32" s="25">
        <f t="shared" si="24"/>
        <v>0</v>
      </c>
      <c r="K32" s="25">
        <f t="shared" si="24"/>
        <v>0</v>
      </c>
      <c r="L32" s="25">
        <f t="shared" si="24"/>
        <v>0</v>
      </c>
      <c r="M32" s="25">
        <f t="shared" si="24"/>
        <v>0</v>
      </c>
      <c r="N32" s="25">
        <f t="shared" si="24"/>
        <v>0</v>
      </c>
      <c r="O32" s="25">
        <f t="shared" si="24"/>
        <v>0</v>
      </c>
      <c r="P32" s="25">
        <f t="shared" si="24"/>
        <v>0</v>
      </c>
      <c r="Q32" s="25">
        <f t="shared" si="24"/>
        <v>0</v>
      </c>
      <c r="R32" s="25">
        <f t="shared" si="24"/>
        <v>0</v>
      </c>
      <c r="S32" s="25">
        <f t="shared" si="24"/>
        <v>0</v>
      </c>
      <c r="T32" s="25">
        <f t="shared" si="24"/>
        <v>0</v>
      </c>
      <c r="U32" s="25">
        <f t="shared" si="24"/>
        <v>0</v>
      </c>
      <c r="V32" s="25">
        <f t="shared" si="24"/>
        <v>0</v>
      </c>
      <c r="W32" s="25">
        <f t="shared" si="24"/>
        <v>0</v>
      </c>
      <c r="X32" s="25">
        <f t="shared" si="24"/>
        <v>0</v>
      </c>
      <c r="Y32" s="25">
        <f t="shared" si="24"/>
        <v>0</v>
      </c>
      <c r="Z32" s="25">
        <f t="shared" si="24"/>
        <v>0</v>
      </c>
      <c r="AA32" s="25">
        <f t="shared" si="24"/>
        <v>0</v>
      </c>
      <c r="AB32" s="25">
        <f t="shared" si="24"/>
        <v>0</v>
      </c>
      <c r="AC32" s="25">
        <f t="shared" si="24"/>
        <v>0</v>
      </c>
      <c r="AD32" s="25">
        <f t="shared" si="24"/>
        <v>0</v>
      </c>
      <c r="AE32" s="25">
        <f t="shared" si="24"/>
        <v>0</v>
      </c>
      <c r="AF32" s="25">
        <f t="shared" si="24"/>
        <v>0</v>
      </c>
      <c r="AG32" s="25">
        <f t="shared" si="24"/>
        <v>0</v>
      </c>
      <c r="AH32" s="25">
        <f t="shared" si="17"/>
        <v>0</v>
      </c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</row>
    <row r="33" spans="1:51" outlineLevel="2" x14ac:dyDescent="0.25">
      <c r="A33" s="21" t="s">
        <v>47</v>
      </c>
      <c r="B33" s="22" t="s">
        <v>30</v>
      </c>
      <c r="C33" s="22" t="s">
        <v>14</v>
      </c>
      <c r="D33" s="25">
        <f>(154.3-114.2)*2*0</f>
        <v>0</v>
      </c>
      <c r="E33" s="25">
        <f t="shared" ref="E33:AG33" si="25">(154.3-114.2)*2*0</f>
        <v>0</v>
      </c>
      <c r="F33" s="25">
        <f t="shared" si="25"/>
        <v>0</v>
      </c>
      <c r="G33" s="25">
        <f t="shared" si="25"/>
        <v>0</v>
      </c>
      <c r="H33" s="25">
        <f t="shared" si="25"/>
        <v>0</v>
      </c>
      <c r="I33" s="25">
        <f t="shared" si="25"/>
        <v>0</v>
      </c>
      <c r="J33" s="25">
        <f t="shared" si="25"/>
        <v>0</v>
      </c>
      <c r="K33" s="25">
        <f t="shared" si="25"/>
        <v>0</v>
      </c>
      <c r="L33" s="25">
        <f t="shared" si="25"/>
        <v>0</v>
      </c>
      <c r="M33" s="25">
        <f t="shared" si="25"/>
        <v>0</v>
      </c>
      <c r="N33" s="25">
        <f t="shared" si="25"/>
        <v>0</v>
      </c>
      <c r="O33" s="25">
        <f t="shared" si="25"/>
        <v>0</v>
      </c>
      <c r="P33" s="25">
        <f t="shared" si="25"/>
        <v>0</v>
      </c>
      <c r="Q33" s="25">
        <f t="shared" si="25"/>
        <v>0</v>
      </c>
      <c r="R33" s="25">
        <f t="shared" si="25"/>
        <v>0</v>
      </c>
      <c r="S33" s="25">
        <f t="shared" si="25"/>
        <v>0</v>
      </c>
      <c r="T33" s="25">
        <f t="shared" si="25"/>
        <v>0</v>
      </c>
      <c r="U33" s="25">
        <f t="shared" si="25"/>
        <v>0</v>
      </c>
      <c r="V33" s="25">
        <f t="shared" si="25"/>
        <v>0</v>
      </c>
      <c r="W33" s="25">
        <f t="shared" si="25"/>
        <v>0</v>
      </c>
      <c r="X33" s="25">
        <f t="shared" si="25"/>
        <v>0</v>
      </c>
      <c r="Y33" s="25">
        <f t="shared" si="25"/>
        <v>0</v>
      </c>
      <c r="Z33" s="25">
        <f t="shared" si="25"/>
        <v>0</v>
      </c>
      <c r="AA33" s="25">
        <f t="shared" si="25"/>
        <v>0</v>
      </c>
      <c r="AB33" s="25">
        <f t="shared" si="25"/>
        <v>0</v>
      </c>
      <c r="AC33" s="25">
        <f t="shared" si="25"/>
        <v>0</v>
      </c>
      <c r="AD33" s="25">
        <f t="shared" si="25"/>
        <v>0</v>
      </c>
      <c r="AE33" s="25">
        <f t="shared" si="25"/>
        <v>0</v>
      </c>
      <c r="AF33" s="25">
        <f t="shared" si="25"/>
        <v>0</v>
      </c>
      <c r="AG33" s="25">
        <f t="shared" si="25"/>
        <v>0</v>
      </c>
      <c r="AH33" s="25">
        <f t="shared" si="17"/>
        <v>0</v>
      </c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</row>
    <row r="34" spans="1:51" outlineLevel="2" x14ac:dyDescent="0.25">
      <c r="A34" s="21" t="s">
        <v>48</v>
      </c>
      <c r="B34" s="22" t="s">
        <v>32</v>
      </c>
      <c r="C34" s="22" t="s">
        <v>14</v>
      </c>
      <c r="D34" s="25">
        <f>(180.8-154.3)*2*0</f>
        <v>0</v>
      </c>
      <c r="E34" s="25">
        <f t="shared" ref="E34:AG34" si="26">(180.8-154.3)*2*0</f>
        <v>0</v>
      </c>
      <c r="F34" s="25">
        <f t="shared" si="26"/>
        <v>0</v>
      </c>
      <c r="G34" s="25">
        <f t="shared" si="26"/>
        <v>0</v>
      </c>
      <c r="H34" s="25">
        <f t="shared" si="26"/>
        <v>0</v>
      </c>
      <c r="I34" s="25">
        <f t="shared" si="26"/>
        <v>0</v>
      </c>
      <c r="J34" s="25">
        <f t="shared" si="26"/>
        <v>0</v>
      </c>
      <c r="K34" s="25">
        <f t="shared" si="26"/>
        <v>0</v>
      </c>
      <c r="L34" s="25">
        <f t="shared" si="26"/>
        <v>0</v>
      </c>
      <c r="M34" s="25">
        <f t="shared" si="26"/>
        <v>0</v>
      </c>
      <c r="N34" s="25">
        <f t="shared" si="26"/>
        <v>0</v>
      </c>
      <c r="O34" s="25">
        <f t="shared" si="26"/>
        <v>0</v>
      </c>
      <c r="P34" s="25">
        <f t="shared" si="26"/>
        <v>0</v>
      </c>
      <c r="Q34" s="25">
        <f t="shared" si="26"/>
        <v>0</v>
      </c>
      <c r="R34" s="25">
        <f t="shared" si="26"/>
        <v>0</v>
      </c>
      <c r="S34" s="25">
        <f t="shared" si="26"/>
        <v>0</v>
      </c>
      <c r="T34" s="25">
        <f t="shared" si="26"/>
        <v>0</v>
      </c>
      <c r="U34" s="25">
        <f t="shared" si="26"/>
        <v>0</v>
      </c>
      <c r="V34" s="25">
        <f t="shared" si="26"/>
        <v>0</v>
      </c>
      <c r="W34" s="25">
        <f t="shared" si="26"/>
        <v>0</v>
      </c>
      <c r="X34" s="25">
        <f t="shared" si="26"/>
        <v>0</v>
      </c>
      <c r="Y34" s="25">
        <f t="shared" si="26"/>
        <v>0</v>
      </c>
      <c r="Z34" s="25">
        <f t="shared" si="26"/>
        <v>0</v>
      </c>
      <c r="AA34" s="25">
        <f t="shared" si="26"/>
        <v>0</v>
      </c>
      <c r="AB34" s="25">
        <f t="shared" si="26"/>
        <v>0</v>
      </c>
      <c r="AC34" s="25">
        <f t="shared" si="26"/>
        <v>0</v>
      </c>
      <c r="AD34" s="25">
        <f t="shared" si="26"/>
        <v>0</v>
      </c>
      <c r="AE34" s="25">
        <f t="shared" si="26"/>
        <v>0</v>
      </c>
      <c r="AF34" s="25">
        <f t="shared" si="26"/>
        <v>0</v>
      </c>
      <c r="AG34" s="25">
        <f t="shared" si="26"/>
        <v>0</v>
      </c>
      <c r="AH34" s="25">
        <f t="shared" si="17"/>
        <v>0</v>
      </c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</row>
    <row r="35" spans="1:51" outlineLevel="2" x14ac:dyDescent="0.25">
      <c r="A35" s="21" t="s">
        <v>49</v>
      </c>
      <c r="B35" s="22" t="s">
        <v>34</v>
      </c>
      <c r="C35" s="22" t="s">
        <v>14</v>
      </c>
      <c r="D35" s="25">
        <f>(189-180.8)*2*0</f>
        <v>0</v>
      </c>
      <c r="E35" s="25">
        <f t="shared" ref="E35:AG35" si="27">(189-180.8)*2*0</f>
        <v>0</v>
      </c>
      <c r="F35" s="25">
        <f t="shared" si="27"/>
        <v>0</v>
      </c>
      <c r="G35" s="25">
        <f t="shared" si="27"/>
        <v>0</v>
      </c>
      <c r="H35" s="25">
        <f t="shared" si="27"/>
        <v>0</v>
      </c>
      <c r="I35" s="25">
        <f t="shared" si="27"/>
        <v>0</v>
      </c>
      <c r="J35" s="25">
        <f t="shared" si="27"/>
        <v>0</v>
      </c>
      <c r="K35" s="25">
        <f t="shared" si="27"/>
        <v>0</v>
      </c>
      <c r="L35" s="25">
        <f t="shared" si="27"/>
        <v>0</v>
      </c>
      <c r="M35" s="25">
        <f t="shared" si="27"/>
        <v>0</v>
      </c>
      <c r="N35" s="25">
        <f t="shared" si="27"/>
        <v>0</v>
      </c>
      <c r="O35" s="25">
        <f t="shared" si="27"/>
        <v>0</v>
      </c>
      <c r="P35" s="25">
        <f t="shared" si="27"/>
        <v>0</v>
      </c>
      <c r="Q35" s="25">
        <f t="shared" si="27"/>
        <v>0</v>
      </c>
      <c r="R35" s="25">
        <f t="shared" si="27"/>
        <v>0</v>
      </c>
      <c r="S35" s="25">
        <f t="shared" si="27"/>
        <v>0</v>
      </c>
      <c r="T35" s="25">
        <f t="shared" si="27"/>
        <v>0</v>
      </c>
      <c r="U35" s="25">
        <f t="shared" si="27"/>
        <v>0</v>
      </c>
      <c r="V35" s="25">
        <f t="shared" si="27"/>
        <v>0</v>
      </c>
      <c r="W35" s="25">
        <f t="shared" si="27"/>
        <v>0</v>
      </c>
      <c r="X35" s="25">
        <f t="shared" si="27"/>
        <v>0</v>
      </c>
      <c r="Y35" s="25">
        <f t="shared" si="27"/>
        <v>0</v>
      </c>
      <c r="Z35" s="25">
        <f t="shared" si="27"/>
        <v>0</v>
      </c>
      <c r="AA35" s="25">
        <f t="shared" si="27"/>
        <v>0</v>
      </c>
      <c r="AB35" s="25">
        <f t="shared" si="27"/>
        <v>0</v>
      </c>
      <c r="AC35" s="25">
        <f t="shared" si="27"/>
        <v>0</v>
      </c>
      <c r="AD35" s="25">
        <f t="shared" si="27"/>
        <v>0</v>
      </c>
      <c r="AE35" s="25">
        <f t="shared" si="27"/>
        <v>0</v>
      </c>
      <c r="AF35" s="25">
        <f t="shared" si="27"/>
        <v>0</v>
      </c>
      <c r="AG35" s="25">
        <f t="shared" si="27"/>
        <v>0</v>
      </c>
      <c r="AH35" s="25">
        <f t="shared" si="17"/>
        <v>0</v>
      </c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</row>
    <row r="36" spans="1:51" outlineLevel="2" x14ac:dyDescent="0.25">
      <c r="A36" s="21" t="s">
        <v>50</v>
      </c>
      <c r="B36" s="22" t="s">
        <v>36</v>
      </c>
      <c r="C36" s="22" t="s">
        <v>14</v>
      </c>
      <c r="D36" s="25">
        <f>(200.5-189)*2*0</f>
        <v>0</v>
      </c>
      <c r="E36" s="25">
        <f t="shared" ref="E36:AG36" si="28">(200.5-189)*2*0</f>
        <v>0</v>
      </c>
      <c r="F36" s="25">
        <f t="shared" si="28"/>
        <v>0</v>
      </c>
      <c r="G36" s="25">
        <f t="shared" si="28"/>
        <v>0</v>
      </c>
      <c r="H36" s="25">
        <f t="shared" si="28"/>
        <v>0</v>
      </c>
      <c r="I36" s="25">
        <f t="shared" si="28"/>
        <v>0</v>
      </c>
      <c r="J36" s="25">
        <f t="shared" si="28"/>
        <v>0</v>
      </c>
      <c r="K36" s="25">
        <f t="shared" si="28"/>
        <v>0</v>
      </c>
      <c r="L36" s="25">
        <f t="shared" si="28"/>
        <v>0</v>
      </c>
      <c r="M36" s="25">
        <f t="shared" si="28"/>
        <v>0</v>
      </c>
      <c r="N36" s="25">
        <f t="shared" si="28"/>
        <v>0</v>
      </c>
      <c r="O36" s="25">
        <f t="shared" si="28"/>
        <v>0</v>
      </c>
      <c r="P36" s="25">
        <f t="shared" si="28"/>
        <v>0</v>
      </c>
      <c r="Q36" s="25">
        <f t="shared" si="28"/>
        <v>0</v>
      </c>
      <c r="R36" s="25">
        <f t="shared" si="28"/>
        <v>0</v>
      </c>
      <c r="S36" s="25">
        <f t="shared" si="28"/>
        <v>0</v>
      </c>
      <c r="T36" s="25">
        <f t="shared" si="28"/>
        <v>0</v>
      </c>
      <c r="U36" s="25">
        <f t="shared" si="28"/>
        <v>0</v>
      </c>
      <c r="V36" s="25">
        <f t="shared" si="28"/>
        <v>0</v>
      </c>
      <c r="W36" s="25">
        <f t="shared" si="28"/>
        <v>0</v>
      </c>
      <c r="X36" s="25">
        <f t="shared" si="28"/>
        <v>0</v>
      </c>
      <c r="Y36" s="25">
        <f t="shared" si="28"/>
        <v>0</v>
      </c>
      <c r="Z36" s="25">
        <f t="shared" si="28"/>
        <v>0</v>
      </c>
      <c r="AA36" s="25">
        <f t="shared" si="28"/>
        <v>0</v>
      </c>
      <c r="AB36" s="25">
        <f t="shared" si="28"/>
        <v>0</v>
      </c>
      <c r="AC36" s="25">
        <f t="shared" si="28"/>
        <v>0</v>
      </c>
      <c r="AD36" s="25">
        <f t="shared" si="28"/>
        <v>0</v>
      </c>
      <c r="AE36" s="25">
        <f t="shared" si="28"/>
        <v>0</v>
      </c>
      <c r="AF36" s="25">
        <f t="shared" si="28"/>
        <v>0</v>
      </c>
      <c r="AG36" s="25">
        <f t="shared" si="28"/>
        <v>0</v>
      </c>
      <c r="AH36" s="25">
        <f t="shared" si="17"/>
        <v>0</v>
      </c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</row>
    <row r="37" spans="1:51" ht="14.4" x14ac:dyDescent="0.25">
      <c r="A37" s="387" t="s">
        <v>51</v>
      </c>
      <c r="B37" s="388"/>
      <c r="C37" s="26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8" t="s">
        <v>9</v>
      </c>
    </row>
    <row r="38" spans="1:51" ht="14.4" x14ac:dyDescent="0.25">
      <c r="A38" s="385" t="s">
        <v>52</v>
      </c>
      <c r="B38" s="386"/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3"/>
    </row>
    <row r="39" spans="1:51" ht="14.4" x14ac:dyDescent="0.3">
      <c r="A39" s="15">
        <v>1</v>
      </c>
      <c r="B39" s="16" t="s">
        <v>53</v>
      </c>
      <c r="C39" s="16" t="s">
        <v>54</v>
      </c>
      <c r="D39" s="17">
        <f t="shared" ref="D39:AH39" si="29">SUM(D40:D51)</f>
        <v>1403500</v>
      </c>
      <c r="E39" s="17">
        <f t="shared" si="29"/>
        <v>1403500</v>
      </c>
      <c r="F39" s="17">
        <f t="shared" si="29"/>
        <v>1403500</v>
      </c>
      <c r="G39" s="17">
        <f t="shared" si="29"/>
        <v>1403500</v>
      </c>
      <c r="H39" s="17">
        <f t="shared" si="29"/>
        <v>1394750</v>
      </c>
      <c r="I39" s="17">
        <f t="shared" si="29"/>
        <v>1394750</v>
      </c>
      <c r="J39" s="17">
        <f t="shared" si="29"/>
        <v>1394750</v>
      </c>
      <c r="K39" s="17">
        <f t="shared" si="29"/>
        <v>1394750</v>
      </c>
      <c r="L39" s="17">
        <f t="shared" si="29"/>
        <v>1394750</v>
      </c>
      <c r="M39" s="17">
        <f t="shared" si="29"/>
        <v>1394750</v>
      </c>
      <c r="N39" s="17">
        <f t="shared" si="29"/>
        <v>1394750</v>
      </c>
      <c r="O39" s="17">
        <f t="shared" si="29"/>
        <v>1394750</v>
      </c>
      <c r="P39" s="17">
        <f t="shared" si="29"/>
        <v>1394750</v>
      </c>
      <c r="Q39" s="17">
        <f t="shared" si="29"/>
        <v>1394750</v>
      </c>
      <c r="R39" s="17">
        <f t="shared" si="29"/>
        <v>1394750</v>
      </c>
      <c r="S39" s="17">
        <f t="shared" si="29"/>
        <v>1394750</v>
      </c>
      <c r="T39" s="17">
        <f t="shared" si="29"/>
        <v>1394750</v>
      </c>
      <c r="U39" s="17">
        <f t="shared" si="29"/>
        <v>1394750</v>
      </c>
      <c r="V39" s="17">
        <f t="shared" si="29"/>
        <v>1394750</v>
      </c>
      <c r="W39" s="17">
        <f t="shared" si="29"/>
        <v>1394750</v>
      </c>
      <c r="X39" s="17">
        <f t="shared" si="29"/>
        <v>1394750</v>
      </c>
      <c r="Y39" s="17">
        <f t="shared" si="29"/>
        <v>1394750</v>
      </c>
      <c r="Z39" s="17">
        <f t="shared" si="29"/>
        <v>1394750</v>
      </c>
      <c r="AA39" s="17">
        <f t="shared" si="29"/>
        <v>1394750</v>
      </c>
      <c r="AB39" s="17">
        <f t="shared" si="29"/>
        <v>1394750</v>
      </c>
      <c r="AC39" s="17">
        <f t="shared" si="29"/>
        <v>1394750</v>
      </c>
      <c r="AD39" s="17">
        <f t="shared" si="29"/>
        <v>1394750</v>
      </c>
      <c r="AE39" s="17">
        <f t="shared" si="29"/>
        <v>1394750</v>
      </c>
      <c r="AF39" s="17">
        <f t="shared" si="29"/>
        <v>1394750</v>
      </c>
      <c r="AG39" s="17">
        <f t="shared" si="29"/>
        <v>1394750</v>
      </c>
      <c r="AH39" s="17">
        <f t="shared" si="29"/>
        <v>41877500.000000007</v>
      </c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</row>
    <row r="40" spans="1:51" outlineLevel="1" x14ac:dyDescent="0.25">
      <c r="A40" s="21" t="s">
        <v>12</v>
      </c>
      <c r="B40" s="22" t="s">
        <v>13</v>
      </c>
      <c r="C40" s="22" t="s">
        <v>54</v>
      </c>
      <c r="D40" s="25">
        <f>(D$11*3.5)*1000</f>
        <v>151900</v>
      </c>
      <c r="E40" s="25">
        <f t="shared" ref="E40:AG40" si="30">(E$11*3.5)*1000</f>
        <v>151900</v>
      </c>
      <c r="F40" s="25">
        <f t="shared" si="30"/>
        <v>151900</v>
      </c>
      <c r="G40" s="25">
        <f t="shared" si="30"/>
        <v>151900</v>
      </c>
      <c r="H40" s="25">
        <f t="shared" si="30"/>
        <v>151900</v>
      </c>
      <c r="I40" s="25">
        <f t="shared" si="30"/>
        <v>151900</v>
      </c>
      <c r="J40" s="25">
        <f t="shared" si="30"/>
        <v>151900</v>
      </c>
      <c r="K40" s="25">
        <f t="shared" si="30"/>
        <v>151900</v>
      </c>
      <c r="L40" s="25">
        <f t="shared" si="30"/>
        <v>151900</v>
      </c>
      <c r="M40" s="25">
        <f t="shared" si="30"/>
        <v>151900</v>
      </c>
      <c r="N40" s="25">
        <f t="shared" si="30"/>
        <v>151900</v>
      </c>
      <c r="O40" s="25">
        <f t="shared" si="30"/>
        <v>151900</v>
      </c>
      <c r="P40" s="25">
        <f t="shared" si="30"/>
        <v>151900</v>
      </c>
      <c r="Q40" s="25">
        <f t="shared" si="30"/>
        <v>151900</v>
      </c>
      <c r="R40" s="25">
        <f t="shared" si="30"/>
        <v>151900</v>
      </c>
      <c r="S40" s="25">
        <f t="shared" si="30"/>
        <v>151900</v>
      </c>
      <c r="T40" s="25">
        <f t="shared" si="30"/>
        <v>151900</v>
      </c>
      <c r="U40" s="25">
        <f t="shared" si="30"/>
        <v>151900</v>
      </c>
      <c r="V40" s="25">
        <f t="shared" si="30"/>
        <v>151900</v>
      </c>
      <c r="W40" s="25">
        <f t="shared" si="30"/>
        <v>151900</v>
      </c>
      <c r="X40" s="25">
        <f t="shared" si="30"/>
        <v>151900</v>
      </c>
      <c r="Y40" s="25">
        <f t="shared" si="30"/>
        <v>151900</v>
      </c>
      <c r="Z40" s="25">
        <f t="shared" si="30"/>
        <v>151900</v>
      </c>
      <c r="AA40" s="25">
        <f t="shared" si="30"/>
        <v>151900</v>
      </c>
      <c r="AB40" s="25">
        <f t="shared" si="30"/>
        <v>151900</v>
      </c>
      <c r="AC40" s="25">
        <f t="shared" si="30"/>
        <v>151900</v>
      </c>
      <c r="AD40" s="25">
        <f t="shared" si="30"/>
        <v>151900</v>
      </c>
      <c r="AE40" s="25">
        <f t="shared" si="30"/>
        <v>151900</v>
      </c>
      <c r="AF40" s="25">
        <f t="shared" si="30"/>
        <v>151900</v>
      </c>
      <c r="AG40" s="25">
        <f t="shared" si="30"/>
        <v>151900</v>
      </c>
      <c r="AH40" s="25">
        <f t="shared" ref="AH40:AH51" si="31">AH11*3.5*1000</f>
        <v>4557000.0000000009</v>
      </c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</row>
    <row r="41" spans="1:51" outlineLevel="2" x14ac:dyDescent="0.25">
      <c r="A41" s="21" t="s">
        <v>15</v>
      </c>
      <c r="B41" s="22" t="s">
        <v>16</v>
      </c>
      <c r="C41" s="22" t="s">
        <v>54</v>
      </c>
      <c r="D41" s="25">
        <f>(D$12*3.5)*1000</f>
        <v>218400</v>
      </c>
      <c r="E41" s="25">
        <f t="shared" ref="E41:AG41" si="32">(E$12*3.5)*1000</f>
        <v>218400</v>
      </c>
      <c r="F41" s="25">
        <f t="shared" si="32"/>
        <v>218400</v>
      </c>
      <c r="G41" s="25">
        <f t="shared" si="32"/>
        <v>218400</v>
      </c>
      <c r="H41" s="25">
        <f t="shared" si="32"/>
        <v>218400</v>
      </c>
      <c r="I41" s="25">
        <f t="shared" si="32"/>
        <v>218400</v>
      </c>
      <c r="J41" s="25">
        <f t="shared" si="32"/>
        <v>218400</v>
      </c>
      <c r="K41" s="25">
        <f t="shared" si="32"/>
        <v>218400</v>
      </c>
      <c r="L41" s="25">
        <f t="shared" si="32"/>
        <v>218400</v>
      </c>
      <c r="M41" s="25">
        <f t="shared" si="32"/>
        <v>218400</v>
      </c>
      <c r="N41" s="25">
        <f t="shared" si="32"/>
        <v>218400</v>
      </c>
      <c r="O41" s="25">
        <f t="shared" si="32"/>
        <v>218400</v>
      </c>
      <c r="P41" s="25">
        <f t="shared" si="32"/>
        <v>218400</v>
      </c>
      <c r="Q41" s="25">
        <f t="shared" si="32"/>
        <v>218400</v>
      </c>
      <c r="R41" s="25">
        <f t="shared" si="32"/>
        <v>218400</v>
      </c>
      <c r="S41" s="25">
        <f t="shared" si="32"/>
        <v>218400</v>
      </c>
      <c r="T41" s="25">
        <f t="shared" si="32"/>
        <v>218400</v>
      </c>
      <c r="U41" s="25">
        <f t="shared" si="32"/>
        <v>218400</v>
      </c>
      <c r="V41" s="25">
        <f t="shared" si="32"/>
        <v>218400</v>
      </c>
      <c r="W41" s="25">
        <f t="shared" si="32"/>
        <v>218400</v>
      </c>
      <c r="X41" s="25">
        <f t="shared" si="32"/>
        <v>218400</v>
      </c>
      <c r="Y41" s="25">
        <f t="shared" si="32"/>
        <v>218400</v>
      </c>
      <c r="Z41" s="25">
        <f t="shared" si="32"/>
        <v>218400</v>
      </c>
      <c r="AA41" s="25">
        <f t="shared" si="32"/>
        <v>218400</v>
      </c>
      <c r="AB41" s="25">
        <f t="shared" si="32"/>
        <v>218400</v>
      </c>
      <c r="AC41" s="25">
        <f t="shared" si="32"/>
        <v>218400</v>
      </c>
      <c r="AD41" s="25">
        <f t="shared" si="32"/>
        <v>218400</v>
      </c>
      <c r="AE41" s="25">
        <f t="shared" si="32"/>
        <v>218400</v>
      </c>
      <c r="AF41" s="25">
        <f t="shared" si="32"/>
        <v>218400</v>
      </c>
      <c r="AG41" s="25">
        <f t="shared" si="32"/>
        <v>218400</v>
      </c>
      <c r="AH41" s="25">
        <f t="shared" si="31"/>
        <v>6552000.0000000037</v>
      </c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</row>
    <row r="42" spans="1:51" outlineLevel="2" x14ac:dyDescent="0.25">
      <c r="A42" s="21" t="s">
        <v>17</v>
      </c>
      <c r="B42" s="22" t="s">
        <v>18</v>
      </c>
      <c r="C42" s="22" t="s">
        <v>54</v>
      </c>
      <c r="D42" s="25">
        <f>(D$13*3.5)*1000</f>
        <v>155399.99999999997</v>
      </c>
      <c r="E42" s="25">
        <f t="shared" ref="E42:AG42" si="33">(E$13*3.5)*1000</f>
        <v>155399.99999999997</v>
      </c>
      <c r="F42" s="25">
        <f t="shared" si="33"/>
        <v>155399.99999999997</v>
      </c>
      <c r="G42" s="25">
        <f t="shared" si="33"/>
        <v>155399.99999999997</v>
      </c>
      <c r="H42" s="25">
        <f t="shared" si="33"/>
        <v>155399.99999999997</v>
      </c>
      <c r="I42" s="25">
        <f t="shared" si="33"/>
        <v>155399.99999999997</v>
      </c>
      <c r="J42" s="25">
        <f t="shared" si="33"/>
        <v>155399.99999999997</v>
      </c>
      <c r="K42" s="25">
        <f t="shared" si="33"/>
        <v>155399.99999999997</v>
      </c>
      <c r="L42" s="25">
        <f t="shared" si="33"/>
        <v>155399.99999999997</v>
      </c>
      <c r="M42" s="25">
        <f t="shared" si="33"/>
        <v>155399.99999999997</v>
      </c>
      <c r="N42" s="25">
        <f t="shared" si="33"/>
        <v>155399.99999999997</v>
      </c>
      <c r="O42" s="25">
        <f t="shared" si="33"/>
        <v>155399.99999999997</v>
      </c>
      <c r="P42" s="25">
        <f t="shared" si="33"/>
        <v>155399.99999999997</v>
      </c>
      <c r="Q42" s="25">
        <f t="shared" si="33"/>
        <v>155399.99999999997</v>
      </c>
      <c r="R42" s="25">
        <f t="shared" si="33"/>
        <v>155399.99999999997</v>
      </c>
      <c r="S42" s="25">
        <f t="shared" si="33"/>
        <v>155399.99999999997</v>
      </c>
      <c r="T42" s="25">
        <f t="shared" si="33"/>
        <v>155399.99999999997</v>
      </c>
      <c r="U42" s="25">
        <f t="shared" si="33"/>
        <v>155399.99999999997</v>
      </c>
      <c r="V42" s="25">
        <f t="shared" si="33"/>
        <v>155399.99999999997</v>
      </c>
      <c r="W42" s="25">
        <f t="shared" si="33"/>
        <v>155399.99999999997</v>
      </c>
      <c r="X42" s="25">
        <f t="shared" si="33"/>
        <v>155399.99999999997</v>
      </c>
      <c r="Y42" s="25">
        <f t="shared" si="33"/>
        <v>155399.99999999997</v>
      </c>
      <c r="Z42" s="25">
        <f t="shared" si="33"/>
        <v>155399.99999999997</v>
      </c>
      <c r="AA42" s="25">
        <f t="shared" si="33"/>
        <v>155399.99999999997</v>
      </c>
      <c r="AB42" s="25">
        <f t="shared" si="33"/>
        <v>155399.99999999997</v>
      </c>
      <c r="AC42" s="25">
        <f t="shared" si="33"/>
        <v>155399.99999999997</v>
      </c>
      <c r="AD42" s="25">
        <f t="shared" si="33"/>
        <v>155399.99999999997</v>
      </c>
      <c r="AE42" s="25">
        <f t="shared" si="33"/>
        <v>155399.99999999997</v>
      </c>
      <c r="AF42" s="25">
        <f t="shared" si="33"/>
        <v>155399.99999999997</v>
      </c>
      <c r="AG42" s="25">
        <f t="shared" si="33"/>
        <v>155399.99999999997</v>
      </c>
      <c r="AH42" s="25">
        <f t="shared" si="31"/>
        <v>4662000.0000000009</v>
      </c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</row>
    <row r="43" spans="1:51" outlineLevel="2" x14ac:dyDescent="0.25">
      <c r="A43" s="21" t="s">
        <v>19</v>
      </c>
      <c r="B43" s="22" t="s">
        <v>20</v>
      </c>
      <c r="C43" s="22" t="s">
        <v>54</v>
      </c>
      <c r="D43" s="25">
        <f>(D$14*3.5)*1000</f>
        <v>103600.00000000007</v>
      </c>
      <c r="E43" s="25">
        <f t="shared" ref="E43:AG43" si="34">(E$14*3.5)*1000</f>
        <v>103600.00000000007</v>
      </c>
      <c r="F43" s="25">
        <f t="shared" si="34"/>
        <v>103600.00000000007</v>
      </c>
      <c r="G43" s="25">
        <f t="shared" si="34"/>
        <v>103600.00000000007</v>
      </c>
      <c r="H43" s="25">
        <f t="shared" si="34"/>
        <v>103600.00000000007</v>
      </c>
      <c r="I43" s="25">
        <f t="shared" si="34"/>
        <v>103600.00000000007</v>
      </c>
      <c r="J43" s="25">
        <f t="shared" si="34"/>
        <v>103600.00000000007</v>
      </c>
      <c r="K43" s="25">
        <f t="shared" si="34"/>
        <v>103600.00000000007</v>
      </c>
      <c r="L43" s="25">
        <f t="shared" si="34"/>
        <v>103600.00000000007</v>
      </c>
      <c r="M43" s="25">
        <f t="shared" si="34"/>
        <v>103600.00000000007</v>
      </c>
      <c r="N43" s="25">
        <f t="shared" si="34"/>
        <v>103600.00000000007</v>
      </c>
      <c r="O43" s="25">
        <f t="shared" si="34"/>
        <v>103600.00000000007</v>
      </c>
      <c r="P43" s="25">
        <f t="shared" si="34"/>
        <v>103600.00000000007</v>
      </c>
      <c r="Q43" s="25">
        <f t="shared" si="34"/>
        <v>103600.00000000007</v>
      </c>
      <c r="R43" s="25">
        <f t="shared" si="34"/>
        <v>103600.00000000007</v>
      </c>
      <c r="S43" s="25">
        <f t="shared" si="34"/>
        <v>103600.00000000007</v>
      </c>
      <c r="T43" s="25">
        <f t="shared" si="34"/>
        <v>103600.00000000007</v>
      </c>
      <c r="U43" s="25">
        <f t="shared" si="34"/>
        <v>103600.00000000007</v>
      </c>
      <c r="V43" s="25">
        <f t="shared" si="34"/>
        <v>103600.00000000007</v>
      </c>
      <c r="W43" s="25">
        <f t="shared" si="34"/>
        <v>103600.00000000007</v>
      </c>
      <c r="X43" s="25">
        <f t="shared" si="34"/>
        <v>103600.00000000007</v>
      </c>
      <c r="Y43" s="25">
        <f t="shared" si="34"/>
        <v>103600.00000000007</v>
      </c>
      <c r="Z43" s="25">
        <f t="shared" si="34"/>
        <v>103600.00000000007</v>
      </c>
      <c r="AA43" s="25">
        <f t="shared" si="34"/>
        <v>103600.00000000007</v>
      </c>
      <c r="AB43" s="25">
        <f t="shared" si="34"/>
        <v>103600.00000000007</v>
      </c>
      <c r="AC43" s="25">
        <f t="shared" si="34"/>
        <v>103600.00000000007</v>
      </c>
      <c r="AD43" s="25">
        <f t="shared" si="34"/>
        <v>103600.00000000007</v>
      </c>
      <c r="AE43" s="25">
        <f t="shared" si="34"/>
        <v>103600.00000000007</v>
      </c>
      <c r="AF43" s="25">
        <f t="shared" si="34"/>
        <v>103600.00000000007</v>
      </c>
      <c r="AG43" s="25">
        <f t="shared" si="34"/>
        <v>103600.00000000007</v>
      </c>
      <c r="AH43" s="25">
        <f t="shared" si="31"/>
        <v>3108000.0000000023</v>
      </c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</row>
    <row r="44" spans="1:51" outlineLevel="2" x14ac:dyDescent="0.25">
      <c r="A44" s="21" t="s">
        <v>21</v>
      </c>
      <c r="B44" s="22" t="s">
        <v>22</v>
      </c>
      <c r="C44" s="22" t="s">
        <v>54</v>
      </c>
      <c r="D44" s="25">
        <f>(D$15*3.5)*1000</f>
        <v>6299.99999999994</v>
      </c>
      <c r="E44" s="25">
        <f t="shared" ref="E44:AG44" si="35">(E$15*3.5)*1000</f>
        <v>6299.99999999994</v>
      </c>
      <c r="F44" s="25">
        <f t="shared" si="35"/>
        <v>6299.99999999994</v>
      </c>
      <c r="G44" s="25">
        <f t="shared" si="35"/>
        <v>6299.99999999994</v>
      </c>
      <c r="H44" s="25">
        <f t="shared" si="35"/>
        <v>6299.99999999994</v>
      </c>
      <c r="I44" s="25">
        <f t="shared" si="35"/>
        <v>6299.99999999994</v>
      </c>
      <c r="J44" s="25">
        <f t="shared" si="35"/>
        <v>6299.99999999994</v>
      </c>
      <c r="K44" s="25">
        <f t="shared" si="35"/>
        <v>6299.99999999994</v>
      </c>
      <c r="L44" s="25">
        <f t="shared" si="35"/>
        <v>6299.99999999994</v>
      </c>
      <c r="M44" s="25">
        <f t="shared" si="35"/>
        <v>6299.99999999994</v>
      </c>
      <c r="N44" s="25">
        <f t="shared" si="35"/>
        <v>6299.99999999994</v>
      </c>
      <c r="O44" s="25">
        <f t="shared" si="35"/>
        <v>6299.99999999994</v>
      </c>
      <c r="P44" s="25">
        <f t="shared" si="35"/>
        <v>6299.99999999994</v>
      </c>
      <c r="Q44" s="25">
        <f t="shared" si="35"/>
        <v>6299.99999999994</v>
      </c>
      <c r="R44" s="25">
        <f t="shared" si="35"/>
        <v>6299.99999999994</v>
      </c>
      <c r="S44" s="25">
        <f t="shared" si="35"/>
        <v>6299.99999999994</v>
      </c>
      <c r="T44" s="25">
        <f t="shared" si="35"/>
        <v>6299.99999999994</v>
      </c>
      <c r="U44" s="25">
        <f t="shared" si="35"/>
        <v>6299.99999999994</v>
      </c>
      <c r="V44" s="25">
        <f t="shared" si="35"/>
        <v>6299.99999999994</v>
      </c>
      <c r="W44" s="25">
        <f t="shared" si="35"/>
        <v>6299.99999999994</v>
      </c>
      <c r="X44" s="25">
        <f t="shared" si="35"/>
        <v>6299.99999999994</v>
      </c>
      <c r="Y44" s="25">
        <f t="shared" si="35"/>
        <v>6299.99999999994</v>
      </c>
      <c r="Z44" s="25">
        <f t="shared" si="35"/>
        <v>6299.99999999994</v>
      </c>
      <c r="AA44" s="25">
        <f t="shared" si="35"/>
        <v>6299.99999999994</v>
      </c>
      <c r="AB44" s="25">
        <f t="shared" si="35"/>
        <v>6299.99999999994</v>
      </c>
      <c r="AC44" s="25">
        <f t="shared" si="35"/>
        <v>6299.99999999994</v>
      </c>
      <c r="AD44" s="25">
        <f t="shared" si="35"/>
        <v>6299.99999999994</v>
      </c>
      <c r="AE44" s="25">
        <f t="shared" si="35"/>
        <v>6299.99999999994</v>
      </c>
      <c r="AF44" s="25">
        <f t="shared" si="35"/>
        <v>6299.99999999994</v>
      </c>
      <c r="AG44" s="25">
        <f t="shared" si="35"/>
        <v>6299.99999999994</v>
      </c>
      <c r="AH44" s="25">
        <f t="shared" si="31"/>
        <v>188999.9999999982</v>
      </c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</row>
    <row r="45" spans="1:51" outlineLevel="2" x14ac:dyDescent="0.25">
      <c r="A45" s="21" t="s">
        <v>23</v>
      </c>
      <c r="B45" s="22" t="s">
        <v>24</v>
      </c>
      <c r="C45" s="22" t="s">
        <v>54</v>
      </c>
      <c r="D45" s="25">
        <f>(D$16*3.5)*1000</f>
        <v>121800.00000000004</v>
      </c>
      <c r="E45" s="25">
        <f t="shared" ref="E45:AG45" si="36">(E$16*3.5)*1000</f>
        <v>121800.00000000004</v>
      </c>
      <c r="F45" s="25">
        <f t="shared" si="36"/>
        <v>121800.00000000004</v>
      </c>
      <c r="G45" s="25">
        <f t="shared" si="36"/>
        <v>121800.00000000004</v>
      </c>
      <c r="H45" s="25">
        <f t="shared" si="36"/>
        <v>121800.00000000004</v>
      </c>
      <c r="I45" s="25">
        <f t="shared" si="36"/>
        <v>121800.00000000004</v>
      </c>
      <c r="J45" s="25">
        <f t="shared" si="36"/>
        <v>121800.00000000004</v>
      </c>
      <c r="K45" s="25">
        <f t="shared" si="36"/>
        <v>121800.00000000004</v>
      </c>
      <c r="L45" s="25">
        <f t="shared" si="36"/>
        <v>121800.00000000004</v>
      </c>
      <c r="M45" s="25">
        <f t="shared" si="36"/>
        <v>121800.00000000004</v>
      </c>
      <c r="N45" s="25">
        <f t="shared" si="36"/>
        <v>121800.00000000004</v>
      </c>
      <c r="O45" s="25">
        <f t="shared" si="36"/>
        <v>121800.00000000004</v>
      </c>
      <c r="P45" s="25">
        <f t="shared" si="36"/>
        <v>121800.00000000004</v>
      </c>
      <c r="Q45" s="25">
        <f t="shared" si="36"/>
        <v>121800.00000000004</v>
      </c>
      <c r="R45" s="25">
        <f t="shared" si="36"/>
        <v>121800.00000000004</v>
      </c>
      <c r="S45" s="25">
        <f t="shared" si="36"/>
        <v>121800.00000000004</v>
      </c>
      <c r="T45" s="25">
        <f t="shared" si="36"/>
        <v>121800.00000000004</v>
      </c>
      <c r="U45" s="25">
        <f t="shared" si="36"/>
        <v>121800.00000000004</v>
      </c>
      <c r="V45" s="25">
        <f t="shared" si="36"/>
        <v>121800.00000000004</v>
      </c>
      <c r="W45" s="25">
        <f t="shared" si="36"/>
        <v>121800.00000000004</v>
      </c>
      <c r="X45" s="25">
        <f t="shared" si="36"/>
        <v>121800.00000000004</v>
      </c>
      <c r="Y45" s="25">
        <f t="shared" si="36"/>
        <v>121800.00000000004</v>
      </c>
      <c r="Z45" s="25">
        <f t="shared" si="36"/>
        <v>121800.00000000004</v>
      </c>
      <c r="AA45" s="25">
        <f t="shared" si="36"/>
        <v>121800.00000000004</v>
      </c>
      <c r="AB45" s="25">
        <f t="shared" si="36"/>
        <v>121800.00000000004</v>
      </c>
      <c r="AC45" s="25">
        <f t="shared" si="36"/>
        <v>121800.00000000004</v>
      </c>
      <c r="AD45" s="25">
        <f t="shared" si="36"/>
        <v>121800.00000000004</v>
      </c>
      <c r="AE45" s="25">
        <f t="shared" si="36"/>
        <v>121800.00000000004</v>
      </c>
      <c r="AF45" s="25">
        <f t="shared" si="36"/>
        <v>121800.00000000004</v>
      </c>
      <c r="AG45" s="25">
        <f t="shared" si="36"/>
        <v>121800.00000000004</v>
      </c>
      <c r="AH45" s="25">
        <f t="shared" si="31"/>
        <v>3653999.9999999981</v>
      </c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</row>
    <row r="46" spans="1:51" outlineLevel="2" x14ac:dyDescent="0.25">
      <c r="A46" s="21" t="s">
        <v>25</v>
      </c>
      <c r="B46" s="22" t="s">
        <v>26</v>
      </c>
      <c r="C46" s="22" t="s">
        <v>54</v>
      </c>
      <c r="D46" s="25">
        <f>(D$17*3.5)*1000</f>
        <v>35699.999999999964</v>
      </c>
      <c r="E46" s="25">
        <f t="shared" ref="E46:AG46" si="37">(E$17*3.5)*1000</f>
        <v>35699.999999999964</v>
      </c>
      <c r="F46" s="25">
        <f t="shared" si="37"/>
        <v>35699.999999999964</v>
      </c>
      <c r="G46" s="25">
        <f t="shared" si="37"/>
        <v>35699.999999999964</v>
      </c>
      <c r="H46" s="25">
        <f t="shared" si="37"/>
        <v>35699.999999999964</v>
      </c>
      <c r="I46" s="25">
        <f t="shared" si="37"/>
        <v>35699.999999999964</v>
      </c>
      <c r="J46" s="25">
        <f t="shared" si="37"/>
        <v>35699.999999999964</v>
      </c>
      <c r="K46" s="25">
        <f t="shared" si="37"/>
        <v>35699.999999999964</v>
      </c>
      <c r="L46" s="25">
        <f t="shared" si="37"/>
        <v>35699.999999999964</v>
      </c>
      <c r="M46" s="25">
        <f t="shared" si="37"/>
        <v>35699.999999999964</v>
      </c>
      <c r="N46" s="25">
        <f t="shared" si="37"/>
        <v>35699.999999999964</v>
      </c>
      <c r="O46" s="25">
        <f t="shared" si="37"/>
        <v>35699.999999999964</v>
      </c>
      <c r="P46" s="25">
        <f t="shared" si="37"/>
        <v>35699.999999999964</v>
      </c>
      <c r="Q46" s="25">
        <f t="shared" si="37"/>
        <v>35699.999999999964</v>
      </c>
      <c r="R46" s="25">
        <f t="shared" si="37"/>
        <v>35699.999999999964</v>
      </c>
      <c r="S46" s="25">
        <f t="shared" si="37"/>
        <v>35699.999999999964</v>
      </c>
      <c r="T46" s="25">
        <f t="shared" si="37"/>
        <v>35699.999999999964</v>
      </c>
      <c r="U46" s="25">
        <f t="shared" si="37"/>
        <v>35699.999999999964</v>
      </c>
      <c r="V46" s="25">
        <f t="shared" si="37"/>
        <v>35699.999999999964</v>
      </c>
      <c r="W46" s="25">
        <f t="shared" si="37"/>
        <v>35699.999999999964</v>
      </c>
      <c r="X46" s="25">
        <f t="shared" si="37"/>
        <v>35699.999999999964</v>
      </c>
      <c r="Y46" s="25">
        <f t="shared" si="37"/>
        <v>35699.999999999964</v>
      </c>
      <c r="Z46" s="25">
        <f t="shared" si="37"/>
        <v>35699.999999999964</v>
      </c>
      <c r="AA46" s="25">
        <f t="shared" si="37"/>
        <v>35699.999999999964</v>
      </c>
      <c r="AB46" s="25">
        <f t="shared" si="37"/>
        <v>35699.999999999964</v>
      </c>
      <c r="AC46" s="25">
        <f t="shared" si="37"/>
        <v>35699.999999999964</v>
      </c>
      <c r="AD46" s="25">
        <f t="shared" si="37"/>
        <v>35699.999999999964</v>
      </c>
      <c r="AE46" s="25">
        <f t="shared" si="37"/>
        <v>35699.999999999964</v>
      </c>
      <c r="AF46" s="25">
        <f t="shared" si="37"/>
        <v>35699.999999999964</v>
      </c>
      <c r="AG46" s="25">
        <f t="shared" si="37"/>
        <v>35699.999999999964</v>
      </c>
      <c r="AH46" s="25">
        <f t="shared" si="31"/>
        <v>1070999.9999999988</v>
      </c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</row>
    <row r="47" spans="1:51" outlineLevel="2" x14ac:dyDescent="0.25">
      <c r="A47" s="21" t="s">
        <v>27</v>
      </c>
      <c r="B47" s="22" t="s">
        <v>28</v>
      </c>
      <c r="C47" s="22" t="s">
        <v>54</v>
      </c>
      <c r="D47" s="25">
        <f>(D$18*3.5)*1000</f>
        <v>6300.00000000004</v>
      </c>
      <c r="E47" s="25">
        <f t="shared" ref="E47:AG47" si="38">(E$18*3.5)*1000</f>
        <v>6300.00000000004</v>
      </c>
      <c r="F47" s="25">
        <f t="shared" si="38"/>
        <v>6300.00000000004</v>
      </c>
      <c r="G47" s="25">
        <f t="shared" si="38"/>
        <v>6300.00000000004</v>
      </c>
      <c r="H47" s="25">
        <f t="shared" si="38"/>
        <v>6300.00000000004</v>
      </c>
      <c r="I47" s="25">
        <f t="shared" si="38"/>
        <v>6300.00000000004</v>
      </c>
      <c r="J47" s="25">
        <f t="shared" si="38"/>
        <v>6300.00000000004</v>
      </c>
      <c r="K47" s="25">
        <f t="shared" si="38"/>
        <v>6300.00000000004</v>
      </c>
      <c r="L47" s="25">
        <f t="shared" si="38"/>
        <v>6300.00000000004</v>
      </c>
      <c r="M47" s="25">
        <f t="shared" si="38"/>
        <v>6300.00000000004</v>
      </c>
      <c r="N47" s="25">
        <f t="shared" si="38"/>
        <v>6300.00000000004</v>
      </c>
      <c r="O47" s="25">
        <f t="shared" si="38"/>
        <v>6300.00000000004</v>
      </c>
      <c r="P47" s="25">
        <f t="shared" si="38"/>
        <v>6300.00000000004</v>
      </c>
      <c r="Q47" s="25">
        <f t="shared" si="38"/>
        <v>6300.00000000004</v>
      </c>
      <c r="R47" s="25">
        <f t="shared" si="38"/>
        <v>6300.00000000004</v>
      </c>
      <c r="S47" s="25">
        <f t="shared" si="38"/>
        <v>6300.00000000004</v>
      </c>
      <c r="T47" s="25">
        <f t="shared" si="38"/>
        <v>6300.00000000004</v>
      </c>
      <c r="U47" s="25">
        <f t="shared" si="38"/>
        <v>6300.00000000004</v>
      </c>
      <c r="V47" s="25">
        <f t="shared" si="38"/>
        <v>6300.00000000004</v>
      </c>
      <c r="W47" s="25">
        <f t="shared" si="38"/>
        <v>6300.00000000004</v>
      </c>
      <c r="X47" s="25">
        <f t="shared" si="38"/>
        <v>6300.00000000004</v>
      </c>
      <c r="Y47" s="25">
        <f t="shared" si="38"/>
        <v>6300.00000000004</v>
      </c>
      <c r="Z47" s="25">
        <f t="shared" si="38"/>
        <v>6300.00000000004</v>
      </c>
      <c r="AA47" s="25">
        <f t="shared" si="38"/>
        <v>6300.00000000004</v>
      </c>
      <c r="AB47" s="25">
        <f t="shared" si="38"/>
        <v>6300.00000000004</v>
      </c>
      <c r="AC47" s="25">
        <f t="shared" si="38"/>
        <v>6300.00000000004</v>
      </c>
      <c r="AD47" s="25">
        <f t="shared" si="38"/>
        <v>6300.00000000004</v>
      </c>
      <c r="AE47" s="25">
        <f t="shared" si="38"/>
        <v>6300.00000000004</v>
      </c>
      <c r="AF47" s="25">
        <f t="shared" si="38"/>
        <v>6300.00000000004</v>
      </c>
      <c r="AG47" s="25">
        <f t="shared" si="38"/>
        <v>6300.00000000004</v>
      </c>
      <c r="AH47" s="25">
        <f t="shared" si="31"/>
        <v>189000.00000000119</v>
      </c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</row>
    <row r="48" spans="1:51" outlineLevel="2" x14ac:dyDescent="0.25">
      <c r="A48" s="21" t="s">
        <v>29</v>
      </c>
      <c r="B48" s="22" t="s">
        <v>30</v>
      </c>
      <c r="C48" s="22" t="s">
        <v>54</v>
      </c>
      <c r="D48" s="25">
        <f>(D$19*3.5)*1000</f>
        <v>280700.00000000006</v>
      </c>
      <c r="E48" s="25">
        <f t="shared" ref="E48:AG48" si="39">(E$19*3.5)*1000</f>
        <v>280700.00000000006</v>
      </c>
      <c r="F48" s="25">
        <f t="shared" si="39"/>
        <v>280700.00000000006</v>
      </c>
      <c r="G48" s="25">
        <f t="shared" si="39"/>
        <v>280700.00000000006</v>
      </c>
      <c r="H48" s="25">
        <f t="shared" si="39"/>
        <v>280700.00000000006</v>
      </c>
      <c r="I48" s="25">
        <f t="shared" si="39"/>
        <v>280700.00000000006</v>
      </c>
      <c r="J48" s="25">
        <f t="shared" si="39"/>
        <v>280700.00000000006</v>
      </c>
      <c r="K48" s="25">
        <f t="shared" si="39"/>
        <v>280700.00000000006</v>
      </c>
      <c r="L48" s="25">
        <f t="shared" si="39"/>
        <v>280700.00000000006</v>
      </c>
      <c r="M48" s="25">
        <f t="shared" si="39"/>
        <v>280700.00000000006</v>
      </c>
      <c r="N48" s="25">
        <f t="shared" si="39"/>
        <v>280700.00000000006</v>
      </c>
      <c r="O48" s="25">
        <f t="shared" si="39"/>
        <v>280700.00000000006</v>
      </c>
      <c r="P48" s="25">
        <f t="shared" si="39"/>
        <v>280700.00000000006</v>
      </c>
      <c r="Q48" s="25">
        <f t="shared" si="39"/>
        <v>280700.00000000006</v>
      </c>
      <c r="R48" s="25">
        <f t="shared" si="39"/>
        <v>280700.00000000006</v>
      </c>
      <c r="S48" s="25">
        <f t="shared" si="39"/>
        <v>280700.00000000006</v>
      </c>
      <c r="T48" s="25">
        <f t="shared" si="39"/>
        <v>280700.00000000006</v>
      </c>
      <c r="U48" s="25">
        <f t="shared" si="39"/>
        <v>280700.00000000006</v>
      </c>
      <c r="V48" s="25">
        <f t="shared" si="39"/>
        <v>280700.00000000006</v>
      </c>
      <c r="W48" s="25">
        <f t="shared" si="39"/>
        <v>280700.00000000006</v>
      </c>
      <c r="X48" s="25">
        <f t="shared" si="39"/>
        <v>280700.00000000006</v>
      </c>
      <c r="Y48" s="25">
        <f t="shared" si="39"/>
        <v>280700.00000000006</v>
      </c>
      <c r="Z48" s="25">
        <f t="shared" si="39"/>
        <v>280700.00000000006</v>
      </c>
      <c r="AA48" s="25">
        <f t="shared" si="39"/>
        <v>280700.00000000006</v>
      </c>
      <c r="AB48" s="25">
        <f t="shared" si="39"/>
        <v>280700.00000000006</v>
      </c>
      <c r="AC48" s="25">
        <f t="shared" si="39"/>
        <v>280700.00000000006</v>
      </c>
      <c r="AD48" s="25">
        <f t="shared" si="39"/>
        <v>280700.00000000006</v>
      </c>
      <c r="AE48" s="25">
        <f t="shared" si="39"/>
        <v>280700.00000000006</v>
      </c>
      <c r="AF48" s="25">
        <f t="shared" si="39"/>
        <v>280700.00000000006</v>
      </c>
      <c r="AG48" s="25">
        <f t="shared" si="39"/>
        <v>280700.00000000006</v>
      </c>
      <c r="AH48" s="25">
        <f t="shared" si="31"/>
        <v>8421000</v>
      </c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</row>
    <row r="49" spans="1:51" outlineLevel="2" x14ac:dyDescent="0.25">
      <c r="A49" s="21" t="s">
        <v>31</v>
      </c>
      <c r="B49" s="22" t="s">
        <v>32</v>
      </c>
      <c r="C49" s="22" t="s">
        <v>54</v>
      </c>
      <c r="D49" s="25">
        <f>(D$20*3.5)*1000</f>
        <v>185500</v>
      </c>
      <c r="E49" s="25">
        <f t="shared" ref="E49:AG49" si="40">(E$20*3.5)*1000</f>
        <v>185500</v>
      </c>
      <c r="F49" s="25">
        <f t="shared" si="40"/>
        <v>185500</v>
      </c>
      <c r="G49" s="25">
        <f t="shared" si="40"/>
        <v>185500</v>
      </c>
      <c r="H49" s="25">
        <f t="shared" si="40"/>
        <v>185500</v>
      </c>
      <c r="I49" s="25">
        <f t="shared" si="40"/>
        <v>185500</v>
      </c>
      <c r="J49" s="25">
        <f t="shared" si="40"/>
        <v>185500</v>
      </c>
      <c r="K49" s="25">
        <f t="shared" si="40"/>
        <v>185500</v>
      </c>
      <c r="L49" s="25">
        <f t="shared" si="40"/>
        <v>185500</v>
      </c>
      <c r="M49" s="25">
        <f t="shared" si="40"/>
        <v>185500</v>
      </c>
      <c r="N49" s="25">
        <f t="shared" si="40"/>
        <v>185500</v>
      </c>
      <c r="O49" s="25">
        <f t="shared" si="40"/>
        <v>185500</v>
      </c>
      <c r="P49" s="25">
        <f t="shared" si="40"/>
        <v>185500</v>
      </c>
      <c r="Q49" s="25">
        <f t="shared" si="40"/>
        <v>185500</v>
      </c>
      <c r="R49" s="25">
        <f t="shared" si="40"/>
        <v>185500</v>
      </c>
      <c r="S49" s="25">
        <f t="shared" si="40"/>
        <v>185500</v>
      </c>
      <c r="T49" s="25">
        <f t="shared" si="40"/>
        <v>185500</v>
      </c>
      <c r="U49" s="25">
        <f t="shared" si="40"/>
        <v>185500</v>
      </c>
      <c r="V49" s="25">
        <f t="shared" si="40"/>
        <v>185500</v>
      </c>
      <c r="W49" s="25">
        <f t="shared" si="40"/>
        <v>185500</v>
      </c>
      <c r="X49" s="25">
        <f t="shared" si="40"/>
        <v>185500</v>
      </c>
      <c r="Y49" s="25">
        <f t="shared" si="40"/>
        <v>185500</v>
      </c>
      <c r="Z49" s="25">
        <f t="shared" si="40"/>
        <v>185500</v>
      </c>
      <c r="AA49" s="25">
        <f t="shared" si="40"/>
        <v>185500</v>
      </c>
      <c r="AB49" s="25">
        <f t="shared" si="40"/>
        <v>185500</v>
      </c>
      <c r="AC49" s="25">
        <f t="shared" si="40"/>
        <v>185500</v>
      </c>
      <c r="AD49" s="25">
        <f t="shared" si="40"/>
        <v>185500</v>
      </c>
      <c r="AE49" s="25">
        <f t="shared" si="40"/>
        <v>185500</v>
      </c>
      <c r="AF49" s="25">
        <f t="shared" si="40"/>
        <v>185500</v>
      </c>
      <c r="AG49" s="25">
        <f t="shared" si="40"/>
        <v>185500</v>
      </c>
      <c r="AH49" s="25">
        <f t="shared" si="31"/>
        <v>5565000</v>
      </c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</row>
    <row r="50" spans="1:51" outlineLevel="2" x14ac:dyDescent="0.25">
      <c r="A50" s="21" t="s">
        <v>33</v>
      </c>
      <c r="B50" s="22" t="s">
        <v>34</v>
      </c>
      <c r="C50" s="22" t="s">
        <v>54</v>
      </c>
      <c r="D50" s="25">
        <f>(D$21*3.5)*1000</f>
        <v>57399.99999999992</v>
      </c>
      <c r="E50" s="25">
        <f t="shared" ref="E50:AG50" si="41">(E$21*3.5)*1000</f>
        <v>57399.99999999992</v>
      </c>
      <c r="F50" s="25">
        <f t="shared" si="41"/>
        <v>57399.99999999992</v>
      </c>
      <c r="G50" s="25">
        <f t="shared" si="41"/>
        <v>57399.99999999992</v>
      </c>
      <c r="H50" s="25">
        <f t="shared" si="41"/>
        <v>57399.99999999992</v>
      </c>
      <c r="I50" s="25">
        <f t="shared" si="41"/>
        <v>57399.99999999992</v>
      </c>
      <c r="J50" s="25">
        <f t="shared" si="41"/>
        <v>57399.99999999992</v>
      </c>
      <c r="K50" s="25">
        <f t="shared" si="41"/>
        <v>57399.99999999992</v>
      </c>
      <c r="L50" s="25">
        <f t="shared" si="41"/>
        <v>57399.99999999992</v>
      </c>
      <c r="M50" s="25">
        <f t="shared" si="41"/>
        <v>57399.99999999992</v>
      </c>
      <c r="N50" s="25">
        <f t="shared" si="41"/>
        <v>57399.99999999992</v>
      </c>
      <c r="O50" s="25">
        <f t="shared" si="41"/>
        <v>57399.99999999992</v>
      </c>
      <c r="P50" s="25">
        <f t="shared" si="41"/>
        <v>57399.99999999992</v>
      </c>
      <c r="Q50" s="25">
        <f t="shared" si="41"/>
        <v>57399.99999999992</v>
      </c>
      <c r="R50" s="25">
        <f t="shared" si="41"/>
        <v>57399.99999999992</v>
      </c>
      <c r="S50" s="25">
        <f t="shared" si="41"/>
        <v>57399.99999999992</v>
      </c>
      <c r="T50" s="25">
        <f t="shared" si="41"/>
        <v>57399.99999999992</v>
      </c>
      <c r="U50" s="25">
        <f t="shared" si="41"/>
        <v>57399.99999999992</v>
      </c>
      <c r="V50" s="25">
        <f t="shared" si="41"/>
        <v>57399.99999999992</v>
      </c>
      <c r="W50" s="25">
        <f t="shared" si="41"/>
        <v>57399.99999999992</v>
      </c>
      <c r="X50" s="25">
        <f t="shared" si="41"/>
        <v>57399.99999999992</v>
      </c>
      <c r="Y50" s="25">
        <f t="shared" si="41"/>
        <v>57399.99999999992</v>
      </c>
      <c r="Z50" s="25">
        <f t="shared" si="41"/>
        <v>57399.99999999992</v>
      </c>
      <c r="AA50" s="25">
        <f t="shared" si="41"/>
        <v>57399.99999999992</v>
      </c>
      <c r="AB50" s="25">
        <f t="shared" si="41"/>
        <v>57399.99999999992</v>
      </c>
      <c r="AC50" s="25">
        <f t="shared" si="41"/>
        <v>57399.99999999992</v>
      </c>
      <c r="AD50" s="25">
        <f t="shared" si="41"/>
        <v>57399.99999999992</v>
      </c>
      <c r="AE50" s="25">
        <f t="shared" si="41"/>
        <v>57399.99999999992</v>
      </c>
      <c r="AF50" s="25">
        <f t="shared" si="41"/>
        <v>57399.99999999992</v>
      </c>
      <c r="AG50" s="25">
        <f t="shared" si="41"/>
        <v>57399.99999999992</v>
      </c>
      <c r="AH50" s="25">
        <f t="shared" si="31"/>
        <v>1721999.9999999977</v>
      </c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</row>
    <row r="51" spans="1:51" outlineLevel="2" x14ac:dyDescent="0.25">
      <c r="A51" s="21" t="s">
        <v>35</v>
      </c>
      <c r="B51" s="22" t="s">
        <v>36</v>
      </c>
      <c r="C51" s="22" t="s">
        <v>54</v>
      </c>
      <c r="D51" s="25">
        <f>(D$22*3.5)*1000</f>
        <v>80500</v>
      </c>
      <c r="E51" s="25">
        <f t="shared" ref="E51:AG51" si="42">(E$22*3.5)*1000</f>
        <v>80500</v>
      </c>
      <c r="F51" s="25">
        <f t="shared" si="42"/>
        <v>80500</v>
      </c>
      <c r="G51" s="25">
        <f t="shared" si="42"/>
        <v>80500</v>
      </c>
      <c r="H51" s="25">
        <f t="shared" si="42"/>
        <v>71750</v>
      </c>
      <c r="I51" s="25">
        <f t="shared" si="42"/>
        <v>71750</v>
      </c>
      <c r="J51" s="25">
        <f t="shared" si="42"/>
        <v>71750</v>
      </c>
      <c r="K51" s="25">
        <f t="shared" si="42"/>
        <v>71750</v>
      </c>
      <c r="L51" s="25">
        <f t="shared" si="42"/>
        <v>71750</v>
      </c>
      <c r="M51" s="25">
        <f t="shared" si="42"/>
        <v>71750</v>
      </c>
      <c r="N51" s="25">
        <f t="shared" si="42"/>
        <v>71750</v>
      </c>
      <c r="O51" s="25">
        <f t="shared" si="42"/>
        <v>71750</v>
      </c>
      <c r="P51" s="25">
        <f t="shared" si="42"/>
        <v>71750</v>
      </c>
      <c r="Q51" s="25">
        <f t="shared" si="42"/>
        <v>71750</v>
      </c>
      <c r="R51" s="25">
        <f t="shared" si="42"/>
        <v>71750</v>
      </c>
      <c r="S51" s="25">
        <f t="shared" si="42"/>
        <v>71750</v>
      </c>
      <c r="T51" s="25">
        <f t="shared" si="42"/>
        <v>71750</v>
      </c>
      <c r="U51" s="25">
        <f t="shared" si="42"/>
        <v>71750</v>
      </c>
      <c r="V51" s="25">
        <f t="shared" si="42"/>
        <v>71750</v>
      </c>
      <c r="W51" s="25">
        <f t="shared" si="42"/>
        <v>71750</v>
      </c>
      <c r="X51" s="25">
        <f t="shared" si="42"/>
        <v>71750</v>
      </c>
      <c r="Y51" s="25">
        <f t="shared" si="42"/>
        <v>71750</v>
      </c>
      <c r="Z51" s="25">
        <f t="shared" si="42"/>
        <v>71750</v>
      </c>
      <c r="AA51" s="25">
        <f t="shared" si="42"/>
        <v>71750</v>
      </c>
      <c r="AB51" s="25">
        <f t="shared" si="42"/>
        <v>71750</v>
      </c>
      <c r="AC51" s="25">
        <f t="shared" si="42"/>
        <v>71750</v>
      </c>
      <c r="AD51" s="25">
        <f t="shared" si="42"/>
        <v>71750</v>
      </c>
      <c r="AE51" s="25">
        <f t="shared" si="42"/>
        <v>71750</v>
      </c>
      <c r="AF51" s="25">
        <f t="shared" si="42"/>
        <v>71750</v>
      </c>
      <c r="AG51" s="25">
        <f t="shared" si="42"/>
        <v>71750</v>
      </c>
      <c r="AH51" s="25">
        <f t="shared" si="31"/>
        <v>2187500</v>
      </c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</row>
    <row r="52" spans="1:51" ht="14.4" x14ac:dyDescent="0.25">
      <c r="A52" s="385" t="s">
        <v>55</v>
      </c>
      <c r="B52" s="386"/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</row>
    <row r="53" spans="1:51" ht="14.4" x14ac:dyDescent="0.3">
      <c r="A53" s="15">
        <v>2</v>
      </c>
      <c r="B53" s="16" t="s">
        <v>56</v>
      </c>
      <c r="C53" s="16" t="s">
        <v>54</v>
      </c>
      <c r="D53" s="17">
        <f t="shared" ref="D53:AH53" si="43">SUM(D54:D65)</f>
        <v>0</v>
      </c>
      <c r="E53" s="17">
        <f t="shared" si="43"/>
        <v>0</v>
      </c>
      <c r="F53" s="17">
        <f t="shared" si="43"/>
        <v>0</v>
      </c>
      <c r="G53" s="17">
        <f t="shared" si="43"/>
        <v>0</v>
      </c>
      <c r="H53" s="17">
        <f t="shared" si="43"/>
        <v>0</v>
      </c>
      <c r="I53" s="17">
        <f t="shared" si="43"/>
        <v>0</v>
      </c>
      <c r="J53" s="17">
        <f t="shared" si="43"/>
        <v>0</v>
      </c>
      <c r="K53" s="17">
        <f t="shared" si="43"/>
        <v>0</v>
      </c>
      <c r="L53" s="17">
        <f t="shared" si="43"/>
        <v>0</v>
      </c>
      <c r="M53" s="17">
        <f t="shared" si="43"/>
        <v>0</v>
      </c>
      <c r="N53" s="17">
        <f t="shared" si="43"/>
        <v>0</v>
      </c>
      <c r="O53" s="17">
        <f t="shared" si="43"/>
        <v>0</v>
      </c>
      <c r="P53" s="17">
        <f t="shared" si="43"/>
        <v>0</v>
      </c>
      <c r="Q53" s="17">
        <f t="shared" si="43"/>
        <v>0</v>
      </c>
      <c r="R53" s="17">
        <f t="shared" si="43"/>
        <v>0</v>
      </c>
      <c r="S53" s="17">
        <f t="shared" si="43"/>
        <v>0</v>
      </c>
      <c r="T53" s="17">
        <f t="shared" si="43"/>
        <v>0</v>
      </c>
      <c r="U53" s="17">
        <f t="shared" si="43"/>
        <v>0</v>
      </c>
      <c r="V53" s="17">
        <f t="shared" si="43"/>
        <v>0</v>
      </c>
      <c r="W53" s="17">
        <f t="shared" si="43"/>
        <v>0</v>
      </c>
      <c r="X53" s="17">
        <f t="shared" si="43"/>
        <v>0</v>
      </c>
      <c r="Y53" s="17">
        <f t="shared" si="43"/>
        <v>0</v>
      </c>
      <c r="Z53" s="17">
        <f t="shared" si="43"/>
        <v>0</v>
      </c>
      <c r="AA53" s="17">
        <f t="shared" si="43"/>
        <v>0</v>
      </c>
      <c r="AB53" s="17">
        <f t="shared" si="43"/>
        <v>0</v>
      </c>
      <c r="AC53" s="17">
        <f t="shared" si="43"/>
        <v>0</v>
      </c>
      <c r="AD53" s="17">
        <f t="shared" si="43"/>
        <v>0</v>
      </c>
      <c r="AE53" s="17">
        <f t="shared" si="43"/>
        <v>0</v>
      </c>
      <c r="AF53" s="17">
        <f t="shared" si="43"/>
        <v>0</v>
      </c>
      <c r="AG53" s="17">
        <f t="shared" si="43"/>
        <v>0</v>
      </c>
      <c r="AH53" s="17">
        <f t="shared" si="43"/>
        <v>0</v>
      </c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</row>
    <row r="54" spans="1:51" ht="14.4" outlineLevel="1" x14ac:dyDescent="0.3">
      <c r="A54" s="21" t="s">
        <v>39</v>
      </c>
      <c r="B54" s="22" t="s">
        <v>13</v>
      </c>
      <c r="C54" s="22" t="s">
        <v>54</v>
      </c>
      <c r="D54" s="23">
        <f t="shared" ref="D54:AH54" si="44">D25*2.5*1000</f>
        <v>0</v>
      </c>
      <c r="E54" s="23">
        <f t="shared" si="44"/>
        <v>0</v>
      </c>
      <c r="F54" s="23">
        <f t="shared" si="44"/>
        <v>0</v>
      </c>
      <c r="G54" s="23">
        <f t="shared" si="44"/>
        <v>0</v>
      </c>
      <c r="H54" s="23">
        <f t="shared" si="44"/>
        <v>0</v>
      </c>
      <c r="I54" s="23">
        <f t="shared" si="44"/>
        <v>0</v>
      </c>
      <c r="J54" s="23">
        <f t="shared" si="44"/>
        <v>0</v>
      </c>
      <c r="K54" s="23">
        <f t="shared" si="44"/>
        <v>0</v>
      </c>
      <c r="L54" s="23">
        <f t="shared" si="44"/>
        <v>0</v>
      </c>
      <c r="M54" s="23">
        <f t="shared" si="44"/>
        <v>0</v>
      </c>
      <c r="N54" s="23">
        <f t="shared" si="44"/>
        <v>0</v>
      </c>
      <c r="O54" s="23">
        <f t="shared" si="44"/>
        <v>0</v>
      </c>
      <c r="P54" s="23">
        <f t="shared" si="44"/>
        <v>0</v>
      </c>
      <c r="Q54" s="23">
        <f t="shared" si="44"/>
        <v>0</v>
      </c>
      <c r="R54" s="23">
        <f t="shared" si="44"/>
        <v>0</v>
      </c>
      <c r="S54" s="23">
        <f t="shared" si="44"/>
        <v>0</v>
      </c>
      <c r="T54" s="23">
        <f t="shared" si="44"/>
        <v>0</v>
      </c>
      <c r="U54" s="23">
        <f t="shared" si="44"/>
        <v>0</v>
      </c>
      <c r="V54" s="23">
        <f t="shared" si="44"/>
        <v>0</v>
      </c>
      <c r="W54" s="23">
        <f t="shared" si="44"/>
        <v>0</v>
      </c>
      <c r="X54" s="23">
        <f t="shared" si="44"/>
        <v>0</v>
      </c>
      <c r="Y54" s="23">
        <f t="shared" si="44"/>
        <v>0</v>
      </c>
      <c r="Z54" s="23">
        <f t="shared" si="44"/>
        <v>0</v>
      </c>
      <c r="AA54" s="23">
        <f t="shared" si="44"/>
        <v>0</v>
      </c>
      <c r="AB54" s="23">
        <f t="shared" si="44"/>
        <v>0</v>
      </c>
      <c r="AC54" s="23">
        <f t="shared" si="44"/>
        <v>0</v>
      </c>
      <c r="AD54" s="23">
        <f t="shared" si="44"/>
        <v>0</v>
      </c>
      <c r="AE54" s="23">
        <f t="shared" si="44"/>
        <v>0</v>
      </c>
      <c r="AF54" s="23">
        <f t="shared" si="44"/>
        <v>0</v>
      </c>
      <c r="AG54" s="23">
        <f t="shared" si="44"/>
        <v>0</v>
      </c>
      <c r="AH54" s="23">
        <f t="shared" si="44"/>
        <v>0</v>
      </c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</row>
    <row r="55" spans="1:51" outlineLevel="2" x14ac:dyDescent="0.25">
      <c r="A55" s="21" t="s">
        <v>40</v>
      </c>
      <c r="B55" s="22" t="s">
        <v>16</v>
      </c>
      <c r="C55" s="22" t="s">
        <v>54</v>
      </c>
      <c r="D55" s="25">
        <f t="shared" ref="D55:AG55" si="45">(D26*2.5)*1000</f>
        <v>0</v>
      </c>
      <c r="E55" s="25">
        <f t="shared" si="45"/>
        <v>0</v>
      </c>
      <c r="F55" s="25">
        <f t="shared" si="45"/>
        <v>0</v>
      </c>
      <c r="G55" s="25">
        <f t="shared" si="45"/>
        <v>0</v>
      </c>
      <c r="H55" s="25">
        <f t="shared" si="45"/>
        <v>0</v>
      </c>
      <c r="I55" s="25">
        <f t="shared" si="45"/>
        <v>0</v>
      </c>
      <c r="J55" s="25">
        <f t="shared" si="45"/>
        <v>0</v>
      </c>
      <c r="K55" s="25">
        <f t="shared" si="45"/>
        <v>0</v>
      </c>
      <c r="L55" s="25">
        <f t="shared" si="45"/>
        <v>0</v>
      </c>
      <c r="M55" s="25">
        <f t="shared" si="45"/>
        <v>0</v>
      </c>
      <c r="N55" s="25">
        <f t="shared" si="45"/>
        <v>0</v>
      </c>
      <c r="O55" s="25">
        <f t="shared" si="45"/>
        <v>0</v>
      </c>
      <c r="P55" s="25">
        <f t="shared" si="45"/>
        <v>0</v>
      </c>
      <c r="Q55" s="25">
        <f t="shared" si="45"/>
        <v>0</v>
      </c>
      <c r="R55" s="25">
        <f t="shared" si="45"/>
        <v>0</v>
      </c>
      <c r="S55" s="25">
        <f t="shared" si="45"/>
        <v>0</v>
      </c>
      <c r="T55" s="25">
        <f t="shared" si="45"/>
        <v>0</v>
      </c>
      <c r="U55" s="25">
        <f t="shared" si="45"/>
        <v>0</v>
      </c>
      <c r="V55" s="25">
        <f t="shared" si="45"/>
        <v>0</v>
      </c>
      <c r="W55" s="25">
        <f t="shared" si="45"/>
        <v>0</v>
      </c>
      <c r="X55" s="25">
        <f t="shared" si="45"/>
        <v>0</v>
      </c>
      <c r="Y55" s="25">
        <f t="shared" si="45"/>
        <v>0</v>
      </c>
      <c r="Z55" s="25">
        <f t="shared" si="45"/>
        <v>0</v>
      </c>
      <c r="AA55" s="25">
        <f t="shared" si="45"/>
        <v>0</v>
      </c>
      <c r="AB55" s="25">
        <f t="shared" si="45"/>
        <v>0</v>
      </c>
      <c r="AC55" s="25">
        <f t="shared" si="45"/>
        <v>0</v>
      </c>
      <c r="AD55" s="25">
        <f t="shared" si="45"/>
        <v>0</v>
      </c>
      <c r="AE55" s="25">
        <f t="shared" si="45"/>
        <v>0</v>
      </c>
      <c r="AF55" s="25">
        <f t="shared" si="45"/>
        <v>0</v>
      </c>
      <c r="AG55" s="25">
        <f t="shared" si="45"/>
        <v>0</v>
      </c>
      <c r="AH55" s="25">
        <f t="shared" ref="AH55:AH65" si="46">SUM(D55:AG55)</f>
        <v>0</v>
      </c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</row>
    <row r="56" spans="1:51" outlineLevel="2" x14ac:dyDescent="0.25">
      <c r="A56" s="21" t="s">
        <v>41</v>
      </c>
      <c r="B56" s="22" t="s">
        <v>18</v>
      </c>
      <c r="C56" s="22" t="s">
        <v>54</v>
      </c>
      <c r="D56" s="25">
        <f t="shared" ref="D56:AG56" si="47">(D27*2.5)*1000</f>
        <v>0</v>
      </c>
      <c r="E56" s="25">
        <f t="shared" si="47"/>
        <v>0</v>
      </c>
      <c r="F56" s="25">
        <f t="shared" si="47"/>
        <v>0</v>
      </c>
      <c r="G56" s="25">
        <f t="shared" si="47"/>
        <v>0</v>
      </c>
      <c r="H56" s="25">
        <f t="shared" si="47"/>
        <v>0</v>
      </c>
      <c r="I56" s="25">
        <f t="shared" si="47"/>
        <v>0</v>
      </c>
      <c r="J56" s="25">
        <f t="shared" si="47"/>
        <v>0</v>
      </c>
      <c r="K56" s="25">
        <f t="shared" si="47"/>
        <v>0</v>
      </c>
      <c r="L56" s="25">
        <f t="shared" si="47"/>
        <v>0</v>
      </c>
      <c r="M56" s="25">
        <f t="shared" si="47"/>
        <v>0</v>
      </c>
      <c r="N56" s="25">
        <f t="shared" si="47"/>
        <v>0</v>
      </c>
      <c r="O56" s="25">
        <f t="shared" si="47"/>
        <v>0</v>
      </c>
      <c r="P56" s="25">
        <f t="shared" si="47"/>
        <v>0</v>
      </c>
      <c r="Q56" s="25">
        <f t="shared" si="47"/>
        <v>0</v>
      </c>
      <c r="R56" s="25">
        <f t="shared" si="47"/>
        <v>0</v>
      </c>
      <c r="S56" s="25">
        <f t="shared" si="47"/>
        <v>0</v>
      </c>
      <c r="T56" s="25">
        <f t="shared" si="47"/>
        <v>0</v>
      </c>
      <c r="U56" s="25">
        <f t="shared" si="47"/>
        <v>0</v>
      </c>
      <c r="V56" s="25">
        <f t="shared" si="47"/>
        <v>0</v>
      </c>
      <c r="W56" s="25">
        <f t="shared" si="47"/>
        <v>0</v>
      </c>
      <c r="X56" s="25">
        <f t="shared" si="47"/>
        <v>0</v>
      </c>
      <c r="Y56" s="25">
        <f t="shared" si="47"/>
        <v>0</v>
      </c>
      <c r="Z56" s="25">
        <f t="shared" si="47"/>
        <v>0</v>
      </c>
      <c r="AA56" s="25">
        <f t="shared" si="47"/>
        <v>0</v>
      </c>
      <c r="AB56" s="25">
        <f t="shared" si="47"/>
        <v>0</v>
      </c>
      <c r="AC56" s="25">
        <f t="shared" si="47"/>
        <v>0</v>
      </c>
      <c r="AD56" s="25">
        <f t="shared" si="47"/>
        <v>0</v>
      </c>
      <c r="AE56" s="25">
        <f t="shared" si="47"/>
        <v>0</v>
      </c>
      <c r="AF56" s="25">
        <f t="shared" si="47"/>
        <v>0</v>
      </c>
      <c r="AG56" s="25">
        <f t="shared" si="47"/>
        <v>0</v>
      </c>
      <c r="AH56" s="25">
        <f t="shared" si="46"/>
        <v>0</v>
      </c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</row>
    <row r="57" spans="1:51" outlineLevel="2" x14ac:dyDescent="0.25">
      <c r="A57" s="21" t="s">
        <v>42</v>
      </c>
      <c r="B57" s="22" t="s">
        <v>20</v>
      </c>
      <c r="C57" s="22" t="s">
        <v>54</v>
      </c>
      <c r="D57" s="25">
        <f t="shared" ref="D57:AG57" si="48">(D28*2.5)*1000</f>
        <v>0</v>
      </c>
      <c r="E57" s="25">
        <f t="shared" si="48"/>
        <v>0</v>
      </c>
      <c r="F57" s="25">
        <f t="shared" si="48"/>
        <v>0</v>
      </c>
      <c r="G57" s="25">
        <f t="shared" si="48"/>
        <v>0</v>
      </c>
      <c r="H57" s="25">
        <f t="shared" si="48"/>
        <v>0</v>
      </c>
      <c r="I57" s="25">
        <f t="shared" si="48"/>
        <v>0</v>
      </c>
      <c r="J57" s="25">
        <f t="shared" si="48"/>
        <v>0</v>
      </c>
      <c r="K57" s="25">
        <f t="shared" si="48"/>
        <v>0</v>
      </c>
      <c r="L57" s="25">
        <f t="shared" si="48"/>
        <v>0</v>
      </c>
      <c r="M57" s="25">
        <f t="shared" si="48"/>
        <v>0</v>
      </c>
      <c r="N57" s="25">
        <f t="shared" si="48"/>
        <v>0</v>
      </c>
      <c r="O57" s="25">
        <f t="shared" si="48"/>
        <v>0</v>
      </c>
      <c r="P57" s="25">
        <f t="shared" si="48"/>
        <v>0</v>
      </c>
      <c r="Q57" s="25">
        <f t="shared" si="48"/>
        <v>0</v>
      </c>
      <c r="R57" s="25">
        <f t="shared" si="48"/>
        <v>0</v>
      </c>
      <c r="S57" s="25">
        <f t="shared" si="48"/>
        <v>0</v>
      </c>
      <c r="T57" s="25">
        <f t="shared" si="48"/>
        <v>0</v>
      </c>
      <c r="U57" s="25">
        <f t="shared" si="48"/>
        <v>0</v>
      </c>
      <c r="V57" s="25">
        <f t="shared" si="48"/>
        <v>0</v>
      </c>
      <c r="W57" s="25">
        <f t="shared" si="48"/>
        <v>0</v>
      </c>
      <c r="X57" s="25">
        <f t="shared" si="48"/>
        <v>0</v>
      </c>
      <c r="Y57" s="25">
        <f t="shared" si="48"/>
        <v>0</v>
      </c>
      <c r="Z57" s="25">
        <f t="shared" si="48"/>
        <v>0</v>
      </c>
      <c r="AA57" s="25">
        <f t="shared" si="48"/>
        <v>0</v>
      </c>
      <c r="AB57" s="25">
        <f t="shared" si="48"/>
        <v>0</v>
      </c>
      <c r="AC57" s="25">
        <f t="shared" si="48"/>
        <v>0</v>
      </c>
      <c r="AD57" s="25">
        <f t="shared" si="48"/>
        <v>0</v>
      </c>
      <c r="AE57" s="25">
        <f t="shared" si="48"/>
        <v>0</v>
      </c>
      <c r="AF57" s="25">
        <f t="shared" si="48"/>
        <v>0</v>
      </c>
      <c r="AG57" s="25">
        <f t="shared" si="48"/>
        <v>0</v>
      </c>
      <c r="AH57" s="25">
        <f t="shared" si="46"/>
        <v>0</v>
      </c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</row>
    <row r="58" spans="1:51" outlineLevel="2" x14ac:dyDescent="0.25">
      <c r="A58" s="21" t="s">
        <v>43</v>
      </c>
      <c r="B58" s="22" t="s">
        <v>22</v>
      </c>
      <c r="C58" s="22" t="s">
        <v>54</v>
      </c>
      <c r="D58" s="25">
        <f t="shared" ref="D58:AG58" si="49">(D29*(0.8-0.3))*1000</f>
        <v>0</v>
      </c>
      <c r="E58" s="25">
        <f t="shared" si="49"/>
        <v>0</v>
      </c>
      <c r="F58" s="25">
        <f t="shared" si="49"/>
        <v>0</v>
      </c>
      <c r="G58" s="25">
        <f t="shared" si="49"/>
        <v>0</v>
      </c>
      <c r="H58" s="25">
        <f t="shared" si="49"/>
        <v>0</v>
      </c>
      <c r="I58" s="25">
        <f t="shared" si="49"/>
        <v>0</v>
      </c>
      <c r="J58" s="25">
        <f t="shared" si="49"/>
        <v>0</v>
      </c>
      <c r="K58" s="25">
        <f t="shared" si="49"/>
        <v>0</v>
      </c>
      <c r="L58" s="25">
        <f t="shared" si="49"/>
        <v>0</v>
      </c>
      <c r="M58" s="25">
        <f t="shared" si="49"/>
        <v>0</v>
      </c>
      <c r="N58" s="25">
        <f t="shared" si="49"/>
        <v>0</v>
      </c>
      <c r="O58" s="25">
        <f t="shared" si="49"/>
        <v>0</v>
      </c>
      <c r="P58" s="25">
        <f t="shared" si="49"/>
        <v>0</v>
      </c>
      <c r="Q58" s="25">
        <f t="shared" si="49"/>
        <v>0</v>
      </c>
      <c r="R58" s="25">
        <f t="shared" si="49"/>
        <v>0</v>
      </c>
      <c r="S58" s="25">
        <f t="shared" si="49"/>
        <v>0</v>
      </c>
      <c r="T58" s="25">
        <f t="shared" si="49"/>
        <v>0</v>
      </c>
      <c r="U58" s="25">
        <f t="shared" si="49"/>
        <v>0</v>
      </c>
      <c r="V58" s="25">
        <f t="shared" si="49"/>
        <v>0</v>
      </c>
      <c r="W58" s="25">
        <f t="shared" si="49"/>
        <v>0</v>
      </c>
      <c r="X58" s="25">
        <f t="shared" si="49"/>
        <v>0</v>
      </c>
      <c r="Y58" s="25">
        <f t="shared" si="49"/>
        <v>0</v>
      </c>
      <c r="Z58" s="25">
        <f t="shared" si="49"/>
        <v>0</v>
      </c>
      <c r="AA58" s="25">
        <f t="shared" si="49"/>
        <v>0</v>
      </c>
      <c r="AB58" s="25">
        <f t="shared" si="49"/>
        <v>0</v>
      </c>
      <c r="AC58" s="25">
        <f t="shared" si="49"/>
        <v>0</v>
      </c>
      <c r="AD58" s="25">
        <f t="shared" si="49"/>
        <v>0</v>
      </c>
      <c r="AE58" s="25">
        <f t="shared" si="49"/>
        <v>0</v>
      </c>
      <c r="AF58" s="25">
        <f t="shared" si="49"/>
        <v>0</v>
      </c>
      <c r="AG58" s="25">
        <f t="shared" si="49"/>
        <v>0</v>
      </c>
      <c r="AH58" s="25">
        <f t="shared" si="46"/>
        <v>0</v>
      </c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</row>
    <row r="59" spans="1:51" outlineLevel="2" x14ac:dyDescent="0.25">
      <c r="A59" s="21" t="s">
        <v>44</v>
      </c>
      <c r="B59" s="22" t="s">
        <v>24</v>
      </c>
      <c r="C59" s="22" t="s">
        <v>54</v>
      </c>
      <c r="D59" s="25">
        <f t="shared" ref="D59:AG59" si="50">(D30*(0.8-0.3))*1000</f>
        <v>0</v>
      </c>
      <c r="E59" s="25">
        <f t="shared" si="50"/>
        <v>0</v>
      </c>
      <c r="F59" s="25">
        <f t="shared" si="50"/>
        <v>0</v>
      </c>
      <c r="G59" s="25">
        <f t="shared" si="50"/>
        <v>0</v>
      </c>
      <c r="H59" s="25">
        <f t="shared" si="50"/>
        <v>0</v>
      </c>
      <c r="I59" s="25">
        <f t="shared" si="50"/>
        <v>0</v>
      </c>
      <c r="J59" s="25">
        <f t="shared" si="50"/>
        <v>0</v>
      </c>
      <c r="K59" s="25">
        <f t="shared" si="50"/>
        <v>0</v>
      </c>
      <c r="L59" s="25">
        <f t="shared" si="50"/>
        <v>0</v>
      </c>
      <c r="M59" s="25">
        <f t="shared" si="50"/>
        <v>0</v>
      </c>
      <c r="N59" s="25">
        <f t="shared" si="50"/>
        <v>0</v>
      </c>
      <c r="O59" s="25">
        <f t="shared" si="50"/>
        <v>0</v>
      </c>
      <c r="P59" s="25">
        <f t="shared" si="50"/>
        <v>0</v>
      </c>
      <c r="Q59" s="25">
        <f t="shared" si="50"/>
        <v>0</v>
      </c>
      <c r="R59" s="25">
        <f t="shared" si="50"/>
        <v>0</v>
      </c>
      <c r="S59" s="25">
        <f t="shared" si="50"/>
        <v>0</v>
      </c>
      <c r="T59" s="25">
        <f t="shared" si="50"/>
        <v>0</v>
      </c>
      <c r="U59" s="25">
        <f t="shared" si="50"/>
        <v>0</v>
      </c>
      <c r="V59" s="25">
        <f t="shared" si="50"/>
        <v>0</v>
      </c>
      <c r="W59" s="25">
        <f t="shared" si="50"/>
        <v>0</v>
      </c>
      <c r="X59" s="25">
        <f t="shared" si="50"/>
        <v>0</v>
      </c>
      <c r="Y59" s="25">
        <f t="shared" si="50"/>
        <v>0</v>
      </c>
      <c r="Z59" s="25">
        <f t="shared" si="50"/>
        <v>0</v>
      </c>
      <c r="AA59" s="25">
        <f t="shared" si="50"/>
        <v>0</v>
      </c>
      <c r="AB59" s="25">
        <f t="shared" si="50"/>
        <v>0</v>
      </c>
      <c r="AC59" s="25">
        <f t="shared" si="50"/>
        <v>0</v>
      </c>
      <c r="AD59" s="25">
        <f t="shared" si="50"/>
        <v>0</v>
      </c>
      <c r="AE59" s="25">
        <f t="shared" si="50"/>
        <v>0</v>
      </c>
      <c r="AF59" s="25">
        <f t="shared" si="50"/>
        <v>0</v>
      </c>
      <c r="AG59" s="25">
        <f t="shared" si="50"/>
        <v>0</v>
      </c>
      <c r="AH59" s="25">
        <f t="shared" si="46"/>
        <v>0</v>
      </c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</row>
    <row r="60" spans="1:51" outlineLevel="2" x14ac:dyDescent="0.25">
      <c r="A60" s="21" t="s">
        <v>45</v>
      </c>
      <c r="B60" s="22" t="s">
        <v>26</v>
      </c>
      <c r="C60" s="22" t="s">
        <v>54</v>
      </c>
      <c r="D60" s="25">
        <f t="shared" ref="D60:AG60" si="51">(D31*(0.8-0.3))*1000</f>
        <v>0</v>
      </c>
      <c r="E60" s="25">
        <f t="shared" si="51"/>
        <v>0</v>
      </c>
      <c r="F60" s="25">
        <f t="shared" si="51"/>
        <v>0</v>
      </c>
      <c r="G60" s="25">
        <f t="shared" si="51"/>
        <v>0</v>
      </c>
      <c r="H60" s="25">
        <f t="shared" si="51"/>
        <v>0</v>
      </c>
      <c r="I60" s="25">
        <f t="shared" si="51"/>
        <v>0</v>
      </c>
      <c r="J60" s="25">
        <f t="shared" si="51"/>
        <v>0</v>
      </c>
      <c r="K60" s="25">
        <f t="shared" si="51"/>
        <v>0</v>
      </c>
      <c r="L60" s="25">
        <f t="shared" si="51"/>
        <v>0</v>
      </c>
      <c r="M60" s="25">
        <f t="shared" si="51"/>
        <v>0</v>
      </c>
      <c r="N60" s="25">
        <f t="shared" si="51"/>
        <v>0</v>
      </c>
      <c r="O60" s="25">
        <f t="shared" si="51"/>
        <v>0</v>
      </c>
      <c r="P60" s="25">
        <f t="shared" si="51"/>
        <v>0</v>
      </c>
      <c r="Q60" s="25">
        <f t="shared" si="51"/>
        <v>0</v>
      </c>
      <c r="R60" s="25">
        <f t="shared" si="51"/>
        <v>0</v>
      </c>
      <c r="S60" s="25">
        <f t="shared" si="51"/>
        <v>0</v>
      </c>
      <c r="T60" s="25">
        <f t="shared" si="51"/>
        <v>0</v>
      </c>
      <c r="U60" s="25">
        <f t="shared" si="51"/>
        <v>0</v>
      </c>
      <c r="V60" s="25">
        <f t="shared" si="51"/>
        <v>0</v>
      </c>
      <c r="W60" s="25">
        <f t="shared" si="51"/>
        <v>0</v>
      </c>
      <c r="X60" s="25">
        <f t="shared" si="51"/>
        <v>0</v>
      </c>
      <c r="Y60" s="25">
        <f t="shared" si="51"/>
        <v>0</v>
      </c>
      <c r="Z60" s="25">
        <f t="shared" si="51"/>
        <v>0</v>
      </c>
      <c r="AA60" s="25">
        <f t="shared" si="51"/>
        <v>0</v>
      </c>
      <c r="AB60" s="25">
        <f t="shared" si="51"/>
        <v>0</v>
      </c>
      <c r="AC60" s="25">
        <f t="shared" si="51"/>
        <v>0</v>
      </c>
      <c r="AD60" s="25">
        <f t="shared" si="51"/>
        <v>0</v>
      </c>
      <c r="AE60" s="25">
        <f t="shared" si="51"/>
        <v>0</v>
      </c>
      <c r="AF60" s="25">
        <f t="shared" si="51"/>
        <v>0</v>
      </c>
      <c r="AG60" s="25">
        <f t="shared" si="51"/>
        <v>0</v>
      </c>
      <c r="AH60" s="25">
        <f t="shared" si="46"/>
        <v>0</v>
      </c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</row>
    <row r="61" spans="1:51" outlineLevel="2" x14ac:dyDescent="0.25">
      <c r="A61" s="21" t="s">
        <v>46</v>
      </c>
      <c r="B61" s="22" t="s">
        <v>28</v>
      </c>
      <c r="C61" s="22" t="s">
        <v>54</v>
      </c>
      <c r="D61" s="25">
        <f t="shared" ref="D61:AG61" si="52">(D32*(0.8-0.3))*1000</f>
        <v>0</v>
      </c>
      <c r="E61" s="25">
        <f t="shared" si="52"/>
        <v>0</v>
      </c>
      <c r="F61" s="25">
        <f t="shared" si="52"/>
        <v>0</v>
      </c>
      <c r="G61" s="25">
        <f t="shared" si="52"/>
        <v>0</v>
      </c>
      <c r="H61" s="25">
        <f t="shared" si="52"/>
        <v>0</v>
      </c>
      <c r="I61" s="25">
        <f t="shared" si="52"/>
        <v>0</v>
      </c>
      <c r="J61" s="25">
        <f t="shared" si="52"/>
        <v>0</v>
      </c>
      <c r="K61" s="25">
        <f t="shared" si="52"/>
        <v>0</v>
      </c>
      <c r="L61" s="25">
        <f t="shared" si="52"/>
        <v>0</v>
      </c>
      <c r="M61" s="25">
        <f t="shared" si="52"/>
        <v>0</v>
      </c>
      <c r="N61" s="25">
        <f t="shared" si="52"/>
        <v>0</v>
      </c>
      <c r="O61" s="25">
        <f t="shared" si="52"/>
        <v>0</v>
      </c>
      <c r="P61" s="25">
        <f t="shared" si="52"/>
        <v>0</v>
      </c>
      <c r="Q61" s="25">
        <f t="shared" si="52"/>
        <v>0</v>
      </c>
      <c r="R61" s="25">
        <f t="shared" si="52"/>
        <v>0</v>
      </c>
      <c r="S61" s="25">
        <f t="shared" si="52"/>
        <v>0</v>
      </c>
      <c r="T61" s="25">
        <f t="shared" si="52"/>
        <v>0</v>
      </c>
      <c r="U61" s="25">
        <f t="shared" si="52"/>
        <v>0</v>
      </c>
      <c r="V61" s="25">
        <f t="shared" si="52"/>
        <v>0</v>
      </c>
      <c r="W61" s="25">
        <f t="shared" si="52"/>
        <v>0</v>
      </c>
      <c r="X61" s="25">
        <f t="shared" si="52"/>
        <v>0</v>
      </c>
      <c r="Y61" s="25">
        <f t="shared" si="52"/>
        <v>0</v>
      </c>
      <c r="Z61" s="25">
        <f t="shared" si="52"/>
        <v>0</v>
      </c>
      <c r="AA61" s="25">
        <f t="shared" si="52"/>
        <v>0</v>
      </c>
      <c r="AB61" s="25">
        <f t="shared" si="52"/>
        <v>0</v>
      </c>
      <c r="AC61" s="25">
        <f t="shared" si="52"/>
        <v>0</v>
      </c>
      <c r="AD61" s="25">
        <f t="shared" si="52"/>
        <v>0</v>
      </c>
      <c r="AE61" s="25">
        <f t="shared" si="52"/>
        <v>0</v>
      </c>
      <c r="AF61" s="25">
        <f t="shared" si="52"/>
        <v>0</v>
      </c>
      <c r="AG61" s="25">
        <f t="shared" si="52"/>
        <v>0</v>
      </c>
      <c r="AH61" s="25">
        <f t="shared" si="46"/>
        <v>0</v>
      </c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</row>
    <row r="62" spans="1:51" outlineLevel="2" x14ac:dyDescent="0.25">
      <c r="A62" s="21" t="s">
        <v>47</v>
      </c>
      <c r="B62" s="22" t="s">
        <v>30</v>
      </c>
      <c r="C62" s="22" t="s">
        <v>54</v>
      </c>
      <c r="D62" s="25">
        <f t="shared" ref="D62:AG62" si="53">(D33*(0.8-0.3))*1000</f>
        <v>0</v>
      </c>
      <c r="E62" s="25">
        <f t="shared" si="53"/>
        <v>0</v>
      </c>
      <c r="F62" s="25">
        <f t="shared" si="53"/>
        <v>0</v>
      </c>
      <c r="G62" s="25">
        <f t="shared" si="53"/>
        <v>0</v>
      </c>
      <c r="H62" s="25">
        <f t="shared" si="53"/>
        <v>0</v>
      </c>
      <c r="I62" s="25">
        <f t="shared" si="53"/>
        <v>0</v>
      </c>
      <c r="J62" s="25">
        <f t="shared" si="53"/>
        <v>0</v>
      </c>
      <c r="K62" s="25">
        <f t="shared" si="53"/>
        <v>0</v>
      </c>
      <c r="L62" s="25">
        <f t="shared" si="53"/>
        <v>0</v>
      </c>
      <c r="M62" s="25">
        <f t="shared" si="53"/>
        <v>0</v>
      </c>
      <c r="N62" s="25">
        <f t="shared" si="53"/>
        <v>0</v>
      </c>
      <c r="O62" s="25">
        <f t="shared" si="53"/>
        <v>0</v>
      </c>
      <c r="P62" s="25">
        <f t="shared" si="53"/>
        <v>0</v>
      </c>
      <c r="Q62" s="25">
        <f t="shared" si="53"/>
        <v>0</v>
      </c>
      <c r="R62" s="25">
        <f t="shared" si="53"/>
        <v>0</v>
      </c>
      <c r="S62" s="25">
        <f t="shared" si="53"/>
        <v>0</v>
      </c>
      <c r="T62" s="25">
        <f t="shared" si="53"/>
        <v>0</v>
      </c>
      <c r="U62" s="25">
        <f t="shared" si="53"/>
        <v>0</v>
      </c>
      <c r="V62" s="25">
        <f t="shared" si="53"/>
        <v>0</v>
      </c>
      <c r="W62" s="25">
        <f t="shared" si="53"/>
        <v>0</v>
      </c>
      <c r="X62" s="25">
        <f t="shared" si="53"/>
        <v>0</v>
      </c>
      <c r="Y62" s="25">
        <f t="shared" si="53"/>
        <v>0</v>
      </c>
      <c r="Z62" s="25">
        <f t="shared" si="53"/>
        <v>0</v>
      </c>
      <c r="AA62" s="25">
        <f t="shared" si="53"/>
        <v>0</v>
      </c>
      <c r="AB62" s="25">
        <f t="shared" si="53"/>
        <v>0</v>
      </c>
      <c r="AC62" s="25">
        <f t="shared" si="53"/>
        <v>0</v>
      </c>
      <c r="AD62" s="25">
        <f t="shared" si="53"/>
        <v>0</v>
      </c>
      <c r="AE62" s="25">
        <f t="shared" si="53"/>
        <v>0</v>
      </c>
      <c r="AF62" s="25">
        <f t="shared" si="53"/>
        <v>0</v>
      </c>
      <c r="AG62" s="25">
        <f t="shared" si="53"/>
        <v>0</v>
      </c>
      <c r="AH62" s="25">
        <f t="shared" si="46"/>
        <v>0</v>
      </c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</row>
    <row r="63" spans="1:51" outlineLevel="2" x14ac:dyDescent="0.25">
      <c r="A63" s="21" t="s">
        <v>48</v>
      </c>
      <c r="B63" s="22" t="s">
        <v>32</v>
      </c>
      <c r="C63" s="22" t="s">
        <v>54</v>
      </c>
      <c r="D63" s="25">
        <f t="shared" ref="D63:AG63" si="54">(D34*(0.8-0.3))*1000</f>
        <v>0</v>
      </c>
      <c r="E63" s="25">
        <f t="shared" si="54"/>
        <v>0</v>
      </c>
      <c r="F63" s="25">
        <f t="shared" si="54"/>
        <v>0</v>
      </c>
      <c r="G63" s="25">
        <f t="shared" si="54"/>
        <v>0</v>
      </c>
      <c r="H63" s="25">
        <f t="shared" si="54"/>
        <v>0</v>
      </c>
      <c r="I63" s="25">
        <f t="shared" si="54"/>
        <v>0</v>
      </c>
      <c r="J63" s="25">
        <f t="shared" si="54"/>
        <v>0</v>
      </c>
      <c r="K63" s="25">
        <f t="shared" si="54"/>
        <v>0</v>
      </c>
      <c r="L63" s="25">
        <f t="shared" si="54"/>
        <v>0</v>
      </c>
      <c r="M63" s="25">
        <f t="shared" si="54"/>
        <v>0</v>
      </c>
      <c r="N63" s="25">
        <f t="shared" si="54"/>
        <v>0</v>
      </c>
      <c r="O63" s="25">
        <f t="shared" si="54"/>
        <v>0</v>
      </c>
      <c r="P63" s="25">
        <f t="shared" si="54"/>
        <v>0</v>
      </c>
      <c r="Q63" s="25">
        <f t="shared" si="54"/>
        <v>0</v>
      </c>
      <c r="R63" s="25">
        <f t="shared" si="54"/>
        <v>0</v>
      </c>
      <c r="S63" s="25">
        <f t="shared" si="54"/>
        <v>0</v>
      </c>
      <c r="T63" s="25">
        <f t="shared" si="54"/>
        <v>0</v>
      </c>
      <c r="U63" s="25">
        <f t="shared" si="54"/>
        <v>0</v>
      </c>
      <c r="V63" s="25">
        <f t="shared" si="54"/>
        <v>0</v>
      </c>
      <c r="W63" s="25">
        <f t="shared" si="54"/>
        <v>0</v>
      </c>
      <c r="X63" s="25">
        <f t="shared" si="54"/>
        <v>0</v>
      </c>
      <c r="Y63" s="25">
        <f t="shared" si="54"/>
        <v>0</v>
      </c>
      <c r="Z63" s="25">
        <f t="shared" si="54"/>
        <v>0</v>
      </c>
      <c r="AA63" s="25">
        <f t="shared" si="54"/>
        <v>0</v>
      </c>
      <c r="AB63" s="25">
        <f t="shared" si="54"/>
        <v>0</v>
      </c>
      <c r="AC63" s="25">
        <f t="shared" si="54"/>
        <v>0</v>
      </c>
      <c r="AD63" s="25">
        <f t="shared" si="54"/>
        <v>0</v>
      </c>
      <c r="AE63" s="25">
        <f t="shared" si="54"/>
        <v>0</v>
      </c>
      <c r="AF63" s="25">
        <f t="shared" si="54"/>
        <v>0</v>
      </c>
      <c r="AG63" s="25">
        <f t="shared" si="54"/>
        <v>0</v>
      </c>
      <c r="AH63" s="25">
        <f t="shared" si="46"/>
        <v>0</v>
      </c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</row>
    <row r="64" spans="1:51" outlineLevel="2" x14ac:dyDescent="0.25">
      <c r="A64" s="21" t="s">
        <v>49</v>
      </c>
      <c r="B64" s="22" t="s">
        <v>34</v>
      </c>
      <c r="C64" s="22" t="s">
        <v>54</v>
      </c>
      <c r="D64" s="25">
        <f t="shared" ref="D64:AG64" si="55">(D35*(0.8-0.3))*1000</f>
        <v>0</v>
      </c>
      <c r="E64" s="25">
        <f t="shared" si="55"/>
        <v>0</v>
      </c>
      <c r="F64" s="25">
        <f t="shared" si="55"/>
        <v>0</v>
      </c>
      <c r="G64" s="25">
        <f t="shared" si="55"/>
        <v>0</v>
      </c>
      <c r="H64" s="25">
        <f t="shared" si="55"/>
        <v>0</v>
      </c>
      <c r="I64" s="25">
        <f t="shared" si="55"/>
        <v>0</v>
      </c>
      <c r="J64" s="25">
        <f t="shared" si="55"/>
        <v>0</v>
      </c>
      <c r="K64" s="25">
        <f t="shared" si="55"/>
        <v>0</v>
      </c>
      <c r="L64" s="25">
        <f t="shared" si="55"/>
        <v>0</v>
      </c>
      <c r="M64" s="25">
        <f t="shared" si="55"/>
        <v>0</v>
      </c>
      <c r="N64" s="25">
        <f t="shared" si="55"/>
        <v>0</v>
      </c>
      <c r="O64" s="25">
        <f t="shared" si="55"/>
        <v>0</v>
      </c>
      <c r="P64" s="25">
        <f t="shared" si="55"/>
        <v>0</v>
      </c>
      <c r="Q64" s="25">
        <f t="shared" si="55"/>
        <v>0</v>
      </c>
      <c r="R64" s="25">
        <f t="shared" si="55"/>
        <v>0</v>
      </c>
      <c r="S64" s="25">
        <f t="shared" si="55"/>
        <v>0</v>
      </c>
      <c r="T64" s="25">
        <f t="shared" si="55"/>
        <v>0</v>
      </c>
      <c r="U64" s="25">
        <f t="shared" si="55"/>
        <v>0</v>
      </c>
      <c r="V64" s="25">
        <f t="shared" si="55"/>
        <v>0</v>
      </c>
      <c r="W64" s="25">
        <f t="shared" si="55"/>
        <v>0</v>
      </c>
      <c r="X64" s="25">
        <f t="shared" si="55"/>
        <v>0</v>
      </c>
      <c r="Y64" s="25">
        <f t="shared" si="55"/>
        <v>0</v>
      </c>
      <c r="Z64" s="25">
        <f t="shared" si="55"/>
        <v>0</v>
      </c>
      <c r="AA64" s="25">
        <f t="shared" si="55"/>
        <v>0</v>
      </c>
      <c r="AB64" s="25">
        <f t="shared" si="55"/>
        <v>0</v>
      </c>
      <c r="AC64" s="25">
        <f t="shared" si="55"/>
        <v>0</v>
      </c>
      <c r="AD64" s="25">
        <f t="shared" si="55"/>
        <v>0</v>
      </c>
      <c r="AE64" s="25">
        <f t="shared" si="55"/>
        <v>0</v>
      </c>
      <c r="AF64" s="25">
        <f t="shared" si="55"/>
        <v>0</v>
      </c>
      <c r="AG64" s="25">
        <f t="shared" si="55"/>
        <v>0</v>
      </c>
      <c r="AH64" s="25">
        <f t="shared" si="46"/>
        <v>0</v>
      </c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</row>
    <row r="65" spans="1:51" outlineLevel="2" x14ac:dyDescent="0.25">
      <c r="A65" s="21" t="s">
        <v>50</v>
      </c>
      <c r="B65" s="22" t="s">
        <v>36</v>
      </c>
      <c r="C65" s="22" t="s">
        <v>54</v>
      </c>
      <c r="D65" s="25">
        <f t="shared" ref="D65:AG65" si="56">(D36*2.3)*1000</f>
        <v>0</v>
      </c>
      <c r="E65" s="25">
        <f t="shared" si="56"/>
        <v>0</v>
      </c>
      <c r="F65" s="25">
        <f t="shared" si="56"/>
        <v>0</v>
      </c>
      <c r="G65" s="25">
        <f t="shared" si="56"/>
        <v>0</v>
      </c>
      <c r="H65" s="25">
        <f t="shared" si="56"/>
        <v>0</v>
      </c>
      <c r="I65" s="25">
        <f t="shared" si="56"/>
        <v>0</v>
      </c>
      <c r="J65" s="25">
        <f t="shared" si="56"/>
        <v>0</v>
      </c>
      <c r="K65" s="25">
        <f t="shared" si="56"/>
        <v>0</v>
      </c>
      <c r="L65" s="25">
        <f t="shared" si="56"/>
        <v>0</v>
      </c>
      <c r="M65" s="25">
        <f t="shared" si="56"/>
        <v>0</v>
      </c>
      <c r="N65" s="25">
        <f t="shared" si="56"/>
        <v>0</v>
      </c>
      <c r="O65" s="25">
        <f t="shared" si="56"/>
        <v>0</v>
      </c>
      <c r="P65" s="25">
        <f t="shared" si="56"/>
        <v>0</v>
      </c>
      <c r="Q65" s="25">
        <f t="shared" si="56"/>
        <v>0</v>
      </c>
      <c r="R65" s="25">
        <f t="shared" si="56"/>
        <v>0</v>
      </c>
      <c r="S65" s="25">
        <f t="shared" si="56"/>
        <v>0</v>
      </c>
      <c r="T65" s="25">
        <f t="shared" si="56"/>
        <v>0</v>
      </c>
      <c r="U65" s="25">
        <f t="shared" si="56"/>
        <v>0</v>
      </c>
      <c r="V65" s="25">
        <f t="shared" si="56"/>
        <v>0</v>
      </c>
      <c r="W65" s="25">
        <f t="shared" si="56"/>
        <v>0</v>
      </c>
      <c r="X65" s="25">
        <f t="shared" si="56"/>
        <v>0</v>
      </c>
      <c r="Y65" s="25">
        <f t="shared" si="56"/>
        <v>0</v>
      </c>
      <c r="Z65" s="25">
        <f t="shared" si="56"/>
        <v>0</v>
      </c>
      <c r="AA65" s="25">
        <f t="shared" si="56"/>
        <v>0</v>
      </c>
      <c r="AB65" s="25">
        <f t="shared" si="56"/>
        <v>0</v>
      </c>
      <c r="AC65" s="25">
        <f t="shared" si="56"/>
        <v>0</v>
      </c>
      <c r="AD65" s="25">
        <f t="shared" si="56"/>
        <v>0</v>
      </c>
      <c r="AE65" s="25">
        <f t="shared" si="56"/>
        <v>0</v>
      </c>
      <c r="AF65" s="25">
        <f t="shared" si="56"/>
        <v>0</v>
      </c>
      <c r="AG65" s="25">
        <f t="shared" si="56"/>
        <v>0</v>
      </c>
      <c r="AH65" s="25">
        <f t="shared" si="46"/>
        <v>0</v>
      </c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</row>
    <row r="66" spans="1:51" ht="14.4" x14ac:dyDescent="0.25">
      <c r="A66" s="389" t="s">
        <v>57</v>
      </c>
      <c r="B66" s="390"/>
      <c r="C66" s="8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</row>
    <row r="67" spans="1:51" ht="14.4" x14ac:dyDescent="0.25">
      <c r="A67" s="385" t="s">
        <v>58</v>
      </c>
      <c r="B67" s="386"/>
      <c r="C67" s="3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3" t="s">
        <v>9</v>
      </c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</row>
    <row r="68" spans="1:51" ht="14.4" x14ac:dyDescent="0.3">
      <c r="A68" s="15">
        <v>1</v>
      </c>
      <c r="B68" s="16" t="s">
        <v>460</v>
      </c>
      <c r="C68" s="16" t="s">
        <v>14</v>
      </c>
      <c r="D68" s="17">
        <f>D69+D70+D71+D72+D73+D74+D75+D76+D77+D78+D79+D80</f>
        <v>0</v>
      </c>
      <c r="E68" s="17">
        <f t="shared" ref="E68:AH68" si="57">E69+E70+E71+E72+E73+E74+E75+E76+E77+E78+E79+E80</f>
        <v>0</v>
      </c>
      <c r="F68" s="17">
        <f t="shared" si="57"/>
        <v>0</v>
      </c>
      <c r="G68" s="17">
        <f t="shared" si="57"/>
        <v>0</v>
      </c>
      <c r="H68" s="17">
        <f t="shared" si="57"/>
        <v>0</v>
      </c>
      <c r="I68" s="17">
        <f t="shared" si="57"/>
        <v>0</v>
      </c>
      <c r="J68" s="17">
        <f t="shared" si="57"/>
        <v>0</v>
      </c>
      <c r="K68" s="17">
        <f t="shared" si="57"/>
        <v>0</v>
      </c>
      <c r="L68" s="17">
        <f t="shared" si="57"/>
        <v>0</v>
      </c>
      <c r="M68" s="17">
        <f t="shared" si="57"/>
        <v>0</v>
      </c>
      <c r="N68" s="17">
        <f t="shared" si="57"/>
        <v>0</v>
      </c>
      <c r="O68" s="17">
        <f t="shared" si="57"/>
        <v>0</v>
      </c>
      <c r="P68" s="17">
        <f t="shared" si="57"/>
        <v>0</v>
      </c>
      <c r="Q68" s="17">
        <f t="shared" si="57"/>
        <v>0</v>
      </c>
      <c r="R68" s="17">
        <f t="shared" si="57"/>
        <v>0</v>
      </c>
      <c r="S68" s="17">
        <f t="shared" si="57"/>
        <v>0</v>
      </c>
      <c r="T68" s="17">
        <f t="shared" si="57"/>
        <v>0</v>
      </c>
      <c r="U68" s="17">
        <f t="shared" si="57"/>
        <v>0</v>
      </c>
      <c r="V68" s="17">
        <f t="shared" si="57"/>
        <v>0</v>
      </c>
      <c r="W68" s="17">
        <f t="shared" si="57"/>
        <v>4.9462857142857146</v>
      </c>
      <c r="X68" s="17">
        <f t="shared" si="57"/>
        <v>0</v>
      </c>
      <c r="Y68" s="17">
        <f t="shared" si="57"/>
        <v>0</v>
      </c>
      <c r="Z68" s="17">
        <f t="shared" si="57"/>
        <v>0</v>
      </c>
      <c r="AA68" s="17">
        <f t="shared" si="57"/>
        <v>0</v>
      </c>
      <c r="AB68" s="17">
        <f t="shared" si="57"/>
        <v>0</v>
      </c>
      <c r="AC68" s="17">
        <f t="shared" si="57"/>
        <v>0</v>
      </c>
      <c r="AD68" s="17">
        <f t="shared" si="57"/>
        <v>0</v>
      </c>
      <c r="AE68" s="17">
        <f t="shared" si="57"/>
        <v>0</v>
      </c>
      <c r="AF68" s="17">
        <f t="shared" si="57"/>
        <v>0</v>
      </c>
      <c r="AG68" s="17">
        <f t="shared" si="57"/>
        <v>0</v>
      </c>
      <c r="AH68" s="17">
        <f t="shared" si="57"/>
        <v>4.9462857142857146</v>
      </c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</row>
    <row r="69" spans="1:51" ht="14.4" outlineLevel="1" x14ac:dyDescent="0.3">
      <c r="A69" s="21" t="s">
        <v>12</v>
      </c>
      <c r="B69" s="22" t="s">
        <v>13</v>
      </c>
      <c r="C69" s="22" t="s">
        <v>14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>
        <f t="shared" ref="AH69:AH80" si="58">SUM(D69:AG69)</f>
        <v>0</v>
      </c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</row>
    <row r="70" spans="1:51" ht="14.4" outlineLevel="1" x14ac:dyDescent="0.3">
      <c r="A70" s="21" t="s">
        <v>15</v>
      </c>
      <c r="B70" s="22" t="s">
        <v>16</v>
      </c>
      <c r="C70" s="22" t="s">
        <v>14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>
        <f t="shared" si="58"/>
        <v>0</v>
      </c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</row>
    <row r="71" spans="1:51" ht="14.4" outlineLevel="1" x14ac:dyDescent="0.3">
      <c r="A71" s="21" t="s">
        <v>17</v>
      </c>
      <c r="B71" s="22" t="s">
        <v>18</v>
      </c>
      <c r="C71" s="22" t="s">
        <v>14</v>
      </c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>
        <f t="shared" si="58"/>
        <v>0</v>
      </c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</row>
    <row r="72" spans="1:51" ht="14.4" outlineLevel="1" x14ac:dyDescent="0.3">
      <c r="A72" s="21" t="s">
        <v>19</v>
      </c>
      <c r="B72" s="22" t="s">
        <v>20</v>
      </c>
      <c r="C72" s="22" t="s">
        <v>14</v>
      </c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>
        <f t="shared" si="58"/>
        <v>0</v>
      </c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</row>
    <row r="73" spans="1:51" ht="14.4" outlineLevel="1" x14ac:dyDescent="0.3">
      <c r="A73" s="21" t="s">
        <v>21</v>
      </c>
      <c r="B73" s="22" t="s">
        <v>22</v>
      </c>
      <c r="C73" s="22" t="s">
        <v>14</v>
      </c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>
        <f t="shared" si="58"/>
        <v>0</v>
      </c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</row>
    <row r="74" spans="1:51" s="155" customFormat="1" ht="14.4" outlineLevel="1" x14ac:dyDescent="0.3">
      <c r="A74" s="292" t="s">
        <v>23</v>
      </c>
      <c r="B74" s="293" t="s">
        <v>24</v>
      </c>
      <c r="C74" s="293" t="s">
        <v>14</v>
      </c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>
        <f t="shared" si="58"/>
        <v>0</v>
      </c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</row>
    <row r="75" spans="1:51" s="155" customFormat="1" ht="14.4" outlineLevel="1" x14ac:dyDescent="0.3">
      <c r="A75" s="292" t="s">
        <v>25</v>
      </c>
      <c r="B75" s="293" t="s">
        <v>26</v>
      </c>
      <c r="C75" s="293" t="s">
        <v>14</v>
      </c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>
        <f t="shared" si="58"/>
        <v>0</v>
      </c>
      <c r="AI75" s="294"/>
      <c r="AJ75" s="294"/>
      <c r="AK75" s="294"/>
      <c r="AL75" s="294"/>
      <c r="AM75" s="294"/>
      <c r="AN75" s="294"/>
      <c r="AO75" s="294"/>
      <c r="AP75" s="294"/>
      <c r="AQ75" s="294"/>
      <c r="AR75" s="294"/>
      <c r="AS75" s="294"/>
      <c r="AT75" s="294"/>
      <c r="AU75" s="294"/>
      <c r="AV75" s="294"/>
      <c r="AW75" s="294"/>
      <c r="AX75" s="294"/>
      <c r="AY75" s="294"/>
    </row>
    <row r="76" spans="1:51" s="155" customFormat="1" ht="14.4" outlineLevel="1" x14ac:dyDescent="0.3">
      <c r="A76" s="292" t="s">
        <v>27</v>
      </c>
      <c r="B76" s="293" t="s">
        <v>28</v>
      </c>
      <c r="C76" s="293" t="s">
        <v>14</v>
      </c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>
        <f t="shared" si="58"/>
        <v>0</v>
      </c>
      <c r="AI76" s="294"/>
      <c r="AJ76" s="294"/>
      <c r="AK76" s="294"/>
      <c r="AL76" s="294"/>
      <c r="AM76" s="294"/>
      <c r="AN76" s="294"/>
      <c r="AO76" s="294"/>
      <c r="AP76" s="294"/>
      <c r="AQ76" s="294"/>
      <c r="AR76" s="294"/>
      <c r="AS76" s="294"/>
      <c r="AT76" s="294"/>
      <c r="AU76" s="294"/>
      <c r="AV76" s="294"/>
      <c r="AW76" s="294"/>
      <c r="AX76" s="294"/>
      <c r="AY76" s="294"/>
    </row>
    <row r="77" spans="1:51" s="155" customFormat="1" ht="14.4" outlineLevel="1" x14ac:dyDescent="0.3">
      <c r="A77" s="292" t="s">
        <v>29</v>
      </c>
      <c r="B77" s="293" t="s">
        <v>30</v>
      </c>
      <c r="C77" s="293" t="s">
        <v>14</v>
      </c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>
        <f t="shared" ref="AH77" si="59">SUM(D77:AG77)</f>
        <v>0</v>
      </c>
      <c r="AI77" s="294"/>
      <c r="AJ77" s="294"/>
      <c r="AK77" s="294"/>
      <c r="AL77" s="294"/>
      <c r="AM77" s="294"/>
      <c r="AN77" s="294"/>
      <c r="AO77" s="294"/>
      <c r="AP77" s="294"/>
      <c r="AQ77" s="294"/>
      <c r="AR77" s="294"/>
      <c r="AS77" s="294"/>
      <c r="AT77" s="294"/>
      <c r="AU77" s="294"/>
      <c r="AV77" s="294"/>
      <c r="AW77" s="294"/>
      <c r="AX77" s="294"/>
      <c r="AY77" s="294"/>
    </row>
    <row r="78" spans="1:51" s="155" customFormat="1" ht="14.4" outlineLevel="1" x14ac:dyDescent="0.3">
      <c r="A78" s="292" t="s">
        <v>31</v>
      </c>
      <c r="B78" s="293" t="s">
        <v>32</v>
      </c>
      <c r="C78" s="293" t="s">
        <v>14</v>
      </c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33">
        <f t="shared" si="58"/>
        <v>0</v>
      </c>
      <c r="AI78" s="294"/>
      <c r="AJ78" s="294"/>
      <c r="AK78" s="294"/>
      <c r="AL78" s="294"/>
      <c r="AM78" s="294"/>
      <c r="AN78" s="294"/>
      <c r="AO78" s="294"/>
      <c r="AP78" s="294"/>
      <c r="AQ78" s="294"/>
      <c r="AR78" s="294"/>
      <c r="AS78" s="294"/>
      <c r="AT78" s="294"/>
      <c r="AU78" s="294"/>
      <c r="AV78" s="294"/>
      <c r="AW78" s="294"/>
      <c r="AX78" s="294"/>
      <c r="AY78" s="294"/>
    </row>
    <row r="79" spans="1:51" s="155" customFormat="1" ht="14.4" outlineLevel="1" x14ac:dyDescent="0.3">
      <c r="A79" s="292" t="s">
        <v>33</v>
      </c>
      <c r="B79" s="293" t="s">
        <v>34</v>
      </c>
      <c r="C79" s="293" t="s">
        <v>14</v>
      </c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33">
        <f t="shared" si="58"/>
        <v>0</v>
      </c>
      <c r="AI79" s="294"/>
      <c r="AJ79" s="294"/>
      <c r="AK79" s="294"/>
      <c r="AL79" s="294"/>
      <c r="AM79" s="294"/>
      <c r="AN79" s="294"/>
      <c r="AO79" s="294"/>
      <c r="AP79" s="294"/>
      <c r="AQ79" s="294"/>
      <c r="AR79" s="294"/>
      <c r="AS79" s="294"/>
      <c r="AT79" s="294"/>
      <c r="AU79" s="294"/>
      <c r="AV79" s="294"/>
      <c r="AW79" s="294"/>
      <c r="AX79" s="294"/>
      <c r="AY79" s="294"/>
    </row>
    <row r="80" spans="1:51" s="155" customFormat="1" ht="14.4" outlineLevel="1" x14ac:dyDescent="0.3">
      <c r="A80" s="292" t="s">
        <v>35</v>
      </c>
      <c r="B80" s="293" t="s">
        <v>36</v>
      </c>
      <c r="C80" s="293" t="s">
        <v>14</v>
      </c>
      <c r="D80" s="163">
        <f t="shared" ref="D80:AG80" si="60">SUM(D81:D83)</f>
        <v>0</v>
      </c>
      <c r="E80" s="163">
        <f t="shared" si="60"/>
        <v>0</v>
      </c>
      <c r="F80" s="163">
        <f t="shared" si="60"/>
        <v>0</v>
      </c>
      <c r="G80" s="163">
        <f t="shared" si="60"/>
        <v>0</v>
      </c>
      <c r="H80" s="163">
        <f t="shared" si="60"/>
        <v>0</v>
      </c>
      <c r="I80" s="163">
        <f t="shared" si="60"/>
        <v>0</v>
      </c>
      <c r="J80" s="163">
        <f t="shared" si="60"/>
        <v>0</v>
      </c>
      <c r="K80" s="163">
        <f t="shared" si="60"/>
        <v>0</v>
      </c>
      <c r="L80" s="163">
        <f t="shared" si="60"/>
        <v>0</v>
      </c>
      <c r="M80" s="163">
        <f t="shared" si="60"/>
        <v>0</v>
      </c>
      <c r="N80" s="163">
        <f t="shared" si="60"/>
        <v>0</v>
      </c>
      <c r="O80" s="163">
        <f t="shared" si="60"/>
        <v>0</v>
      </c>
      <c r="P80" s="163">
        <f t="shared" si="60"/>
        <v>0</v>
      </c>
      <c r="Q80" s="163">
        <f t="shared" si="60"/>
        <v>0</v>
      </c>
      <c r="R80" s="163">
        <f t="shared" si="60"/>
        <v>0</v>
      </c>
      <c r="S80" s="163">
        <f t="shared" si="60"/>
        <v>0</v>
      </c>
      <c r="T80" s="163">
        <f t="shared" si="60"/>
        <v>0</v>
      </c>
      <c r="U80" s="163">
        <f t="shared" si="60"/>
        <v>0</v>
      </c>
      <c r="V80" s="163">
        <f t="shared" si="60"/>
        <v>0</v>
      </c>
      <c r="W80" s="163">
        <f t="shared" si="60"/>
        <v>4.9462857142857146</v>
      </c>
      <c r="X80" s="163">
        <f t="shared" si="60"/>
        <v>0</v>
      </c>
      <c r="Y80" s="163">
        <f t="shared" si="60"/>
        <v>0</v>
      </c>
      <c r="Z80" s="163">
        <f t="shared" si="60"/>
        <v>0</v>
      </c>
      <c r="AA80" s="163">
        <f t="shared" si="60"/>
        <v>0</v>
      </c>
      <c r="AB80" s="163">
        <f t="shared" si="60"/>
        <v>0</v>
      </c>
      <c r="AC80" s="163">
        <f t="shared" si="60"/>
        <v>0</v>
      </c>
      <c r="AD80" s="163">
        <f t="shared" si="60"/>
        <v>0</v>
      </c>
      <c r="AE80" s="163">
        <f t="shared" si="60"/>
        <v>0</v>
      </c>
      <c r="AF80" s="163">
        <f t="shared" si="60"/>
        <v>0</v>
      </c>
      <c r="AG80" s="163">
        <f t="shared" si="60"/>
        <v>0</v>
      </c>
      <c r="AH80" s="33">
        <f t="shared" si="58"/>
        <v>4.9462857142857146</v>
      </c>
      <c r="AI80" s="294"/>
      <c r="AJ80" s="294"/>
      <c r="AK80" s="294"/>
      <c r="AL80" s="294"/>
      <c r="AM80" s="294"/>
      <c r="AN80" s="294"/>
      <c r="AO80" s="294"/>
      <c r="AP80" s="294"/>
      <c r="AQ80" s="294"/>
      <c r="AR80" s="294"/>
      <c r="AS80" s="294"/>
      <c r="AT80" s="294"/>
      <c r="AU80" s="294"/>
      <c r="AV80" s="294"/>
      <c r="AW80" s="294"/>
      <c r="AX80" s="294"/>
      <c r="AY80" s="294"/>
    </row>
    <row r="81" spans="1:51" s="298" customFormat="1" ht="14.4" outlineLevel="1" x14ac:dyDescent="0.3">
      <c r="A81" s="295"/>
      <c r="B81" s="296" t="s">
        <v>861</v>
      </c>
      <c r="C81" s="296" t="s">
        <v>14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>
        <f>2.39*(3.2/3.5)</f>
        <v>2.1851428571428575</v>
      </c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23"/>
      <c r="AI81" s="297"/>
      <c r="AJ81" s="297"/>
      <c r="AK81" s="297"/>
      <c r="AL81" s="297"/>
      <c r="AM81" s="297"/>
      <c r="AN81" s="297"/>
      <c r="AO81" s="297"/>
      <c r="AP81" s="297"/>
      <c r="AQ81" s="297"/>
      <c r="AR81" s="297"/>
      <c r="AS81" s="297"/>
      <c r="AT81" s="297"/>
      <c r="AU81" s="297"/>
      <c r="AV81" s="297"/>
      <c r="AW81" s="297"/>
      <c r="AX81" s="297"/>
      <c r="AY81" s="297"/>
    </row>
    <row r="82" spans="1:51" s="298" customFormat="1" ht="14.4" outlineLevel="1" x14ac:dyDescent="0.3">
      <c r="A82" s="295"/>
      <c r="B82" s="296" t="s">
        <v>827</v>
      </c>
      <c r="C82" s="296" t="s">
        <v>14</v>
      </c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>
        <f>1.51*(3.2/3.5)</f>
        <v>1.3805714285714288</v>
      </c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23"/>
      <c r="AI82" s="297"/>
      <c r="AJ82" s="297"/>
      <c r="AK82" s="297"/>
      <c r="AL82" s="297"/>
      <c r="AM82" s="297"/>
      <c r="AN82" s="297"/>
      <c r="AO82" s="297"/>
      <c r="AP82" s="297"/>
      <c r="AQ82" s="297"/>
      <c r="AR82" s="297"/>
      <c r="AS82" s="297"/>
      <c r="AT82" s="297"/>
      <c r="AU82" s="297"/>
      <c r="AV82" s="297"/>
      <c r="AW82" s="297"/>
      <c r="AX82" s="297"/>
      <c r="AY82" s="297"/>
    </row>
    <row r="83" spans="1:51" s="298" customFormat="1" ht="14.4" outlineLevel="1" x14ac:dyDescent="0.3">
      <c r="A83" s="295"/>
      <c r="B83" s="296" t="s">
        <v>862</v>
      </c>
      <c r="C83" s="296" t="s">
        <v>14</v>
      </c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>
        <f>1.51*(3.2/3.5)</f>
        <v>1.3805714285714288</v>
      </c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23"/>
      <c r="AI83" s="297"/>
      <c r="AJ83" s="297"/>
      <c r="AK83" s="297"/>
      <c r="AL83" s="297"/>
      <c r="AM83" s="297"/>
      <c r="AN83" s="297"/>
      <c r="AO83" s="297"/>
      <c r="AP83" s="297"/>
      <c r="AQ83" s="297"/>
      <c r="AR83" s="297"/>
      <c r="AS83" s="297"/>
      <c r="AT83" s="297"/>
      <c r="AU83" s="297"/>
      <c r="AV83" s="297"/>
      <c r="AW83" s="297"/>
      <c r="AX83" s="297"/>
      <c r="AY83" s="297"/>
    </row>
    <row r="84" spans="1:51" ht="14.4" x14ac:dyDescent="0.3">
      <c r="A84" s="15">
        <v>2</v>
      </c>
      <c r="B84" s="16" t="s">
        <v>59</v>
      </c>
      <c r="C84" s="16" t="s">
        <v>14</v>
      </c>
      <c r="D84" s="17">
        <f t="shared" ref="D84:AH84" si="61">SUM(D85:D96)</f>
        <v>0</v>
      </c>
      <c r="E84" s="17">
        <f t="shared" si="61"/>
        <v>0</v>
      </c>
      <c r="F84" s="17">
        <f t="shared" si="61"/>
        <v>0</v>
      </c>
      <c r="G84" s="17">
        <f t="shared" si="61"/>
        <v>0</v>
      </c>
      <c r="H84" s="17">
        <f t="shared" si="61"/>
        <v>0</v>
      </c>
      <c r="I84" s="17">
        <f t="shared" si="61"/>
        <v>0</v>
      </c>
      <c r="J84" s="17">
        <f t="shared" si="61"/>
        <v>98.1</v>
      </c>
      <c r="K84" s="17">
        <f t="shared" si="61"/>
        <v>100.95</v>
      </c>
      <c r="L84" s="17">
        <f t="shared" si="61"/>
        <v>86.35</v>
      </c>
      <c r="M84" s="17">
        <f t="shared" si="61"/>
        <v>76.389999999999986</v>
      </c>
      <c r="N84" s="17">
        <f t="shared" si="61"/>
        <v>0</v>
      </c>
      <c r="O84" s="17">
        <f t="shared" si="61"/>
        <v>0</v>
      </c>
      <c r="P84" s="17">
        <f t="shared" si="61"/>
        <v>0</v>
      </c>
      <c r="Q84" s="17">
        <f t="shared" si="61"/>
        <v>0</v>
      </c>
      <c r="R84" s="17">
        <f t="shared" si="61"/>
        <v>0</v>
      </c>
      <c r="S84" s="17">
        <f t="shared" si="61"/>
        <v>0</v>
      </c>
      <c r="T84" s="17">
        <f t="shared" si="61"/>
        <v>0</v>
      </c>
      <c r="U84" s="17">
        <f t="shared" si="61"/>
        <v>0</v>
      </c>
      <c r="V84" s="17">
        <f t="shared" si="61"/>
        <v>0</v>
      </c>
      <c r="W84" s="17">
        <f t="shared" si="61"/>
        <v>2.3742171428571428</v>
      </c>
      <c r="X84" s="17">
        <f t="shared" si="61"/>
        <v>0</v>
      </c>
      <c r="Y84" s="17">
        <f t="shared" si="61"/>
        <v>0</v>
      </c>
      <c r="Z84" s="17">
        <f t="shared" si="61"/>
        <v>0</v>
      </c>
      <c r="AA84" s="17">
        <f t="shared" si="61"/>
        <v>0</v>
      </c>
      <c r="AB84" s="17">
        <f t="shared" si="61"/>
        <v>0</v>
      </c>
      <c r="AC84" s="17">
        <f t="shared" si="61"/>
        <v>0</v>
      </c>
      <c r="AD84" s="17">
        <f t="shared" si="61"/>
        <v>0</v>
      </c>
      <c r="AE84" s="17">
        <f t="shared" si="61"/>
        <v>0</v>
      </c>
      <c r="AF84" s="17">
        <f t="shared" si="61"/>
        <v>0</v>
      </c>
      <c r="AG84" s="17">
        <f t="shared" si="61"/>
        <v>0</v>
      </c>
      <c r="AH84" s="17">
        <f t="shared" si="61"/>
        <v>364.16421714285718</v>
      </c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 ht="14.4" outlineLevel="1" x14ac:dyDescent="0.3">
      <c r="A85" s="21" t="s">
        <v>39</v>
      </c>
      <c r="B85" s="22" t="s">
        <v>13</v>
      </c>
      <c r="C85" s="22" t="s">
        <v>14</v>
      </c>
      <c r="D85" s="23">
        <f>(0*0-D69*2*(1-0.74)-D98*2-D111*2)</f>
        <v>0</v>
      </c>
      <c r="E85" s="24"/>
      <c r="F85" s="24"/>
      <c r="G85" s="24"/>
      <c r="H85" s="24"/>
      <c r="I85" s="24"/>
      <c r="J85" s="24">
        <v>40.799999999999997</v>
      </c>
      <c r="K85" s="24"/>
      <c r="L85" s="24"/>
      <c r="M85" s="24"/>
      <c r="N85" s="23">
        <f t="shared" ref="N85:AG85" si="62">(0*0-N69*2*(1-0.74)-N98*2-N111*2)</f>
        <v>0</v>
      </c>
      <c r="O85" s="23">
        <f t="shared" si="62"/>
        <v>0</v>
      </c>
      <c r="P85" s="23">
        <f t="shared" si="62"/>
        <v>0</v>
      </c>
      <c r="Q85" s="23">
        <f t="shared" si="62"/>
        <v>0</v>
      </c>
      <c r="R85" s="23">
        <f t="shared" si="62"/>
        <v>0</v>
      </c>
      <c r="S85" s="23">
        <f t="shared" si="62"/>
        <v>0</v>
      </c>
      <c r="T85" s="23">
        <f t="shared" si="62"/>
        <v>0</v>
      </c>
      <c r="U85" s="23">
        <f t="shared" si="62"/>
        <v>0</v>
      </c>
      <c r="V85" s="23">
        <f t="shared" si="62"/>
        <v>0</v>
      </c>
      <c r="W85" s="23">
        <f t="shared" si="62"/>
        <v>0</v>
      </c>
      <c r="X85" s="23">
        <f t="shared" si="62"/>
        <v>0</v>
      </c>
      <c r="Y85" s="23">
        <f t="shared" si="62"/>
        <v>0</v>
      </c>
      <c r="Z85" s="23">
        <f t="shared" si="62"/>
        <v>0</v>
      </c>
      <c r="AA85" s="23">
        <f t="shared" si="62"/>
        <v>0</v>
      </c>
      <c r="AB85" s="23">
        <f t="shared" si="62"/>
        <v>0</v>
      </c>
      <c r="AC85" s="23">
        <f t="shared" si="62"/>
        <v>0</v>
      </c>
      <c r="AD85" s="23">
        <f t="shared" si="62"/>
        <v>0</v>
      </c>
      <c r="AE85" s="23">
        <f t="shared" si="62"/>
        <v>0</v>
      </c>
      <c r="AF85" s="23">
        <f t="shared" si="62"/>
        <v>0</v>
      </c>
      <c r="AG85" s="23">
        <f t="shared" si="62"/>
        <v>0</v>
      </c>
      <c r="AH85" s="23">
        <f t="shared" ref="AH85:AH96" si="63">SUM(D85:AG85)</f>
        <v>40.799999999999997</v>
      </c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</row>
    <row r="86" spans="1:51" ht="14.4" outlineLevel="2" x14ac:dyDescent="0.3">
      <c r="A86" s="21" t="s">
        <v>40</v>
      </c>
      <c r="B86" s="22" t="s">
        <v>16</v>
      </c>
      <c r="C86" s="22" t="s">
        <v>14</v>
      </c>
      <c r="D86" s="23">
        <f>(0*0-D70*2*(1-0.74)-D99*2-D114*2)</f>
        <v>0</v>
      </c>
      <c r="E86" s="24"/>
      <c r="F86" s="24"/>
      <c r="G86" s="24"/>
      <c r="H86" s="24"/>
      <c r="I86" s="24"/>
      <c r="J86" s="24">
        <v>57.3</v>
      </c>
      <c r="K86" s="24"/>
      <c r="L86" s="24"/>
      <c r="M86" s="24"/>
      <c r="N86" s="23">
        <f t="shared" ref="N86:AG86" si="64">(0*0-N70*2*(1-0.74)-N99*2-N114*2)</f>
        <v>0</v>
      </c>
      <c r="O86" s="23">
        <f t="shared" si="64"/>
        <v>0</v>
      </c>
      <c r="P86" s="23">
        <f t="shared" si="64"/>
        <v>0</v>
      </c>
      <c r="Q86" s="23">
        <f t="shared" si="64"/>
        <v>0</v>
      </c>
      <c r="R86" s="23">
        <f t="shared" si="64"/>
        <v>0</v>
      </c>
      <c r="S86" s="23">
        <f t="shared" si="64"/>
        <v>0</v>
      </c>
      <c r="T86" s="23">
        <f t="shared" si="64"/>
        <v>0</v>
      </c>
      <c r="U86" s="23">
        <f t="shared" si="64"/>
        <v>0</v>
      </c>
      <c r="V86" s="23">
        <f t="shared" si="64"/>
        <v>0</v>
      </c>
      <c r="W86" s="23">
        <f t="shared" si="64"/>
        <v>0</v>
      </c>
      <c r="X86" s="23">
        <f t="shared" si="64"/>
        <v>0</v>
      </c>
      <c r="Y86" s="23">
        <f t="shared" si="64"/>
        <v>0</v>
      </c>
      <c r="Z86" s="23">
        <f t="shared" si="64"/>
        <v>0</v>
      </c>
      <c r="AA86" s="23">
        <f t="shared" si="64"/>
        <v>0</v>
      </c>
      <c r="AB86" s="23">
        <f t="shared" si="64"/>
        <v>0</v>
      </c>
      <c r="AC86" s="23">
        <f t="shared" si="64"/>
        <v>0</v>
      </c>
      <c r="AD86" s="23">
        <f t="shared" si="64"/>
        <v>0</v>
      </c>
      <c r="AE86" s="23">
        <f t="shared" si="64"/>
        <v>0</v>
      </c>
      <c r="AF86" s="23">
        <f t="shared" si="64"/>
        <v>0</v>
      </c>
      <c r="AG86" s="23">
        <f t="shared" si="64"/>
        <v>0</v>
      </c>
      <c r="AH86" s="25">
        <f t="shared" si="63"/>
        <v>57.3</v>
      </c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</row>
    <row r="87" spans="1:51" ht="14.4" outlineLevel="2" x14ac:dyDescent="0.3">
      <c r="A87" s="21" t="s">
        <v>41</v>
      </c>
      <c r="B87" s="22" t="s">
        <v>18</v>
      </c>
      <c r="C87" s="22" t="s">
        <v>14</v>
      </c>
      <c r="D87" s="23">
        <f>(0*0-D71*2*(1-0.74)-D100*2-D118*2)</f>
        <v>0</v>
      </c>
      <c r="E87" s="24"/>
      <c r="F87" s="24"/>
      <c r="G87" s="24"/>
      <c r="H87" s="24"/>
      <c r="I87" s="24"/>
      <c r="J87" s="24"/>
      <c r="K87" s="24">
        <v>40.5</v>
      </c>
      <c r="L87" s="24"/>
      <c r="M87" s="24"/>
      <c r="N87" s="23">
        <f t="shared" ref="N87:AG87" si="65">(0*0-N71*2*(1-0.74)-N100*2-N118*2)</f>
        <v>0</v>
      </c>
      <c r="O87" s="23">
        <f t="shared" si="65"/>
        <v>0</v>
      </c>
      <c r="P87" s="23">
        <f t="shared" si="65"/>
        <v>0</v>
      </c>
      <c r="Q87" s="23">
        <f t="shared" si="65"/>
        <v>0</v>
      </c>
      <c r="R87" s="23">
        <f t="shared" si="65"/>
        <v>0</v>
      </c>
      <c r="S87" s="23">
        <f t="shared" si="65"/>
        <v>0</v>
      </c>
      <c r="T87" s="23">
        <f t="shared" si="65"/>
        <v>0</v>
      </c>
      <c r="U87" s="23">
        <f t="shared" si="65"/>
        <v>0</v>
      </c>
      <c r="V87" s="23">
        <f t="shared" si="65"/>
        <v>0</v>
      </c>
      <c r="W87" s="23">
        <f t="shared" si="65"/>
        <v>0</v>
      </c>
      <c r="X87" s="23">
        <f t="shared" si="65"/>
        <v>0</v>
      </c>
      <c r="Y87" s="23">
        <f t="shared" si="65"/>
        <v>0</v>
      </c>
      <c r="Z87" s="23">
        <f t="shared" si="65"/>
        <v>0</v>
      </c>
      <c r="AA87" s="23">
        <f t="shared" si="65"/>
        <v>0</v>
      </c>
      <c r="AB87" s="23">
        <f t="shared" si="65"/>
        <v>0</v>
      </c>
      <c r="AC87" s="23">
        <f t="shared" si="65"/>
        <v>0</v>
      </c>
      <c r="AD87" s="23">
        <f t="shared" si="65"/>
        <v>0</v>
      </c>
      <c r="AE87" s="23">
        <f t="shared" si="65"/>
        <v>0</v>
      </c>
      <c r="AF87" s="23">
        <f t="shared" si="65"/>
        <v>0</v>
      </c>
      <c r="AG87" s="23">
        <f t="shared" si="65"/>
        <v>0</v>
      </c>
      <c r="AH87" s="25">
        <f t="shared" si="63"/>
        <v>40.5</v>
      </c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</row>
    <row r="88" spans="1:51" ht="14.4" outlineLevel="2" x14ac:dyDescent="0.3">
      <c r="A88" s="21" t="s">
        <v>42</v>
      </c>
      <c r="B88" s="22" t="s">
        <v>20</v>
      </c>
      <c r="C88" s="22" t="s">
        <v>14</v>
      </c>
      <c r="D88" s="23">
        <f>(0*0-D72*2*(1-0.74)-D101*2-D122*2)</f>
        <v>0</v>
      </c>
      <c r="E88" s="24"/>
      <c r="F88" s="24"/>
      <c r="G88" s="24"/>
      <c r="H88" s="24"/>
      <c r="I88" s="24"/>
      <c r="J88" s="24"/>
      <c r="K88" s="24">
        <v>27.4</v>
      </c>
      <c r="L88" s="24"/>
      <c r="M88" s="24"/>
      <c r="N88" s="23">
        <f t="shared" ref="N88:AG88" si="66">(0*0-N72*2*(1-0.74)-N101*2-N122*2)</f>
        <v>0</v>
      </c>
      <c r="O88" s="23">
        <f t="shared" si="66"/>
        <v>0</v>
      </c>
      <c r="P88" s="23">
        <f t="shared" si="66"/>
        <v>0</v>
      </c>
      <c r="Q88" s="23">
        <f t="shared" si="66"/>
        <v>0</v>
      </c>
      <c r="R88" s="23">
        <f t="shared" si="66"/>
        <v>0</v>
      </c>
      <c r="S88" s="23">
        <f t="shared" si="66"/>
        <v>0</v>
      </c>
      <c r="T88" s="23">
        <f t="shared" si="66"/>
        <v>0</v>
      </c>
      <c r="U88" s="23">
        <f t="shared" si="66"/>
        <v>0</v>
      </c>
      <c r="V88" s="23">
        <f t="shared" si="66"/>
        <v>0</v>
      </c>
      <c r="W88" s="23">
        <f t="shared" si="66"/>
        <v>0</v>
      </c>
      <c r="X88" s="23">
        <f t="shared" si="66"/>
        <v>0</v>
      </c>
      <c r="Y88" s="23">
        <f t="shared" si="66"/>
        <v>0</v>
      </c>
      <c r="Z88" s="23">
        <f t="shared" si="66"/>
        <v>0</v>
      </c>
      <c r="AA88" s="23">
        <f t="shared" si="66"/>
        <v>0</v>
      </c>
      <c r="AB88" s="23">
        <f t="shared" si="66"/>
        <v>0</v>
      </c>
      <c r="AC88" s="23">
        <f t="shared" si="66"/>
        <v>0</v>
      </c>
      <c r="AD88" s="23">
        <f t="shared" si="66"/>
        <v>0</v>
      </c>
      <c r="AE88" s="23">
        <f t="shared" si="66"/>
        <v>0</v>
      </c>
      <c r="AF88" s="23">
        <f t="shared" si="66"/>
        <v>0</v>
      </c>
      <c r="AG88" s="23">
        <f t="shared" si="66"/>
        <v>0</v>
      </c>
      <c r="AH88" s="25">
        <f t="shared" si="63"/>
        <v>27.4</v>
      </c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</row>
    <row r="89" spans="1:51" ht="14.4" outlineLevel="2" x14ac:dyDescent="0.3">
      <c r="A89" s="21" t="s">
        <v>43</v>
      </c>
      <c r="B89" s="22" t="s">
        <v>22</v>
      </c>
      <c r="C89" s="22" t="s">
        <v>14</v>
      </c>
      <c r="D89" s="23">
        <f>(0*0-D73*2*(1-0.74)/2-D102*2-D125*2)</f>
        <v>0</v>
      </c>
      <c r="E89" s="24"/>
      <c r="F89" s="24"/>
      <c r="G89" s="24"/>
      <c r="H89" s="24"/>
      <c r="I89" s="24"/>
      <c r="J89" s="24"/>
      <c r="K89" s="24">
        <v>0.5</v>
      </c>
      <c r="L89" s="24"/>
      <c r="M89" s="24"/>
      <c r="N89" s="23">
        <f t="shared" ref="N89:AG89" si="67">(0*0-N73*2*(1-0.74)/2-N102*2-N125*2)</f>
        <v>0</v>
      </c>
      <c r="O89" s="23">
        <f t="shared" si="67"/>
        <v>0</v>
      </c>
      <c r="P89" s="23">
        <f t="shared" si="67"/>
        <v>0</v>
      </c>
      <c r="Q89" s="23">
        <f t="shared" si="67"/>
        <v>0</v>
      </c>
      <c r="R89" s="23">
        <f t="shared" si="67"/>
        <v>0</v>
      </c>
      <c r="S89" s="23">
        <f t="shared" si="67"/>
        <v>0</v>
      </c>
      <c r="T89" s="23">
        <f t="shared" si="67"/>
        <v>0</v>
      </c>
      <c r="U89" s="23">
        <f t="shared" si="67"/>
        <v>0</v>
      </c>
      <c r="V89" s="23">
        <f t="shared" si="67"/>
        <v>0</v>
      </c>
      <c r="W89" s="23">
        <f t="shared" si="67"/>
        <v>0</v>
      </c>
      <c r="X89" s="23">
        <f t="shared" si="67"/>
        <v>0</v>
      </c>
      <c r="Y89" s="23">
        <f t="shared" si="67"/>
        <v>0</v>
      </c>
      <c r="Z89" s="23">
        <f t="shared" si="67"/>
        <v>0</v>
      </c>
      <c r="AA89" s="23">
        <f t="shared" si="67"/>
        <v>0</v>
      </c>
      <c r="AB89" s="23">
        <f t="shared" si="67"/>
        <v>0</v>
      </c>
      <c r="AC89" s="23">
        <f t="shared" si="67"/>
        <v>0</v>
      </c>
      <c r="AD89" s="23">
        <f t="shared" si="67"/>
        <v>0</v>
      </c>
      <c r="AE89" s="23">
        <f t="shared" si="67"/>
        <v>0</v>
      </c>
      <c r="AF89" s="23">
        <f t="shared" si="67"/>
        <v>0</v>
      </c>
      <c r="AG89" s="23">
        <f t="shared" si="67"/>
        <v>0</v>
      </c>
      <c r="AH89" s="25">
        <f t="shared" si="63"/>
        <v>0.5</v>
      </c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</row>
    <row r="90" spans="1:51" ht="14.4" outlineLevel="2" x14ac:dyDescent="0.3">
      <c r="A90" s="21" t="s">
        <v>44</v>
      </c>
      <c r="B90" s="22" t="s">
        <v>24</v>
      </c>
      <c r="C90" s="22" t="s">
        <v>14</v>
      </c>
      <c r="D90" s="23">
        <f>(0*0-D74*2*(1-0.74)/2-D103*2-D126*2)</f>
        <v>0</v>
      </c>
      <c r="E90" s="24"/>
      <c r="F90" s="24"/>
      <c r="G90" s="24"/>
      <c r="H90" s="24"/>
      <c r="I90" s="24"/>
      <c r="J90" s="24"/>
      <c r="K90" s="24">
        <v>32.549999999999997</v>
      </c>
      <c r="L90" s="24"/>
      <c r="M90" s="24"/>
      <c r="N90" s="23">
        <f t="shared" ref="N90:AG90" si="68">(0*0-N74*2*(1-0.74)/2-N103*2-N126*2)</f>
        <v>0</v>
      </c>
      <c r="O90" s="23">
        <f t="shared" si="68"/>
        <v>0</v>
      </c>
      <c r="P90" s="23">
        <f t="shared" si="68"/>
        <v>0</v>
      </c>
      <c r="Q90" s="23">
        <f t="shared" si="68"/>
        <v>0</v>
      </c>
      <c r="R90" s="23">
        <f t="shared" si="68"/>
        <v>0</v>
      </c>
      <c r="S90" s="23">
        <f t="shared" si="68"/>
        <v>0</v>
      </c>
      <c r="T90" s="23">
        <f t="shared" si="68"/>
        <v>0</v>
      </c>
      <c r="U90" s="23">
        <f t="shared" si="68"/>
        <v>0</v>
      </c>
      <c r="V90" s="23">
        <f t="shared" si="68"/>
        <v>0</v>
      </c>
      <c r="W90" s="23">
        <f t="shared" si="68"/>
        <v>0</v>
      </c>
      <c r="X90" s="23">
        <f t="shared" si="68"/>
        <v>0</v>
      </c>
      <c r="Y90" s="23">
        <f t="shared" si="68"/>
        <v>0</v>
      </c>
      <c r="Z90" s="23">
        <f t="shared" si="68"/>
        <v>0</v>
      </c>
      <c r="AA90" s="23">
        <f t="shared" si="68"/>
        <v>0</v>
      </c>
      <c r="AB90" s="23">
        <f t="shared" si="68"/>
        <v>0</v>
      </c>
      <c r="AC90" s="23">
        <f t="shared" si="68"/>
        <v>0</v>
      </c>
      <c r="AD90" s="23">
        <f t="shared" si="68"/>
        <v>0</v>
      </c>
      <c r="AE90" s="23">
        <f t="shared" si="68"/>
        <v>0</v>
      </c>
      <c r="AF90" s="23">
        <f t="shared" si="68"/>
        <v>0</v>
      </c>
      <c r="AG90" s="23">
        <f t="shared" si="68"/>
        <v>0</v>
      </c>
      <c r="AH90" s="25">
        <f t="shared" si="63"/>
        <v>32.549999999999997</v>
      </c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</row>
    <row r="91" spans="1:51" ht="14.4" outlineLevel="2" x14ac:dyDescent="0.3">
      <c r="A91" s="21" t="s">
        <v>45</v>
      </c>
      <c r="B91" s="22" t="s">
        <v>26</v>
      </c>
      <c r="C91" s="22" t="s">
        <v>14</v>
      </c>
      <c r="D91" s="23">
        <f>(0*0-D75*2*(1-0.74)/2-D104*2-D128*2)</f>
        <v>0</v>
      </c>
      <c r="E91" s="24"/>
      <c r="F91" s="24"/>
      <c r="G91" s="24"/>
      <c r="H91" s="24"/>
      <c r="I91" s="24"/>
      <c r="J91" s="24"/>
      <c r="K91" s="24"/>
      <c r="L91" s="24">
        <v>9.5500000000000007</v>
      </c>
      <c r="M91" s="24"/>
      <c r="N91" s="23">
        <f t="shared" ref="N91:AG91" si="69">(0*0-N75*2*(1-0.74)/2-N104*2-N128*2)</f>
        <v>0</v>
      </c>
      <c r="O91" s="23">
        <f t="shared" si="69"/>
        <v>0</v>
      </c>
      <c r="P91" s="23">
        <f t="shared" si="69"/>
        <v>0</v>
      </c>
      <c r="Q91" s="23">
        <f t="shared" si="69"/>
        <v>0</v>
      </c>
      <c r="R91" s="23">
        <f t="shared" si="69"/>
        <v>0</v>
      </c>
      <c r="S91" s="23">
        <f t="shared" si="69"/>
        <v>0</v>
      </c>
      <c r="T91" s="23">
        <f t="shared" si="69"/>
        <v>0</v>
      </c>
      <c r="U91" s="23">
        <f t="shared" si="69"/>
        <v>0</v>
      </c>
      <c r="V91" s="23">
        <f t="shared" si="69"/>
        <v>0</v>
      </c>
      <c r="W91" s="23">
        <f t="shared" si="69"/>
        <v>0</v>
      </c>
      <c r="X91" s="23">
        <f t="shared" si="69"/>
        <v>0</v>
      </c>
      <c r="Y91" s="23">
        <f t="shared" si="69"/>
        <v>0</v>
      </c>
      <c r="Z91" s="23">
        <f t="shared" si="69"/>
        <v>0</v>
      </c>
      <c r="AA91" s="23">
        <f t="shared" si="69"/>
        <v>0</v>
      </c>
      <c r="AB91" s="23">
        <f t="shared" si="69"/>
        <v>0</v>
      </c>
      <c r="AC91" s="23">
        <f t="shared" si="69"/>
        <v>0</v>
      </c>
      <c r="AD91" s="23">
        <f t="shared" si="69"/>
        <v>0</v>
      </c>
      <c r="AE91" s="23">
        <f t="shared" si="69"/>
        <v>0</v>
      </c>
      <c r="AF91" s="23">
        <f t="shared" si="69"/>
        <v>0</v>
      </c>
      <c r="AG91" s="23">
        <f t="shared" si="69"/>
        <v>0</v>
      </c>
      <c r="AH91" s="25">
        <f t="shared" si="63"/>
        <v>9.5500000000000007</v>
      </c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</row>
    <row r="92" spans="1:51" ht="14.4" outlineLevel="2" x14ac:dyDescent="0.3">
      <c r="A92" s="21" t="s">
        <v>46</v>
      </c>
      <c r="B92" s="22" t="s">
        <v>28</v>
      </c>
      <c r="C92" s="22" t="s">
        <v>14</v>
      </c>
      <c r="D92" s="23">
        <f>(0*0-D76*2*(1-0.74)/2-D105*2-D130*2)</f>
        <v>0</v>
      </c>
      <c r="E92" s="24"/>
      <c r="F92" s="24"/>
      <c r="G92" s="24"/>
      <c r="H92" s="24"/>
      <c r="I92" s="24"/>
      <c r="J92" s="24"/>
      <c r="K92" s="24"/>
      <c r="L92" s="24">
        <v>1.8</v>
      </c>
      <c r="M92" s="24"/>
      <c r="N92" s="23">
        <f t="shared" ref="N92:AG92" si="70">(0*0-N76*2*(1-0.74)/2-N105*2-N130*2)</f>
        <v>0</v>
      </c>
      <c r="O92" s="23">
        <f t="shared" si="70"/>
        <v>0</v>
      </c>
      <c r="P92" s="23">
        <f t="shared" si="70"/>
        <v>0</v>
      </c>
      <c r="Q92" s="23">
        <f t="shared" si="70"/>
        <v>0</v>
      </c>
      <c r="R92" s="23">
        <f t="shared" si="70"/>
        <v>0</v>
      </c>
      <c r="S92" s="23">
        <f t="shared" si="70"/>
        <v>0</v>
      </c>
      <c r="T92" s="23">
        <f t="shared" si="70"/>
        <v>0</v>
      </c>
      <c r="U92" s="23">
        <f t="shared" si="70"/>
        <v>0</v>
      </c>
      <c r="V92" s="23">
        <f t="shared" si="70"/>
        <v>0</v>
      </c>
      <c r="W92" s="23">
        <f t="shared" si="70"/>
        <v>0</v>
      </c>
      <c r="X92" s="23">
        <f t="shared" si="70"/>
        <v>0</v>
      </c>
      <c r="Y92" s="23">
        <f t="shared" si="70"/>
        <v>0</v>
      </c>
      <c r="Z92" s="23">
        <f t="shared" si="70"/>
        <v>0</v>
      </c>
      <c r="AA92" s="23">
        <f t="shared" si="70"/>
        <v>0</v>
      </c>
      <c r="AB92" s="23">
        <f t="shared" si="70"/>
        <v>0</v>
      </c>
      <c r="AC92" s="23">
        <f t="shared" si="70"/>
        <v>0</v>
      </c>
      <c r="AD92" s="23">
        <f t="shared" si="70"/>
        <v>0</v>
      </c>
      <c r="AE92" s="23">
        <f t="shared" si="70"/>
        <v>0</v>
      </c>
      <c r="AF92" s="23">
        <f t="shared" si="70"/>
        <v>0</v>
      </c>
      <c r="AG92" s="23">
        <f t="shared" si="70"/>
        <v>0</v>
      </c>
      <c r="AH92" s="25">
        <f t="shared" si="63"/>
        <v>1.8</v>
      </c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</row>
    <row r="93" spans="1:51" ht="14.4" outlineLevel="2" x14ac:dyDescent="0.3">
      <c r="A93" s="21" t="s">
        <v>47</v>
      </c>
      <c r="B93" s="22" t="s">
        <v>30</v>
      </c>
      <c r="C93" s="22" t="s">
        <v>14</v>
      </c>
      <c r="D93" s="23">
        <f>(0*0-D77*2*(1-0.74)/2-D106*2-D131*2)</f>
        <v>0</v>
      </c>
      <c r="E93" s="24"/>
      <c r="F93" s="24"/>
      <c r="G93" s="24"/>
      <c r="H93" s="24"/>
      <c r="I93" s="24"/>
      <c r="J93" s="24"/>
      <c r="K93" s="24"/>
      <c r="L93" s="24">
        <v>75</v>
      </c>
      <c r="M93" s="24"/>
      <c r="N93" s="23">
        <f t="shared" ref="N93:AG93" si="71">(0*0-N77*2*(1-0.74)/2-N106*2-N131*2)</f>
        <v>0</v>
      </c>
      <c r="O93" s="23">
        <f t="shared" si="71"/>
        <v>0</v>
      </c>
      <c r="P93" s="23">
        <f t="shared" si="71"/>
        <v>0</v>
      </c>
      <c r="Q93" s="23">
        <f t="shared" si="71"/>
        <v>0</v>
      </c>
      <c r="R93" s="23">
        <f t="shared" si="71"/>
        <v>0</v>
      </c>
      <c r="S93" s="23">
        <f t="shared" si="71"/>
        <v>0</v>
      </c>
      <c r="T93" s="23">
        <f t="shared" si="71"/>
        <v>0</v>
      </c>
      <c r="U93" s="23">
        <f t="shared" si="71"/>
        <v>0</v>
      </c>
      <c r="V93" s="23">
        <f t="shared" si="71"/>
        <v>0</v>
      </c>
      <c r="W93" s="23">
        <f t="shared" si="71"/>
        <v>0</v>
      </c>
      <c r="X93" s="23">
        <f t="shared" si="71"/>
        <v>0</v>
      </c>
      <c r="Y93" s="23">
        <f t="shared" si="71"/>
        <v>0</v>
      </c>
      <c r="Z93" s="23">
        <f t="shared" si="71"/>
        <v>0</v>
      </c>
      <c r="AA93" s="23">
        <f t="shared" si="71"/>
        <v>0</v>
      </c>
      <c r="AB93" s="23">
        <f t="shared" si="71"/>
        <v>0</v>
      </c>
      <c r="AC93" s="23">
        <f t="shared" si="71"/>
        <v>0</v>
      </c>
      <c r="AD93" s="23">
        <f t="shared" si="71"/>
        <v>0</v>
      </c>
      <c r="AE93" s="23">
        <f t="shared" si="71"/>
        <v>0</v>
      </c>
      <c r="AF93" s="23">
        <f t="shared" si="71"/>
        <v>0</v>
      </c>
      <c r="AG93" s="23">
        <f t="shared" si="71"/>
        <v>0</v>
      </c>
      <c r="AH93" s="25">
        <f t="shared" si="63"/>
        <v>75</v>
      </c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</row>
    <row r="94" spans="1:51" ht="14.4" outlineLevel="2" x14ac:dyDescent="0.3">
      <c r="A94" s="21" t="s">
        <v>48</v>
      </c>
      <c r="B94" s="22" t="s">
        <v>32</v>
      </c>
      <c r="C94" s="22" t="s">
        <v>14</v>
      </c>
      <c r="D94" s="23">
        <f>(0*0-D78*2*(1-0.74)/2-D107*2-D136*2)</f>
        <v>0</v>
      </c>
      <c r="E94" s="24"/>
      <c r="F94" s="24"/>
      <c r="G94" s="24"/>
      <c r="H94" s="24"/>
      <c r="I94" s="24"/>
      <c r="J94" s="25"/>
      <c r="K94" s="25"/>
      <c r="L94" s="24"/>
      <c r="M94" s="24">
        <v>48.8</v>
      </c>
      <c r="N94" s="23">
        <f t="shared" ref="N94:AG94" si="72">(0*0-N78*2*(1-0.74)/2-N107*2-N136*2)</f>
        <v>0</v>
      </c>
      <c r="O94" s="23">
        <f t="shared" si="72"/>
        <v>0</v>
      </c>
      <c r="P94" s="23">
        <f t="shared" si="72"/>
        <v>0</v>
      </c>
      <c r="Q94" s="23">
        <f t="shared" si="72"/>
        <v>0</v>
      </c>
      <c r="R94" s="23">
        <f t="shared" si="72"/>
        <v>0</v>
      </c>
      <c r="S94" s="23">
        <f t="shared" si="72"/>
        <v>0</v>
      </c>
      <c r="T94" s="23">
        <f t="shared" si="72"/>
        <v>0</v>
      </c>
      <c r="U94" s="23">
        <f t="shared" si="72"/>
        <v>0</v>
      </c>
      <c r="V94" s="23">
        <f t="shared" si="72"/>
        <v>0</v>
      </c>
      <c r="W94" s="23">
        <f t="shared" si="72"/>
        <v>0</v>
      </c>
      <c r="X94" s="23">
        <f t="shared" si="72"/>
        <v>0</v>
      </c>
      <c r="Y94" s="23">
        <f t="shared" si="72"/>
        <v>0</v>
      </c>
      <c r="Z94" s="23">
        <f t="shared" si="72"/>
        <v>0</v>
      </c>
      <c r="AA94" s="23">
        <f t="shared" si="72"/>
        <v>0</v>
      </c>
      <c r="AB94" s="23">
        <f t="shared" si="72"/>
        <v>0</v>
      </c>
      <c r="AC94" s="23">
        <f t="shared" si="72"/>
        <v>0</v>
      </c>
      <c r="AD94" s="23">
        <f t="shared" si="72"/>
        <v>0</v>
      </c>
      <c r="AE94" s="23">
        <f t="shared" si="72"/>
        <v>0</v>
      </c>
      <c r="AF94" s="23">
        <f t="shared" si="72"/>
        <v>0</v>
      </c>
      <c r="AG94" s="23">
        <f t="shared" si="72"/>
        <v>0</v>
      </c>
      <c r="AH94" s="25">
        <f t="shared" si="63"/>
        <v>48.8</v>
      </c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</row>
    <row r="95" spans="1:51" ht="14.4" outlineLevel="2" x14ac:dyDescent="0.3">
      <c r="A95" s="21" t="s">
        <v>49</v>
      </c>
      <c r="B95" s="22" t="s">
        <v>34</v>
      </c>
      <c r="C95" s="22" t="s">
        <v>14</v>
      </c>
      <c r="D95" s="23">
        <f>(0*0-D79*2*(1-0.74)/2-D108*2-D140*2)</f>
        <v>0</v>
      </c>
      <c r="E95" s="24"/>
      <c r="F95" s="24"/>
      <c r="G95" s="24"/>
      <c r="H95" s="24"/>
      <c r="I95" s="24"/>
      <c r="J95" s="25"/>
      <c r="K95" s="25"/>
      <c r="L95" s="24"/>
      <c r="M95" s="24">
        <v>13.8</v>
      </c>
      <c r="N95" s="23">
        <f t="shared" ref="N95:AG95" si="73">(0*0-N79*2*(1-0.74)/2-N108*2-N140*2)</f>
        <v>0</v>
      </c>
      <c r="O95" s="23">
        <f t="shared" si="73"/>
        <v>0</v>
      </c>
      <c r="P95" s="23">
        <f t="shared" si="73"/>
        <v>0</v>
      </c>
      <c r="Q95" s="23">
        <f t="shared" si="73"/>
        <v>0</v>
      </c>
      <c r="R95" s="23">
        <f t="shared" si="73"/>
        <v>0</v>
      </c>
      <c r="S95" s="23">
        <f t="shared" si="73"/>
        <v>0</v>
      </c>
      <c r="T95" s="23">
        <f t="shared" si="73"/>
        <v>0</v>
      </c>
      <c r="U95" s="23">
        <f t="shared" si="73"/>
        <v>0</v>
      </c>
      <c r="V95" s="23">
        <f t="shared" si="73"/>
        <v>0</v>
      </c>
      <c r="W95" s="23">
        <f t="shared" si="73"/>
        <v>0</v>
      </c>
      <c r="X95" s="23">
        <f t="shared" si="73"/>
        <v>0</v>
      </c>
      <c r="Y95" s="23">
        <f t="shared" si="73"/>
        <v>0</v>
      </c>
      <c r="Z95" s="23">
        <f t="shared" si="73"/>
        <v>0</v>
      </c>
      <c r="AA95" s="23">
        <f t="shared" si="73"/>
        <v>0</v>
      </c>
      <c r="AB95" s="23">
        <f t="shared" si="73"/>
        <v>0</v>
      </c>
      <c r="AC95" s="23">
        <f t="shared" si="73"/>
        <v>0</v>
      </c>
      <c r="AD95" s="23">
        <f t="shared" si="73"/>
        <v>0</v>
      </c>
      <c r="AE95" s="23">
        <f t="shared" si="73"/>
        <v>0</v>
      </c>
      <c r="AF95" s="23">
        <f t="shared" si="73"/>
        <v>0</v>
      </c>
      <c r="AG95" s="23">
        <f t="shared" si="73"/>
        <v>0</v>
      </c>
      <c r="AH95" s="25">
        <f t="shared" si="63"/>
        <v>13.8</v>
      </c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</row>
    <row r="96" spans="1:51" ht="14.4" outlineLevel="2" x14ac:dyDescent="0.3">
      <c r="A96" s="21" t="s">
        <v>50</v>
      </c>
      <c r="B96" s="22" t="s">
        <v>36</v>
      </c>
      <c r="C96" s="22" t="s">
        <v>14</v>
      </c>
      <c r="D96" s="23">
        <f>(0*0-D80*2*(1-0.74)/2-D109*2-D141*2)</f>
        <v>0</v>
      </c>
      <c r="E96" s="24"/>
      <c r="F96" s="24"/>
      <c r="G96" s="24"/>
      <c r="H96" s="24"/>
      <c r="I96" s="24"/>
      <c r="J96" s="25"/>
      <c r="K96" s="25"/>
      <c r="L96" s="24"/>
      <c r="M96" s="24">
        <v>13.79</v>
      </c>
      <c r="N96" s="23">
        <f t="shared" ref="N96:V96" si="74">(0*0-N80*2*(1-0.74)/2-N109*2-N141*2)</f>
        <v>0</v>
      </c>
      <c r="O96" s="23">
        <f t="shared" si="74"/>
        <v>0</v>
      </c>
      <c r="P96" s="23">
        <f t="shared" si="74"/>
        <v>0</v>
      </c>
      <c r="Q96" s="23">
        <f t="shared" si="74"/>
        <v>0</v>
      </c>
      <c r="R96" s="23">
        <f t="shared" si="74"/>
        <v>0</v>
      </c>
      <c r="S96" s="23">
        <f t="shared" si="74"/>
        <v>0</v>
      </c>
      <c r="T96" s="23">
        <f t="shared" si="74"/>
        <v>0</v>
      </c>
      <c r="U96" s="23">
        <f t="shared" si="74"/>
        <v>0</v>
      </c>
      <c r="V96" s="23">
        <f t="shared" si="74"/>
        <v>0</v>
      </c>
      <c r="W96" s="23">
        <f>W80*(1.2/2.5)</f>
        <v>2.3742171428571428</v>
      </c>
      <c r="X96" s="23">
        <f t="shared" ref="X96:AG96" si="75">(0*0-X80*2*(1-0.74)/2-X109*2-X141*2)</f>
        <v>0</v>
      </c>
      <c r="Y96" s="23">
        <f t="shared" si="75"/>
        <v>0</v>
      </c>
      <c r="Z96" s="23">
        <f t="shared" si="75"/>
        <v>0</v>
      </c>
      <c r="AA96" s="23">
        <f t="shared" si="75"/>
        <v>0</v>
      </c>
      <c r="AB96" s="23">
        <f t="shared" si="75"/>
        <v>0</v>
      </c>
      <c r="AC96" s="23">
        <f t="shared" si="75"/>
        <v>0</v>
      </c>
      <c r="AD96" s="23">
        <f t="shared" si="75"/>
        <v>0</v>
      </c>
      <c r="AE96" s="23">
        <f t="shared" si="75"/>
        <v>0</v>
      </c>
      <c r="AF96" s="23">
        <f t="shared" si="75"/>
        <v>0</v>
      </c>
      <c r="AG96" s="23">
        <f t="shared" si="75"/>
        <v>0</v>
      </c>
      <c r="AH96" s="25">
        <f t="shared" si="63"/>
        <v>16.16421714285714</v>
      </c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</row>
    <row r="97" spans="1:36" ht="14.4" x14ac:dyDescent="0.3">
      <c r="A97" s="15">
        <v>3</v>
      </c>
      <c r="B97" s="16" t="s">
        <v>831</v>
      </c>
      <c r="C97" s="16" t="s">
        <v>14</v>
      </c>
      <c r="D97" s="17">
        <f>D98+D99+D100+D101+D102+D103+D104+D105+D106+D107+D108+D109</f>
        <v>0</v>
      </c>
      <c r="E97" s="17">
        <f t="shared" ref="E97:AH97" si="76">E98+E99+E100+E101+E102+E103+E104+E105+E106+E107+E108+E109</f>
        <v>0</v>
      </c>
      <c r="F97" s="17">
        <f t="shared" si="76"/>
        <v>0</v>
      </c>
      <c r="G97" s="17">
        <f t="shared" si="76"/>
        <v>0</v>
      </c>
      <c r="H97" s="17">
        <f t="shared" si="76"/>
        <v>0</v>
      </c>
      <c r="I97" s="17">
        <f t="shared" si="76"/>
        <v>0</v>
      </c>
      <c r="J97" s="17">
        <f t="shared" si="76"/>
        <v>0</v>
      </c>
      <c r="K97" s="17">
        <f t="shared" si="76"/>
        <v>0</v>
      </c>
      <c r="L97" s="17">
        <f t="shared" si="76"/>
        <v>0</v>
      </c>
      <c r="M97" s="17">
        <f t="shared" si="76"/>
        <v>0</v>
      </c>
      <c r="N97" s="17">
        <f t="shared" si="76"/>
        <v>0</v>
      </c>
      <c r="O97" s="17">
        <f t="shared" si="76"/>
        <v>0</v>
      </c>
      <c r="P97" s="17">
        <f t="shared" si="76"/>
        <v>0</v>
      </c>
      <c r="Q97" s="17">
        <f t="shared" si="76"/>
        <v>0</v>
      </c>
      <c r="R97" s="17">
        <f t="shared" si="76"/>
        <v>0</v>
      </c>
      <c r="S97" s="17">
        <f t="shared" si="76"/>
        <v>0</v>
      </c>
      <c r="T97" s="17">
        <f t="shared" si="76"/>
        <v>0</v>
      </c>
      <c r="U97" s="17">
        <f t="shared" si="76"/>
        <v>0</v>
      </c>
      <c r="V97" s="17">
        <f t="shared" si="76"/>
        <v>0</v>
      </c>
      <c r="W97" s="17">
        <f t="shared" si="76"/>
        <v>0</v>
      </c>
      <c r="X97" s="17">
        <f t="shared" si="76"/>
        <v>0</v>
      </c>
      <c r="Y97" s="17">
        <f t="shared" si="76"/>
        <v>0</v>
      </c>
      <c r="Z97" s="17">
        <f t="shared" si="76"/>
        <v>0</v>
      </c>
      <c r="AA97" s="17">
        <f t="shared" si="76"/>
        <v>0</v>
      </c>
      <c r="AB97" s="17">
        <f t="shared" si="76"/>
        <v>0</v>
      </c>
      <c r="AC97" s="17">
        <f t="shared" si="76"/>
        <v>0</v>
      </c>
      <c r="AD97" s="17">
        <f t="shared" si="76"/>
        <v>0</v>
      </c>
      <c r="AE97" s="17">
        <f t="shared" si="76"/>
        <v>0</v>
      </c>
      <c r="AF97" s="17">
        <f t="shared" si="76"/>
        <v>0</v>
      </c>
      <c r="AG97" s="17">
        <f t="shared" si="76"/>
        <v>0</v>
      </c>
      <c r="AH97" s="17">
        <f t="shared" si="76"/>
        <v>0</v>
      </c>
      <c r="AJ97" s="14"/>
    </row>
    <row r="98" spans="1:36" ht="14.4" outlineLevel="1" x14ac:dyDescent="0.3">
      <c r="A98" s="21" t="s">
        <v>60</v>
      </c>
      <c r="B98" s="22" t="s">
        <v>13</v>
      </c>
      <c r="C98" s="22" t="s">
        <v>14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>
        <f t="shared" ref="AH98:AH109" si="77">SUM(D98:AG98)</f>
        <v>0</v>
      </c>
    </row>
    <row r="99" spans="1:36" ht="14.4" outlineLevel="1" x14ac:dyDescent="0.3">
      <c r="A99" s="21" t="s">
        <v>61</v>
      </c>
      <c r="B99" s="22" t="s">
        <v>16</v>
      </c>
      <c r="C99" s="22" t="s">
        <v>14</v>
      </c>
      <c r="D99" s="33"/>
      <c r="E99" s="33"/>
      <c r="F99" s="33"/>
      <c r="G99" s="33"/>
      <c r="H99" s="33"/>
      <c r="I99" s="33"/>
      <c r="J99" s="33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>
        <f t="shared" si="77"/>
        <v>0</v>
      </c>
    </row>
    <row r="100" spans="1:36" ht="14.4" outlineLevel="1" x14ac:dyDescent="0.3">
      <c r="A100" s="21" t="s">
        <v>62</v>
      </c>
      <c r="B100" s="22" t="s">
        <v>18</v>
      </c>
      <c r="C100" s="22" t="s">
        <v>14</v>
      </c>
      <c r="D100" s="33"/>
      <c r="E100" s="33"/>
      <c r="F100" s="33"/>
      <c r="G100" s="33"/>
      <c r="H100" s="33"/>
      <c r="I100" s="33"/>
      <c r="J100" s="33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>
        <f t="shared" si="77"/>
        <v>0</v>
      </c>
    </row>
    <row r="101" spans="1:36" ht="14.4" outlineLevel="1" x14ac:dyDescent="0.3">
      <c r="A101" s="21" t="s">
        <v>63</v>
      </c>
      <c r="B101" s="22" t="s">
        <v>20</v>
      </c>
      <c r="C101" s="22" t="s">
        <v>14</v>
      </c>
      <c r="D101" s="33"/>
      <c r="E101" s="33"/>
      <c r="F101" s="33"/>
      <c r="G101" s="33"/>
      <c r="H101" s="33"/>
      <c r="I101" s="33"/>
      <c r="J101" s="33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>
        <f t="shared" si="77"/>
        <v>0</v>
      </c>
    </row>
    <row r="102" spans="1:36" ht="14.4" outlineLevel="1" x14ac:dyDescent="0.3">
      <c r="A102" s="21" t="s">
        <v>64</v>
      </c>
      <c r="B102" s="22" t="s">
        <v>22</v>
      </c>
      <c r="C102" s="22" t="s">
        <v>14</v>
      </c>
      <c r="D102" s="33"/>
      <c r="E102" s="33"/>
      <c r="F102" s="33"/>
      <c r="G102" s="33"/>
      <c r="H102" s="33"/>
      <c r="I102" s="33"/>
      <c r="J102" s="33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>
        <f t="shared" ref="AH102" si="78">SUM(D102:AG102)</f>
        <v>0</v>
      </c>
    </row>
    <row r="103" spans="1:36" ht="14.4" outlineLevel="1" x14ac:dyDescent="0.3">
      <c r="A103" s="21" t="s">
        <v>65</v>
      </c>
      <c r="B103" s="22" t="s">
        <v>24</v>
      </c>
      <c r="C103" s="22" t="s">
        <v>14</v>
      </c>
      <c r="D103" s="33"/>
      <c r="E103" s="33"/>
      <c r="F103" s="33"/>
      <c r="G103" s="33"/>
      <c r="H103" s="33"/>
      <c r="I103" s="33"/>
      <c r="J103" s="33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>
        <f t="shared" ref="AH103" si="79">SUM(D103:AG103)</f>
        <v>0</v>
      </c>
    </row>
    <row r="104" spans="1:36" ht="14.4" outlineLevel="1" x14ac:dyDescent="0.3">
      <c r="A104" s="21" t="s">
        <v>66</v>
      </c>
      <c r="B104" s="22" t="s">
        <v>26</v>
      </c>
      <c r="C104" s="22" t="s">
        <v>14</v>
      </c>
      <c r="D104" s="24"/>
      <c r="E104" s="24"/>
      <c r="F104" s="24"/>
      <c r="G104" s="24"/>
      <c r="H104" s="24"/>
      <c r="I104" s="24"/>
      <c r="J104" s="24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34">
        <f t="shared" si="77"/>
        <v>0</v>
      </c>
    </row>
    <row r="105" spans="1:36" ht="14.4" outlineLevel="1" x14ac:dyDescent="0.3">
      <c r="A105" s="21" t="s">
        <v>67</v>
      </c>
      <c r="B105" s="22" t="s">
        <v>28</v>
      </c>
      <c r="C105" s="22" t="s">
        <v>14</v>
      </c>
      <c r="D105" s="24"/>
      <c r="E105" s="24"/>
      <c r="F105" s="24"/>
      <c r="G105" s="24"/>
      <c r="H105" s="24"/>
      <c r="I105" s="24"/>
      <c r="J105" s="24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34">
        <f t="shared" si="77"/>
        <v>0</v>
      </c>
    </row>
    <row r="106" spans="1:36" ht="14.4" outlineLevel="1" x14ac:dyDescent="0.3">
      <c r="A106" s="21" t="s">
        <v>68</v>
      </c>
      <c r="B106" s="22" t="s">
        <v>30</v>
      </c>
      <c r="C106" s="22" t="s">
        <v>14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4">
        <f t="shared" si="77"/>
        <v>0</v>
      </c>
    </row>
    <row r="107" spans="1:36" ht="14.4" outlineLevel="1" x14ac:dyDescent="0.3">
      <c r="A107" s="21" t="s">
        <v>69</v>
      </c>
      <c r="B107" s="22" t="s">
        <v>32</v>
      </c>
      <c r="C107" s="22" t="s">
        <v>14</v>
      </c>
      <c r="D107" s="33"/>
      <c r="E107" s="33"/>
      <c r="F107" s="33"/>
      <c r="G107" s="33"/>
      <c r="H107" s="33"/>
      <c r="I107" s="33"/>
      <c r="J107" s="33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>
        <f t="shared" si="77"/>
        <v>0</v>
      </c>
    </row>
    <row r="108" spans="1:36" ht="14.4" outlineLevel="1" x14ac:dyDescent="0.3">
      <c r="A108" s="21" t="s">
        <v>70</v>
      </c>
      <c r="B108" s="22" t="s">
        <v>34</v>
      </c>
      <c r="C108" s="22" t="s">
        <v>14</v>
      </c>
      <c r="D108" s="33"/>
      <c r="E108" s="33"/>
      <c r="F108" s="33"/>
      <c r="G108" s="33"/>
      <c r="H108" s="33"/>
      <c r="I108" s="33"/>
      <c r="J108" s="33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>
        <f t="shared" si="77"/>
        <v>0</v>
      </c>
    </row>
    <row r="109" spans="1:36" ht="14.4" outlineLevel="1" x14ac:dyDescent="0.3">
      <c r="A109" s="21" t="s">
        <v>71</v>
      </c>
      <c r="B109" s="22" t="s">
        <v>36</v>
      </c>
      <c r="C109" s="22" t="s">
        <v>14</v>
      </c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3"/>
      <c r="AH109" s="34">
        <f t="shared" si="77"/>
        <v>0</v>
      </c>
    </row>
    <row r="110" spans="1:36" ht="14.4" x14ac:dyDescent="0.3">
      <c r="A110" s="15">
        <v>4</v>
      </c>
      <c r="B110" s="16" t="s">
        <v>832</v>
      </c>
      <c r="C110" s="16" t="s">
        <v>14</v>
      </c>
      <c r="D110" s="17">
        <f>D111+D114+D118+D122+D125+D126+D128+D130+D131+D136+D140+D141</f>
        <v>0</v>
      </c>
      <c r="E110" s="17">
        <f t="shared" ref="E110:AH110" si="80">E111+E114+E118+E122+E125+E126+E128+E130+E131+E136+E140+E141</f>
        <v>0</v>
      </c>
      <c r="F110" s="17">
        <f t="shared" si="80"/>
        <v>0</v>
      </c>
      <c r="G110" s="17">
        <f t="shared" si="80"/>
        <v>0</v>
      </c>
      <c r="H110" s="17">
        <f t="shared" si="80"/>
        <v>0</v>
      </c>
      <c r="I110" s="17">
        <f t="shared" si="80"/>
        <v>0</v>
      </c>
      <c r="J110" s="17">
        <f t="shared" si="80"/>
        <v>2.6</v>
      </c>
      <c r="K110" s="17">
        <f t="shared" si="80"/>
        <v>3.9</v>
      </c>
      <c r="L110" s="17">
        <f t="shared" si="80"/>
        <v>4.4400000000000004</v>
      </c>
      <c r="M110" s="17">
        <f t="shared" si="80"/>
        <v>1.9500000000000002</v>
      </c>
      <c r="N110" s="17">
        <f t="shared" si="80"/>
        <v>0</v>
      </c>
      <c r="O110" s="17">
        <f t="shared" si="80"/>
        <v>0</v>
      </c>
      <c r="P110" s="17">
        <f t="shared" si="80"/>
        <v>0</v>
      </c>
      <c r="Q110" s="17">
        <f t="shared" si="80"/>
        <v>0</v>
      </c>
      <c r="R110" s="17">
        <f t="shared" si="80"/>
        <v>0</v>
      </c>
      <c r="S110" s="17">
        <f t="shared" si="80"/>
        <v>0</v>
      </c>
      <c r="T110" s="17">
        <f t="shared" si="80"/>
        <v>0</v>
      </c>
      <c r="U110" s="17">
        <f t="shared" si="80"/>
        <v>0</v>
      </c>
      <c r="V110" s="17">
        <f t="shared" si="80"/>
        <v>0</v>
      </c>
      <c r="W110" s="17">
        <f t="shared" si="80"/>
        <v>0</v>
      </c>
      <c r="X110" s="17">
        <f t="shared" si="80"/>
        <v>0</v>
      </c>
      <c r="Y110" s="17">
        <f t="shared" si="80"/>
        <v>0</v>
      </c>
      <c r="Z110" s="17">
        <f t="shared" si="80"/>
        <v>0</v>
      </c>
      <c r="AA110" s="17">
        <f t="shared" si="80"/>
        <v>0</v>
      </c>
      <c r="AB110" s="17">
        <f t="shared" si="80"/>
        <v>0</v>
      </c>
      <c r="AC110" s="17">
        <f t="shared" si="80"/>
        <v>0</v>
      </c>
      <c r="AD110" s="17">
        <f t="shared" si="80"/>
        <v>0</v>
      </c>
      <c r="AE110" s="17">
        <f t="shared" si="80"/>
        <v>0</v>
      </c>
      <c r="AF110" s="17">
        <f t="shared" si="80"/>
        <v>0</v>
      </c>
      <c r="AG110" s="17">
        <f t="shared" si="80"/>
        <v>0</v>
      </c>
      <c r="AH110" s="17">
        <f t="shared" si="80"/>
        <v>12.89</v>
      </c>
      <c r="AJ110" s="14"/>
    </row>
    <row r="111" spans="1:36" ht="14.4" outlineLevel="1" x14ac:dyDescent="0.3">
      <c r="A111" s="21" t="s">
        <v>72</v>
      </c>
      <c r="B111" s="22" t="s">
        <v>13</v>
      </c>
      <c r="C111" s="22" t="s">
        <v>14</v>
      </c>
      <c r="D111" s="33">
        <f>SUM(D112:D113)</f>
        <v>0</v>
      </c>
      <c r="E111" s="33">
        <f t="shared" ref="E111:AG111" si="81">SUM(E112:E113)</f>
        <v>0</v>
      </c>
      <c r="F111" s="33">
        <f t="shared" si="81"/>
        <v>0</v>
      </c>
      <c r="G111" s="33">
        <f t="shared" si="81"/>
        <v>0</v>
      </c>
      <c r="H111" s="33">
        <f t="shared" si="81"/>
        <v>0</v>
      </c>
      <c r="I111" s="33">
        <f t="shared" si="81"/>
        <v>0</v>
      </c>
      <c r="J111" s="33">
        <f t="shared" si="81"/>
        <v>1.3</v>
      </c>
      <c r="K111" s="33">
        <f t="shared" si="81"/>
        <v>0</v>
      </c>
      <c r="L111" s="33">
        <f t="shared" si="81"/>
        <v>0</v>
      </c>
      <c r="M111" s="33">
        <f t="shared" si="81"/>
        <v>0</v>
      </c>
      <c r="N111" s="33">
        <f t="shared" si="81"/>
        <v>0</v>
      </c>
      <c r="O111" s="33">
        <f t="shared" si="81"/>
        <v>0</v>
      </c>
      <c r="P111" s="33">
        <f t="shared" si="81"/>
        <v>0</v>
      </c>
      <c r="Q111" s="33">
        <f t="shared" si="81"/>
        <v>0</v>
      </c>
      <c r="R111" s="33">
        <f t="shared" si="81"/>
        <v>0</v>
      </c>
      <c r="S111" s="33">
        <f t="shared" si="81"/>
        <v>0</v>
      </c>
      <c r="T111" s="33">
        <f t="shared" si="81"/>
        <v>0</v>
      </c>
      <c r="U111" s="33">
        <f t="shared" si="81"/>
        <v>0</v>
      </c>
      <c r="V111" s="33">
        <f t="shared" si="81"/>
        <v>0</v>
      </c>
      <c r="W111" s="33">
        <f t="shared" si="81"/>
        <v>0</v>
      </c>
      <c r="X111" s="33">
        <f t="shared" si="81"/>
        <v>0</v>
      </c>
      <c r="Y111" s="33">
        <f t="shared" si="81"/>
        <v>0</v>
      </c>
      <c r="Z111" s="33">
        <f t="shared" si="81"/>
        <v>0</v>
      </c>
      <c r="AA111" s="33">
        <f t="shared" si="81"/>
        <v>0</v>
      </c>
      <c r="AB111" s="33">
        <f t="shared" si="81"/>
        <v>0</v>
      </c>
      <c r="AC111" s="33">
        <f t="shared" si="81"/>
        <v>0</v>
      </c>
      <c r="AD111" s="33">
        <f t="shared" si="81"/>
        <v>0</v>
      </c>
      <c r="AE111" s="33">
        <f t="shared" si="81"/>
        <v>0</v>
      </c>
      <c r="AF111" s="33">
        <f t="shared" si="81"/>
        <v>0</v>
      </c>
      <c r="AG111" s="33">
        <f t="shared" si="81"/>
        <v>0</v>
      </c>
      <c r="AH111" s="33">
        <f t="shared" ref="AH111:AH140" si="82">SUM(D111:AG111)</f>
        <v>1.3</v>
      </c>
    </row>
    <row r="112" spans="1:36" ht="14.4" outlineLevel="1" x14ac:dyDescent="0.3">
      <c r="A112" s="21"/>
      <c r="B112" s="22" t="s">
        <v>304</v>
      </c>
      <c r="C112" s="22" t="s">
        <v>14</v>
      </c>
      <c r="D112" s="23"/>
      <c r="E112" s="23"/>
      <c r="F112" s="23"/>
      <c r="G112" s="23"/>
      <c r="H112" s="23"/>
      <c r="I112" s="23"/>
      <c r="J112" s="23">
        <v>0.65</v>
      </c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33"/>
    </row>
    <row r="113" spans="1:34" ht="14.4" outlineLevel="1" x14ac:dyDescent="0.3">
      <c r="A113" s="21"/>
      <c r="B113" s="22" t="s">
        <v>305</v>
      </c>
      <c r="C113" s="22" t="s">
        <v>14</v>
      </c>
      <c r="D113" s="23"/>
      <c r="E113" s="23"/>
      <c r="F113" s="23"/>
      <c r="G113" s="23"/>
      <c r="H113" s="23"/>
      <c r="I113" s="23"/>
      <c r="J113" s="23">
        <v>0.65</v>
      </c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33"/>
    </row>
    <row r="114" spans="1:34" ht="14.4" outlineLevel="1" x14ac:dyDescent="0.3">
      <c r="A114" s="21" t="s">
        <v>73</v>
      </c>
      <c r="B114" s="22" t="s">
        <v>16</v>
      </c>
      <c r="C114" s="22" t="s">
        <v>14</v>
      </c>
      <c r="D114" s="33">
        <f t="shared" ref="D114" si="83">SUM(D115:D117)</f>
        <v>0</v>
      </c>
      <c r="E114" s="33">
        <f>SUM(E115:E117)</f>
        <v>0</v>
      </c>
      <c r="F114" s="33">
        <f t="shared" ref="F114:AG114" si="84">SUM(F115:F117)</f>
        <v>0</v>
      </c>
      <c r="G114" s="33">
        <f t="shared" si="84"/>
        <v>0</v>
      </c>
      <c r="H114" s="33">
        <f t="shared" si="84"/>
        <v>0</v>
      </c>
      <c r="I114" s="33">
        <f t="shared" si="84"/>
        <v>0</v>
      </c>
      <c r="J114" s="33">
        <f t="shared" si="84"/>
        <v>0</v>
      </c>
      <c r="K114" s="33">
        <f t="shared" si="84"/>
        <v>1.9500000000000002</v>
      </c>
      <c r="L114" s="33">
        <f t="shared" si="84"/>
        <v>0</v>
      </c>
      <c r="M114" s="33">
        <f t="shared" si="84"/>
        <v>0</v>
      </c>
      <c r="N114" s="33">
        <f t="shared" si="84"/>
        <v>0</v>
      </c>
      <c r="O114" s="33">
        <f t="shared" si="84"/>
        <v>0</v>
      </c>
      <c r="P114" s="33">
        <f t="shared" si="84"/>
        <v>0</v>
      </c>
      <c r="Q114" s="33">
        <f t="shared" si="84"/>
        <v>0</v>
      </c>
      <c r="R114" s="33">
        <f t="shared" si="84"/>
        <v>0</v>
      </c>
      <c r="S114" s="33">
        <f t="shared" si="84"/>
        <v>0</v>
      </c>
      <c r="T114" s="33">
        <f t="shared" si="84"/>
        <v>0</v>
      </c>
      <c r="U114" s="33">
        <f t="shared" si="84"/>
        <v>0</v>
      </c>
      <c r="V114" s="33">
        <f t="shared" si="84"/>
        <v>0</v>
      </c>
      <c r="W114" s="33">
        <f t="shared" si="84"/>
        <v>0</v>
      </c>
      <c r="X114" s="33">
        <f t="shared" si="84"/>
        <v>0</v>
      </c>
      <c r="Y114" s="33">
        <f t="shared" si="84"/>
        <v>0</v>
      </c>
      <c r="Z114" s="33">
        <f t="shared" si="84"/>
        <v>0</v>
      </c>
      <c r="AA114" s="33">
        <f t="shared" si="84"/>
        <v>0</v>
      </c>
      <c r="AB114" s="33">
        <f t="shared" si="84"/>
        <v>0</v>
      </c>
      <c r="AC114" s="33">
        <f t="shared" si="84"/>
        <v>0</v>
      </c>
      <c r="AD114" s="33">
        <f t="shared" si="84"/>
        <v>0</v>
      </c>
      <c r="AE114" s="33">
        <f t="shared" si="84"/>
        <v>0</v>
      </c>
      <c r="AF114" s="33">
        <f t="shared" si="84"/>
        <v>0</v>
      </c>
      <c r="AG114" s="33">
        <f t="shared" si="84"/>
        <v>0</v>
      </c>
      <c r="AH114" s="34">
        <f t="shared" si="82"/>
        <v>1.9500000000000002</v>
      </c>
    </row>
    <row r="115" spans="1:34" ht="14.4" outlineLevel="1" x14ac:dyDescent="0.3">
      <c r="A115" s="21"/>
      <c r="B115" s="22" t="s">
        <v>291</v>
      </c>
      <c r="C115" s="22" t="s">
        <v>14</v>
      </c>
      <c r="D115" s="23"/>
      <c r="E115" s="23"/>
      <c r="F115" s="23"/>
      <c r="G115" s="23"/>
      <c r="H115" s="23"/>
      <c r="I115" s="23"/>
      <c r="J115" s="23"/>
      <c r="K115" s="23">
        <v>0.65</v>
      </c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34"/>
    </row>
    <row r="116" spans="1:34" ht="14.4" outlineLevel="1" x14ac:dyDescent="0.3">
      <c r="A116" s="21"/>
      <c r="B116" s="22" t="s">
        <v>292</v>
      </c>
      <c r="C116" s="22" t="s">
        <v>14</v>
      </c>
      <c r="D116" s="23"/>
      <c r="E116" s="23"/>
      <c r="F116" s="23"/>
      <c r="G116" s="23"/>
      <c r="H116" s="23"/>
      <c r="I116" s="23"/>
      <c r="J116" s="23"/>
      <c r="K116" s="23">
        <v>0.65</v>
      </c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34"/>
    </row>
    <row r="117" spans="1:34" ht="14.4" outlineLevel="1" x14ac:dyDescent="0.3">
      <c r="A117" s="21"/>
      <c r="B117" s="22" t="s">
        <v>293</v>
      </c>
      <c r="C117" s="22" t="s">
        <v>14</v>
      </c>
      <c r="D117" s="23"/>
      <c r="E117" s="23"/>
      <c r="F117" s="23"/>
      <c r="G117" s="23"/>
      <c r="H117" s="23"/>
      <c r="I117" s="23"/>
      <c r="J117" s="23"/>
      <c r="K117" s="23">
        <v>0.65</v>
      </c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34"/>
    </row>
    <row r="118" spans="1:34" ht="14.4" outlineLevel="1" x14ac:dyDescent="0.3">
      <c r="A118" s="21" t="s">
        <v>74</v>
      </c>
      <c r="B118" s="22" t="s">
        <v>18</v>
      </c>
      <c r="C118" s="22" t="s">
        <v>14</v>
      </c>
      <c r="D118" s="33">
        <f t="shared" ref="D118" si="85">SUM(D119:D121)</f>
        <v>0</v>
      </c>
      <c r="E118" s="33">
        <f>SUM(E119:E121)</f>
        <v>0</v>
      </c>
      <c r="F118" s="33">
        <f t="shared" ref="F118" si="86">SUM(F119:F121)</f>
        <v>0</v>
      </c>
      <c r="G118" s="33">
        <f t="shared" ref="G118" si="87">SUM(G119:G121)</f>
        <v>0</v>
      </c>
      <c r="H118" s="33">
        <f t="shared" ref="H118" si="88">SUM(H119:H121)</f>
        <v>0</v>
      </c>
      <c r="I118" s="33">
        <f t="shared" ref="I118" si="89">SUM(I119:I121)</f>
        <v>0</v>
      </c>
      <c r="J118" s="33">
        <f t="shared" ref="J118" si="90">SUM(J119:J121)</f>
        <v>0</v>
      </c>
      <c r="K118" s="33">
        <f t="shared" ref="K118" si="91">SUM(K119:K121)</f>
        <v>0</v>
      </c>
      <c r="L118" s="33">
        <f t="shared" ref="L118" si="92">SUM(L119:L121)</f>
        <v>1.9500000000000002</v>
      </c>
      <c r="M118" s="33">
        <f t="shared" ref="M118" si="93">SUM(M119:M121)</f>
        <v>0</v>
      </c>
      <c r="N118" s="33">
        <f t="shared" ref="N118" si="94">SUM(N119:N121)</f>
        <v>0</v>
      </c>
      <c r="O118" s="33">
        <f t="shared" ref="O118" si="95">SUM(O119:O121)</f>
        <v>0</v>
      </c>
      <c r="P118" s="33">
        <f t="shared" ref="P118" si="96">SUM(P119:P121)</f>
        <v>0</v>
      </c>
      <c r="Q118" s="33">
        <f t="shared" ref="Q118" si="97">SUM(Q119:Q121)</f>
        <v>0</v>
      </c>
      <c r="R118" s="33">
        <f t="shared" ref="R118" si="98">SUM(R119:R121)</f>
        <v>0</v>
      </c>
      <c r="S118" s="33">
        <f t="shared" ref="S118" si="99">SUM(S119:S121)</f>
        <v>0</v>
      </c>
      <c r="T118" s="33">
        <f t="shared" ref="T118" si="100">SUM(T119:T121)</f>
        <v>0</v>
      </c>
      <c r="U118" s="33">
        <f t="shared" ref="U118" si="101">SUM(U119:U121)</f>
        <v>0</v>
      </c>
      <c r="V118" s="33">
        <f t="shared" ref="V118" si="102">SUM(V119:V121)</f>
        <v>0</v>
      </c>
      <c r="W118" s="33">
        <f t="shared" ref="W118" si="103">SUM(W119:W121)</f>
        <v>0</v>
      </c>
      <c r="X118" s="33">
        <f t="shared" ref="X118" si="104">SUM(X119:X121)</f>
        <v>0</v>
      </c>
      <c r="Y118" s="33">
        <f t="shared" ref="Y118" si="105">SUM(Y119:Y121)</f>
        <v>0</v>
      </c>
      <c r="Z118" s="33">
        <f t="shared" ref="Z118" si="106">SUM(Z119:Z121)</f>
        <v>0</v>
      </c>
      <c r="AA118" s="33">
        <f t="shared" ref="AA118" si="107">SUM(AA119:AA121)</f>
        <v>0</v>
      </c>
      <c r="AB118" s="33">
        <f t="shared" ref="AB118" si="108">SUM(AB119:AB121)</f>
        <v>0</v>
      </c>
      <c r="AC118" s="33">
        <f t="shared" ref="AC118" si="109">SUM(AC119:AC121)</f>
        <v>0</v>
      </c>
      <c r="AD118" s="33">
        <f t="shared" ref="AD118" si="110">SUM(AD119:AD121)</f>
        <v>0</v>
      </c>
      <c r="AE118" s="33">
        <f t="shared" ref="AE118" si="111">SUM(AE119:AE121)</f>
        <v>0</v>
      </c>
      <c r="AF118" s="33">
        <f t="shared" ref="AF118" si="112">SUM(AF119:AF121)</f>
        <v>0</v>
      </c>
      <c r="AG118" s="33">
        <f t="shared" ref="AG118" si="113">SUM(AG119:AG121)</f>
        <v>0</v>
      </c>
      <c r="AH118" s="34">
        <f t="shared" ref="AH118" si="114">SUM(D118:AG118)</f>
        <v>1.9500000000000002</v>
      </c>
    </row>
    <row r="119" spans="1:34" ht="14.4" outlineLevel="1" x14ac:dyDescent="0.3">
      <c r="A119" s="21"/>
      <c r="B119" s="22" t="s">
        <v>306</v>
      </c>
      <c r="C119" s="22" t="s">
        <v>14</v>
      </c>
      <c r="D119" s="23"/>
      <c r="E119" s="23"/>
      <c r="F119" s="23"/>
      <c r="G119" s="23"/>
      <c r="H119" s="23"/>
      <c r="I119" s="23"/>
      <c r="J119" s="23"/>
      <c r="K119" s="23"/>
      <c r="L119" s="23">
        <v>0.65</v>
      </c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34"/>
    </row>
    <row r="120" spans="1:34" ht="14.4" outlineLevel="1" x14ac:dyDescent="0.3">
      <c r="A120" s="21"/>
      <c r="B120" s="22" t="s">
        <v>294</v>
      </c>
      <c r="C120" s="22" t="s">
        <v>14</v>
      </c>
      <c r="D120" s="23"/>
      <c r="E120" s="23"/>
      <c r="F120" s="23"/>
      <c r="G120" s="23"/>
      <c r="H120" s="23"/>
      <c r="I120" s="23"/>
      <c r="J120" s="23"/>
      <c r="K120" s="23"/>
      <c r="L120" s="23">
        <v>0.65</v>
      </c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34"/>
    </row>
    <row r="121" spans="1:34" ht="14.4" outlineLevel="1" x14ac:dyDescent="0.3">
      <c r="A121" s="21"/>
      <c r="B121" s="22" t="s">
        <v>295</v>
      </c>
      <c r="C121" s="22" t="s">
        <v>14</v>
      </c>
      <c r="D121" s="23"/>
      <c r="E121" s="23"/>
      <c r="F121" s="23"/>
      <c r="G121" s="23"/>
      <c r="H121" s="23"/>
      <c r="I121" s="23"/>
      <c r="J121" s="23"/>
      <c r="K121" s="23"/>
      <c r="L121" s="23">
        <v>0.65</v>
      </c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34"/>
    </row>
    <row r="122" spans="1:34" ht="14.4" outlineLevel="1" x14ac:dyDescent="0.3">
      <c r="A122" s="21" t="s">
        <v>75</v>
      </c>
      <c r="B122" s="22" t="s">
        <v>20</v>
      </c>
      <c r="C122" s="22" t="s">
        <v>14</v>
      </c>
      <c r="D122" s="33">
        <f t="shared" ref="D122:AG122" si="115">SUM(D123:D124)</f>
        <v>0</v>
      </c>
      <c r="E122" s="33">
        <f t="shared" si="115"/>
        <v>0</v>
      </c>
      <c r="F122" s="33">
        <f t="shared" si="115"/>
        <v>0</v>
      </c>
      <c r="G122" s="33">
        <f t="shared" si="115"/>
        <v>0</v>
      </c>
      <c r="H122" s="33">
        <f t="shared" si="115"/>
        <v>0</v>
      </c>
      <c r="I122" s="33">
        <f t="shared" si="115"/>
        <v>0</v>
      </c>
      <c r="J122" s="33">
        <f t="shared" si="115"/>
        <v>0.65</v>
      </c>
      <c r="K122" s="33">
        <f t="shared" si="115"/>
        <v>0</v>
      </c>
      <c r="L122" s="33">
        <f t="shared" si="115"/>
        <v>0.27</v>
      </c>
      <c r="M122" s="33">
        <f t="shared" si="115"/>
        <v>0</v>
      </c>
      <c r="N122" s="33">
        <f t="shared" si="115"/>
        <v>0</v>
      </c>
      <c r="O122" s="33">
        <f t="shared" si="115"/>
        <v>0</v>
      </c>
      <c r="P122" s="33">
        <f t="shared" si="115"/>
        <v>0</v>
      </c>
      <c r="Q122" s="33">
        <f t="shared" si="115"/>
        <v>0</v>
      </c>
      <c r="R122" s="33">
        <f t="shared" si="115"/>
        <v>0</v>
      </c>
      <c r="S122" s="33">
        <f t="shared" si="115"/>
        <v>0</v>
      </c>
      <c r="T122" s="33">
        <f t="shared" si="115"/>
        <v>0</v>
      </c>
      <c r="U122" s="33">
        <f t="shared" si="115"/>
        <v>0</v>
      </c>
      <c r="V122" s="33">
        <f t="shared" si="115"/>
        <v>0</v>
      </c>
      <c r="W122" s="33">
        <f t="shared" si="115"/>
        <v>0</v>
      </c>
      <c r="X122" s="33">
        <f t="shared" si="115"/>
        <v>0</v>
      </c>
      <c r="Y122" s="33">
        <f t="shared" si="115"/>
        <v>0</v>
      </c>
      <c r="Z122" s="33">
        <f t="shared" si="115"/>
        <v>0</v>
      </c>
      <c r="AA122" s="33">
        <f t="shared" si="115"/>
        <v>0</v>
      </c>
      <c r="AB122" s="33">
        <f t="shared" si="115"/>
        <v>0</v>
      </c>
      <c r="AC122" s="33">
        <f t="shared" si="115"/>
        <v>0</v>
      </c>
      <c r="AD122" s="33">
        <f t="shared" si="115"/>
        <v>0</v>
      </c>
      <c r="AE122" s="33">
        <f t="shared" si="115"/>
        <v>0</v>
      </c>
      <c r="AF122" s="33">
        <f t="shared" si="115"/>
        <v>0</v>
      </c>
      <c r="AG122" s="33">
        <f t="shared" si="115"/>
        <v>0</v>
      </c>
      <c r="AH122" s="33">
        <f t="shared" ref="AH122" si="116">SUM(D122:AG122)</f>
        <v>0.92</v>
      </c>
    </row>
    <row r="123" spans="1:34" s="155" customFormat="1" ht="14.4" outlineLevel="1" x14ac:dyDescent="0.3">
      <c r="A123" s="292"/>
      <c r="B123" s="293" t="s">
        <v>296</v>
      </c>
      <c r="C123" s="293" t="s">
        <v>14</v>
      </c>
      <c r="D123" s="23"/>
      <c r="E123" s="23"/>
      <c r="F123" s="23"/>
      <c r="G123" s="23"/>
      <c r="H123" s="23"/>
      <c r="I123" s="23"/>
      <c r="J123" s="23">
        <v>0.65</v>
      </c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33"/>
    </row>
    <row r="124" spans="1:34" s="155" customFormat="1" ht="14.4" outlineLevel="1" x14ac:dyDescent="0.3">
      <c r="A124" s="292"/>
      <c r="B124" s="293" t="s">
        <v>825</v>
      </c>
      <c r="C124" s="293" t="s">
        <v>14</v>
      </c>
      <c r="D124" s="23"/>
      <c r="E124" s="23"/>
      <c r="F124" s="23"/>
      <c r="G124" s="23"/>
      <c r="H124" s="23"/>
      <c r="I124" s="23"/>
      <c r="J124" s="23"/>
      <c r="K124" s="23"/>
      <c r="L124" s="23">
        <v>0.27</v>
      </c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33"/>
    </row>
    <row r="125" spans="1:34" s="155" customFormat="1" ht="14.4" outlineLevel="1" x14ac:dyDescent="0.3">
      <c r="A125" s="292" t="s">
        <v>76</v>
      </c>
      <c r="B125" s="293" t="s">
        <v>22</v>
      </c>
      <c r="C125" s="293" t="s">
        <v>14</v>
      </c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33">
        <f t="shared" si="82"/>
        <v>0</v>
      </c>
    </row>
    <row r="126" spans="1:34" s="155" customFormat="1" ht="14.4" outlineLevel="1" x14ac:dyDescent="0.3">
      <c r="A126" s="292" t="s">
        <v>77</v>
      </c>
      <c r="B126" s="293" t="s">
        <v>24</v>
      </c>
      <c r="C126" s="293" t="s">
        <v>14</v>
      </c>
      <c r="D126" s="163">
        <f>D127</f>
        <v>0</v>
      </c>
      <c r="E126" s="163">
        <f t="shared" ref="E126:AG126" si="117">E127</f>
        <v>0</v>
      </c>
      <c r="F126" s="163">
        <f t="shared" si="117"/>
        <v>0</v>
      </c>
      <c r="G126" s="163">
        <f t="shared" si="117"/>
        <v>0</v>
      </c>
      <c r="H126" s="163">
        <f t="shared" si="117"/>
        <v>0</v>
      </c>
      <c r="I126" s="163">
        <f t="shared" si="117"/>
        <v>0</v>
      </c>
      <c r="J126" s="163">
        <f t="shared" si="117"/>
        <v>0</v>
      </c>
      <c r="K126" s="163">
        <f t="shared" si="117"/>
        <v>0</v>
      </c>
      <c r="L126" s="163">
        <f t="shared" si="117"/>
        <v>0.27</v>
      </c>
      <c r="M126" s="163">
        <f t="shared" si="117"/>
        <v>0</v>
      </c>
      <c r="N126" s="163">
        <f t="shared" si="117"/>
        <v>0</v>
      </c>
      <c r="O126" s="163">
        <f t="shared" si="117"/>
        <v>0</v>
      </c>
      <c r="P126" s="163">
        <f t="shared" si="117"/>
        <v>0</v>
      </c>
      <c r="Q126" s="163">
        <f t="shared" si="117"/>
        <v>0</v>
      </c>
      <c r="R126" s="163">
        <f t="shared" si="117"/>
        <v>0</v>
      </c>
      <c r="S126" s="163">
        <f t="shared" si="117"/>
        <v>0</v>
      </c>
      <c r="T126" s="163">
        <f t="shared" si="117"/>
        <v>0</v>
      </c>
      <c r="U126" s="163">
        <f t="shared" si="117"/>
        <v>0</v>
      </c>
      <c r="V126" s="163">
        <f t="shared" si="117"/>
        <v>0</v>
      </c>
      <c r="W126" s="163">
        <f t="shared" si="117"/>
        <v>0</v>
      </c>
      <c r="X126" s="163">
        <f t="shared" si="117"/>
        <v>0</v>
      </c>
      <c r="Y126" s="163">
        <f t="shared" si="117"/>
        <v>0</v>
      </c>
      <c r="Z126" s="163">
        <f t="shared" si="117"/>
        <v>0</v>
      </c>
      <c r="AA126" s="163">
        <f t="shared" si="117"/>
        <v>0</v>
      </c>
      <c r="AB126" s="163">
        <f t="shared" si="117"/>
        <v>0</v>
      </c>
      <c r="AC126" s="163">
        <f t="shared" si="117"/>
        <v>0</v>
      </c>
      <c r="AD126" s="163">
        <f t="shared" si="117"/>
        <v>0</v>
      </c>
      <c r="AE126" s="163">
        <f t="shared" si="117"/>
        <v>0</v>
      </c>
      <c r="AF126" s="163">
        <f t="shared" si="117"/>
        <v>0</v>
      </c>
      <c r="AG126" s="163">
        <f t="shared" si="117"/>
        <v>0</v>
      </c>
      <c r="AH126" s="33">
        <f t="shared" si="82"/>
        <v>0.27</v>
      </c>
    </row>
    <row r="127" spans="1:34" s="155" customFormat="1" ht="14.4" outlineLevel="1" x14ac:dyDescent="0.3">
      <c r="A127" s="292"/>
      <c r="B127" s="293" t="s">
        <v>826</v>
      </c>
      <c r="C127" s="293" t="s">
        <v>14</v>
      </c>
      <c r="D127" s="23"/>
      <c r="E127" s="23"/>
      <c r="F127" s="23"/>
      <c r="G127" s="23"/>
      <c r="H127" s="23"/>
      <c r="I127" s="23"/>
      <c r="J127" s="23"/>
      <c r="K127" s="23"/>
      <c r="L127" s="23">
        <v>0.27</v>
      </c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33"/>
    </row>
    <row r="128" spans="1:34" s="155" customFormat="1" ht="14.4" outlineLevel="1" x14ac:dyDescent="0.3">
      <c r="A128" s="292" t="s">
        <v>78</v>
      </c>
      <c r="B128" s="293" t="s">
        <v>26</v>
      </c>
      <c r="C128" s="293" t="s">
        <v>14</v>
      </c>
      <c r="D128" s="33">
        <f t="shared" ref="D128:AG128" si="118">SUM(D129:D129)</f>
        <v>0</v>
      </c>
      <c r="E128" s="33">
        <f t="shared" si="118"/>
        <v>0</v>
      </c>
      <c r="F128" s="33">
        <f t="shared" si="118"/>
        <v>0</v>
      </c>
      <c r="G128" s="33">
        <f t="shared" si="118"/>
        <v>0</v>
      </c>
      <c r="H128" s="33">
        <f t="shared" si="118"/>
        <v>0</v>
      </c>
      <c r="I128" s="33">
        <f t="shared" si="118"/>
        <v>0</v>
      </c>
      <c r="J128" s="33">
        <f t="shared" si="118"/>
        <v>0.65</v>
      </c>
      <c r="K128" s="33">
        <f t="shared" si="118"/>
        <v>0</v>
      </c>
      <c r="L128" s="33">
        <f t="shared" si="118"/>
        <v>0</v>
      </c>
      <c r="M128" s="33">
        <f t="shared" si="118"/>
        <v>0</v>
      </c>
      <c r="N128" s="33">
        <f t="shared" si="118"/>
        <v>0</v>
      </c>
      <c r="O128" s="33">
        <f t="shared" si="118"/>
        <v>0</v>
      </c>
      <c r="P128" s="33">
        <f t="shared" si="118"/>
        <v>0</v>
      </c>
      <c r="Q128" s="33">
        <f t="shared" si="118"/>
        <v>0</v>
      </c>
      <c r="R128" s="33">
        <f t="shared" si="118"/>
        <v>0</v>
      </c>
      <c r="S128" s="33">
        <f t="shared" si="118"/>
        <v>0</v>
      </c>
      <c r="T128" s="33">
        <f t="shared" si="118"/>
        <v>0</v>
      </c>
      <c r="U128" s="33">
        <f t="shared" si="118"/>
        <v>0</v>
      </c>
      <c r="V128" s="33">
        <f t="shared" si="118"/>
        <v>0</v>
      </c>
      <c r="W128" s="33">
        <f t="shared" si="118"/>
        <v>0</v>
      </c>
      <c r="X128" s="33">
        <f t="shared" si="118"/>
        <v>0</v>
      </c>
      <c r="Y128" s="33">
        <f t="shared" si="118"/>
        <v>0</v>
      </c>
      <c r="Z128" s="33">
        <f t="shared" si="118"/>
        <v>0</v>
      </c>
      <c r="AA128" s="33">
        <f t="shared" si="118"/>
        <v>0</v>
      </c>
      <c r="AB128" s="33">
        <f t="shared" si="118"/>
        <v>0</v>
      </c>
      <c r="AC128" s="33">
        <f t="shared" si="118"/>
        <v>0</v>
      </c>
      <c r="AD128" s="33">
        <f t="shared" si="118"/>
        <v>0</v>
      </c>
      <c r="AE128" s="33">
        <f t="shared" si="118"/>
        <v>0</v>
      </c>
      <c r="AF128" s="33">
        <f t="shared" si="118"/>
        <v>0</v>
      </c>
      <c r="AG128" s="33">
        <f t="shared" si="118"/>
        <v>0</v>
      </c>
      <c r="AH128" s="33">
        <f t="shared" si="82"/>
        <v>0.65</v>
      </c>
    </row>
    <row r="129" spans="1:34" ht="14.4" outlineLevel="1" x14ac:dyDescent="0.3">
      <c r="A129" s="21"/>
      <c r="B129" s="22" t="s">
        <v>297</v>
      </c>
      <c r="C129" s="22" t="s">
        <v>14</v>
      </c>
      <c r="D129" s="23"/>
      <c r="E129" s="23"/>
      <c r="F129" s="23"/>
      <c r="G129" s="23"/>
      <c r="H129" s="23"/>
      <c r="I129" s="23"/>
      <c r="J129" s="23">
        <v>0.65</v>
      </c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33"/>
    </row>
    <row r="130" spans="1:34" ht="14.4" outlineLevel="1" x14ac:dyDescent="0.3">
      <c r="A130" s="21" t="s">
        <v>79</v>
      </c>
      <c r="B130" s="22" t="s">
        <v>28</v>
      </c>
      <c r="C130" s="22" t="s">
        <v>14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34">
        <f t="shared" si="82"/>
        <v>0</v>
      </c>
    </row>
    <row r="131" spans="1:34" ht="14.4" outlineLevel="1" x14ac:dyDescent="0.3">
      <c r="A131" s="21" t="s">
        <v>80</v>
      </c>
      <c r="B131" s="22" t="s">
        <v>30</v>
      </c>
      <c r="C131" s="22" t="s">
        <v>14</v>
      </c>
      <c r="D131" s="163">
        <f>SUM(D132:D135)</f>
        <v>0</v>
      </c>
      <c r="E131" s="163">
        <f t="shared" ref="E131:AG131" si="119">SUM(E132:E135)</f>
        <v>0</v>
      </c>
      <c r="F131" s="163">
        <f t="shared" si="119"/>
        <v>0</v>
      </c>
      <c r="G131" s="163">
        <f t="shared" si="119"/>
        <v>0</v>
      </c>
      <c r="H131" s="163">
        <f t="shared" si="119"/>
        <v>0</v>
      </c>
      <c r="I131" s="163">
        <f t="shared" si="119"/>
        <v>0</v>
      </c>
      <c r="J131" s="163">
        <f t="shared" si="119"/>
        <v>0</v>
      </c>
      <c r="K131" s="163">
        <f t="shared" si="119"/>
        <v>1.3</v>
      </c>
      <c r="L131" s="163">
        <f t="shared" si="119"/>
        <v>1.3</v>
      </c>
      <c r="M131" s="163">
        <f t="shared" si="119"/>
        <v>0</v>
      </c>
      <c r="N131" s="163">
        <f t="shared" si="119"/>
        <v>0</v>
      </c>
      <c r="O131" s="163">
        <f t="shared" si="119"/>
        <v>0</v>
      </c>
      <c r="P131" s="163">
        <f t="shared" si="119"/>
        <v>0</v>
      </c>
      <c r="Q131" s="163">
        <f t="shared" si="119"/>
        <v>0</v>
      </c>
      <c r="R131" s="163">
        <f t="shared" si="119"/>
        <v>0</v>
      </c>
      <c r="S131" s="163">
        <f t="shared" si="119"/>
        <v>0</v>
      </c>
      <c r="T131" s="163">
        <f t="shared" si="119"/>
        <v>0</v>
      </c>
      <c r="U131" s="163">
        <f t="shared" si="119"/>
        <v>0</v>
      </c>
      <c r="V131" s="163">
        <f t="shared" si="119"/>
        <v>0</v>
      </c>
      <c r="W131" s="163">
        <f t="shared" si="119"/>
        <v>0</v>
      </c>
      <c r="X131" s="163">
        <f t="shared" si="119"/>
        <v>0</v>
      </c>
      <c r="Y131" s="163">
        <f t="shared" si="119"/>
        <v>0</v>
      </c>
      <c r="Z131" s="163">
        <f t="shared" si="119"/>
        <v>0</v>
      </c>
      <c r="AA131" s="163">
        <f t="shared" si="119"/>
        <v>0</v>
      </c>
      <c r="AB131" s="163">
        <f t="shared" si="119"/>
        <v>0</v>
      </c>
      <c r="AC131" s="163">
        <f t="shared" si="119"/>
        <v>0</v>
      </c>
      <c r="AD131" s="163">
        <f t="shared" si="119"/>
        <v>0</v>
      </c>
      <c r="AE131" s="163">
        <f t="shared" si="119"/>
        <v>0</v>
      </c>
      <c r="AF131" s="163">
        <f t="shared" si="119"/>
        <v>0</v>
      </c>
      <c r="AG131" s="163">
        <f t="shared" si="119"/>
        <v>0</v>
      </c>
      <c r="AH131" s="34">
        <f t="shared" si="82"/>
        <v>2.6</v>
      </c>
    </row>
    <row r="132" spans="1:34" ht="14.4" outlineLevel="1" x14ac:dyDescent="0.3">
      <c r="A132" s="21"/>
      <c r="B132" s="22" t="s">
        <v>298</v>
      </c>
      <c r="C132" s="22" t="s">
        <v>14</v>
      </c>
      <c r="D132" s="23"/>
      <c r="E132" s="23"/>
      <c r="F132" s="23"/>
      <c r="G132" s="23"/>
      <c r="H132" s="23"/>
      <c r="I132" s="23"/>
      <c r="J132" s="23"/>
      <c r="K132" s="23">
        <v>0.65</v>
      </c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33"/>
    </row>
    <row r="133" spans="1:34" ht="14.4" outlineLevel="1" x14ac:dyDescent="0.3">
      <c r="A133" s="21"/>
      <c r="B133" s="22" t="s">
        <v>299</v>
      </c>
      <c r="C133" s="22" t="s">
        <v>14</v>
      </c>
      <c r="D133" s="23"/>
      <c r="E133" s="23"/>
      <c r="F133" s="23"/>
      <c r="G133" s="23"/>
      <c r="H133" s="23"/>
      <c r="I133" s="23"/>
      <c r="J133" s="23"/>
      <c r="K133" s="23">
        <v>0.65</v>
      </c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33"/>
    </row>
    <row r="134" spans="1:34" ht="14.4" outlineLevel="1" x14ac:dyDescent="0.3">
      <c r="A134" s="21"/>
      <c r="B134" s="22" t="s">
        <v>300</v>
      </c>
      <c r="C134" s="22" t="s">
        <v>14</v>
      </c>
      <c r="D134" s="23"/>
      <c r="E134" s="23"/>
      <c r="F134" s="23"/>
      <c r="G134" s="23"/>
      <c r="H134" s="23"/>
      <c r="I134" s="23"/>
      <c r="J134" s="23"/>
      <c r="K134" s="23"/>
      <c r="L134" s="23">
        <v>0.65</v>
      </c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33"/>
    </row>
    <row r="135" spans="1:34" ht="14.4" outlineLevel="1" x14ac:dyDescent="0.3">
      <c r="A135" s="21"/>
      <c r="B135" s="22" t="s">
        <v>301</v>
      </c>
      <c r="C135" s="22" t="s">
        <v>14</v>
      </c>
      <c r="D135" s="23"/>
      <c r="E135" s="23"/>
      <c r="F135" s="23"/>
      <c r="G135" s="23"/>
      <c r="H135" s="23"/>
      <c r="I135" s="23"/>
      <c r="J135" s="23"/>
      <c r="K135" s="23"/>
      <c r="L135" s="23">
        <v>0.65</v>
      </c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33"/>
    </row>
    <row r="136" spans="1:34" ht="14.4" outlineLevel="1" x14ac:dyDescent="0.3">
      <c r="A136" s="21" t="s">
        <v>81</v>
      </c>
      <c r="B136" s="22" t="s">
        <v>32</v>
      </c>
      <c r="C136" s="22" t="s">
        <v>14</v>
      </c>
      <c r="D136" s="33">
        <f>SUM(D137:D139)</f>
        <v>0</v>
      </c>
      <c r="E136" s="33">
        <f t="shared" ref="E136" si="120">SUM(E137:E139)</f>
        <v>0</v>
      </c>
      <c r="F136" s="33">
        <f t="shared" ref="F136" si="121">SUM(F137:F139)</f>
        <v>0</v>
      </c>
      <c r="G136" s="33">
        <f t="shared" ref="G136" si="122">SUM(G137:G139)</f>
        <v>0</v>
      </c>
      <c r="H136" s="33">
        <f t="shared" ref="H136" si="123">SUM(H137:H139)</f>
        <v>0</v>
      </c>
      <c r="I136" s="33">
        <f t="shared" ref="I136" si="124">SUM(I137:I139)</f>
        <v>0</v>
      </c>
      <c r="J136" s="33">
        <f t="shared" ref="J136" si="125">SUM(J137:J139)</f>
        <v>0</v>
      </c>
      <c r="K136" s="33">
        <f t="shared" ref="K136" si="126">SUM(K137:K139)</f>
        <v>0</v>
      </c>
      <c r="L136" s="33">
        <f t="shared" ref="L136" si="127">SUM(L137:L139)</f>
        <v>0</v>
      </c>
      <c r="M136" s="33">
        <f t="shared" ref="M136" si="128">SUM(M137:M139)</f>
        <v>1.9500000000000002</v>
      </c>
      <c r="N136" s="33">
        <f t="shared" ref="N136" si="129">SUM(N137:N139)</f>
        <v>0</v>
      </c>
      <c r="O136" s="33">
        <f t="shared" ref="O136" si="130">SUM(O137:O139)</f>
        <v>0</v>
      </c>
      <c r="P136" s="33">
        <f t="shared" ref="P136" si="131">SUM(P137:P139)</f>
        <v>0</v>
      </c>
      <c r="Q136" s="33">
        <f t="shared" ref="Q136" si="132">SUM(Q137:Q139)</f>
        <v>0</v>
      </c>
      <c r="R136" s="33">
        <f t="shared" ref="R136" si="133">SUM(R137:R139)</f>
        <v>0</v>
      </c>
      <c r="S136" s="33">
        <f t="shared" ref="S136" si="134">SUM(S137:S139)</f>
        <v>0</v>
      </c>
      <c r="T136" s="33">
        <f t="shared" ref="T136" si="135">SUM(T137:T139)</f>
        <v>0</v>
      </c>
      <c r="U136" s="33">
        <f t="shared" ref="U136" si="136">SUM(U137:U139)</f>
        <v>0</v>
      </c>
      <c r="V136" s="33">
        <f t="shared" ref="V136" si="137">SUM(V137:V139)</f>
        <v>0</v>
      </c>
      <c r="W136" s="33">
        <f t="shared" ref="W136" si="138">SUM(W137:W139)</f>
        <v>0</v>
      </c>
      <c r="X136" s="33">
        <f t="shared" ref="X136" si="139">SUM(X137:X139)</f>
        <v>0</v>
      </c>
      <c r="Y136" s="33">
        <f t="shared" ref="Y136" si="140">SUM(Y137:Y139)</f>
        <v>0</v>
      </c>
      <c r="Z136" s="33">
        <f t="shared" ref="Z136" si="141">SUM(Z137:Z139)</f>
        <v>0</v>
      </c>
      <c r="AA136" s="33">
        <f t="shared" ref="AA136" si="142">SUM(AA137:AA139)</f>
        <v>0</v>
      </c>
      <c r="AB136" s="33">
        <f t="shared" ref="AB136" si="143">SUM(AB137:AB139)</f>
        <v>0</v>
      </c>
      <c r="AC136" s="33">
        <f t="shared" ref="AC136" si="144">SUM(AC137:AC139)</f>
        <v>0</v>
      </c>
      <c r="AD136" s="33">
        <f t="shared" ref="AD136" si="145">SUM(AD137:AD139)</f>
        <v>0</v>
      </c>
      <c r="AE136" s="33">
        <f t="shared" ref="AE136" si="146">SUM(AE137:AE139)</f>
        <v>0</v>
      </c>
      <c r="AF136" s="33">
        <f t="shared" ref="AF136" si="147">SUM(AF137:AF139)</f>
        <v>0</v>
      </c>
      <c r="AG136" s="33">
        <f t="shared" ref="AG136" si="148">SUM(AG137:AG139)</f>
        <v>0</v>
      </c>
      <c r="AH136" s="33">
        <f t="shared" ref="AH136" si="149">SUM(D136:AG136)</f>
        <v>1.9500000000000002</v>
      </c>
    </row>
    <row r="137" spans="1:34" ht="14.4" outlineLevel="1" x14ac:dyDescent="0.3">
      <c r="A137" s="21"/>
      <c r="B137" s="22" t="s">
        <v>302</v>
      </c>
      <c r="C137" s="22" t="s">
        <v>14</v>
      </c>
      <c r="D137" s="23"/>
      <c r="E137" s="23"/>
      <c r="F137" s="23"/>
      <c r="G137" s="23"/>
      <c r="H137" s="23"/>
      <c r="I137" s="23"/>
      <c r="J137" s="23"/>
      <c r="K137" s="23"/>
      <c r="L137" s="23"/>
      <c r="M137" s="23">
        <v>0.65</v>
      </c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33"/>
    </row>
    <row r="138" spans="1:34" ht="14.4" outlineLevel="1" x14ac:dyDescent="0.3">
      <c r="A138" s="21"/>
      <c r="B138" s="22" t="s">
        <v>303</v>
      </c>
      <c r="C138" s="22" t="s">
        <v>14</v>
      </c>
      <c r="D138" s="23"/>
      <c r="E138" s="23"/>
      <c r="F138" s="23"/>
      <c r="G138" s="23"/>
      <c r="H138" s="23"/>
      <c r="I138" s="23"/>
      <c r="J138" s="23"/>
      <c r="K138" s="23"/>
      <c r="L138" s="23"/>
      <c r="M138" s="23">
        <v>0.65</v>
      </c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33"/>
    </row>
    <row r="139" spans="1:34" ht="14.4" outlineLevel="1" x14ac:dyDescent="0.3">
      <c r="A139" s="21"/>
      <c r="B139" s="22" t="s">
        <v>307</v>
      </c>
      <c r="C139" s="22" t="s">
        <v>14</v>
      </c>
      <c r="D139" s="23"/>
      <c r="E139" s="23"/>
      <c r="F139" s="23"/>
      <c r="G139" s="23"/>
      <c r="H139" s="23"/>
      <c r="I139" s="23"/>
      <c r="J139" s="23"/>
      <c r="K139" s="23"/>
      <c r="L139" s="23"/>
      <c r="M139" s="23">
        <v>0.65</v>
      </c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33"/>
    </row>
    <row r="140" spans="1:34" ht="14.4" outlineLevel="1" x14ac:dyDescent="0.3">
      <c r="A140" s="21" t="s">
        <v>82</v>
      </c>
      <c r="B140" s="22" t="s">
        <v>34</v>
      </c>
      <c r="C140" s="22" t="s">
        <v>14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4">
        <f t="shared" si="82"/>
        <v>0</v>
      </c>
    </row>
    <row r="141" spans="1:34" ht="14.4" outlineLevel="1" x14ac:dyDescent="0.3">
      <c r="A141" s="21" t="s">
        <v>83</v>
      </c>
      <c r="B141" s="22" t="s">
        <v>36</v>
      </c>
      <c r="C141" s="22" t="s">
        <v>14</v>
      </c>
      <c r="D141" s="33">
        <f>SUM(D142:D143)</f>
        <v>0</v>
      </c>
      <c r="E141" s="33">
        <f t="shared" ref="E141" si="150">SUM(E142:E143)</f>
        <v>0</v>
      </c>
      <c r="F141" s="33">
        <f t="shared" ref="F141" si="151">SUM(F142:F143)</f>
        <v>0</v>
      </c>
      <c r="G141" s="33">
        <f t="shared" ref="G141" si="152">SUM(G142:G143)</f>
        <v>0</v>
      </c>
      <c r="H141" s="33">
        <f t="shared" ref="H141" si="153">SUM(H142:H143)</f>
        <v>0</v>
      </c>
      <c r="I141" s="33">
        <f t="shared" ref="I141" si="154">SUM(I142:I143)</f>
        <v>0</v>
      </c>
      <c r="J141" s="33">
        <f t="shared" ref="J141" si="155">SUM(J142:J143)</f>
        <v>0</v>
      </c>
      <c r="K141" s="33">
        <f t="shared" ref="K141" si="156">SUM(K142:K143)</f>
        <v>0.65</v>
      </c>
      <c r="L141" s="33">
        <f t="shared" ref="L141" si="157">SUM(L142:L143)</f>
        <v>0.65</v>
      </c>
      <c r="M141" s="33">
        <f t="shared" ref="M141" si="158">SUM(M142:M143)</f>
        <v>0</v>
      </c>
      <c r="N141" s="33">
        <f t="shared" ref="N141" si="159">SUM(N142:N143)</f>
        <v>0</v>
      </c>
      <c r="O141" s="33">
        <f t="shared" ref="O141" si="160">SUM(O142:O143)</f>
        <v>0</v>
      </c>
      <c r="P141" s="33">
        <f t="shared" ref="P141" si="161">SUM(P142:P143)</f>
        <v>0</v>
      </c>
      <c r="Q141" s="33">
        <f t="shared" ref="Q141" si="162">SUM(Q142:Q143)</f>
        <v>0</v>
      </c>
      <c r="R141" s="33">
        <f t="shared" ref="R141" si="163">SUM(R142:R143)</f>
        <v>0</v>
      </c>
      <c r="S141" s="33">
        <f t="shared" ref="S141" si="164">SUM(S142:S143)</f>
        <v>0</v>
      </c>
      <c r="T141" s="33">
        <f t="shared" ref="T141" si="165">SUM(T142:T143)</f>
        <v>0</v>
      </c>
      <c r="U141" s="33">
        <f t="shared" ref="U141" si="166">SUM(U142:U143)</f>
        <v>0</v>
      </c>
      <c r="V141" s="33">
        <f t="shared" ref="V141" si="167">SUM(V142:V143)</f>
        <v>0</v>
      </c>
      <c r="W141" s="33">
        <f t="shared" ref="W141" si="168">SUM(W142:W143)</f>
        <v>0</v>
      </c>
      <c r="X141" s="33">
        <f t="shared" ref="X141" si="169">SUM(X142:X143)</f>
        <v>0</v>
      </c>
      <c r="Y141" s="33">
        <f t="shared" ref="Y141" si="170">SUM(Y142:Y143)</f>
        <v>0</v>
      </c>
      <c r="Z141" s="33">
        <f t="shared" ref="Z141" si="171">SUM(Z142:Z143)</f>
        <v>0</v>
      </c>
      <c r="AA141" s="33">
        <f t="shared" ref="AA141" si="172">SUM(AA142:AA143)</f>
        <v>0</v>
      </c>
      <c r="AB141" s="33">
        <f t="shared" ref="AB141" si="173">SUM(AB142:AB143)</f>
        <v>0</v>
      </c>
      <c r="AC141" s="33">
        <f t="shared" ref="AC141" si="174">SUM(AC142:AC143)</f>
        <v>0</v>
      </c>
      <c r="AD141" s="33">
        <f t="shared" ref="AD141" si="175">SUM(AD142:AD143)</f>
        <v>0</v>
      </c>
      <c r="AE141" s="33">
        <f t="shared" ref="AE141" si="176">SUM(AE142:AE143)</f>
        <v>0</v>
      </c>
      <c r="AF141" s="33">
        <f t="shared" ref="AF141" si="177">SUM(AF142:AF143)</f>
        <v>0</v>
      </c>
      <c r="AG141" s="33">
        <f t="shared" ref="AG141" si="178">SUM(AG142:AG143)</f>
        <v>0</v>
      </c>
      <c r="AH141" s="33">
        <f t="shared" ref="AH141" si="179">SUM(D141:AG141)</f>
        <v>1.3</v>
      </c>
    </row>
    <row r="142" spans="1:34" ht="14.4" outlineLevel="1" x14ac:dyDescent="0.3">
      <c r="A142" s="21"/>
      <c r="B142" s="22" t="s">
        <v>308</v>
      </c>
      <c r="C142" s="22" t="s">
        <v>14</v>
      </c>
      <c r="D142" s="23"/>
      <c r="E142" s="23"/>
      <c r="F142" s="23"/>
      <c r="G142" s="23"/>
      <c r="H142" s="23"/>
      <c r="I142" s="23"/>
      <c r="J142" s="23"/>
      <c r="K142" s="23">
        <v>0.65</v>
      </c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33"/>
    </row>
    <row r="143" spans="1:34" ht="14.4" outlineLevel="1" x14ac:dyDescent="0.3">
      <c r="A143" s="21"/>
      <c r="B143" s="22" t="s">
        <v>869</v>
      </c>
      <c r="C143" s="22" t="s">
        <v>14</v>
      </c>
      <c r="D143" s="23"/>
      <c r="E143" s="23"/>
      <c r="F143" s="23"/>
      <c r="G143" s="23"/>
      <c r="H143" s="23"/>
      <c r="I143" s="23"/>
      <c r="J143" s="23"/>
      <c r="K143" s="23"/>
      <c r="L143" s="23">
        <v>0.65</v>
      </c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33"/>
    </row>
    <row r="144" spans="1:34" ht="14.4" x14ac:dyDescent="0.3">
      <c r="A144" s="15">
        <v>5</v>
      </c>
      <c r="B144" s="16" t="s">
        <v>833</v>
      </c>
      <c r="C144" s="16" t="s">
        <v>14</v>
      </c>
      <c r="D144" s="17">
        <f>D145+D146+D149+D150+D152+D153+D154+D155+D156+D157+D159+D160</f>
        <v>0</v>
      </c>
      <c r="E144" s="17">
        <f t="shared" ref="E144:AH144" si="180">E145+E146+E149+E150+E152+E153+E154+E155+E156+E157+E159+E160</f>
        <v>0</v>
      </c>
      <c r="F144" s="17">
        <f t="shared" si="180"/>
        <v>0</v>
      </c>
      <c r="G144" s="17">
        <f t="shared" si="180"/>
        <v>0</v>
      </c>
      <c r="H144" s="17">
        <f t="shared" si="180"/>
        <v>0</v>
      </c>
      <c r="I144" s="17">
        <f t="shared" si="180"/>
        <v>0</v>
      </c>
      <c r="J144" s="17">
        <f t="shared" si="180"/>
        <v>0.6</v>
      </c>
      <c r="K144" s="17">
        <f t="shared" si="180"/>
        <v>0.3</v>
      </c>
      <c r="L144" s="17">
        <f t="shared" si="180"/>
        <v>0</v>
      </c>
      <c r="M144" s="17">
        <f t="shared" si="180"/>
        <v>0.3</v>
      </c>
      <c r="N144" s="17">
        <f t="shared" si="180"/>
        <v>0</v>
      </c>
      <c r="O144" s="17">
        <f t="shared" si="180"/>
        <v>0</v>
      </c>
      <c r="P144" s="17">
        <f t="shared" si="180"/>
        <v>0</v>
      </c>
      <c r="Q144" s="17">
        <f t="shared" si="180"/>
        <v>0</v>
      </c>
      <c r="R144" s="17">
        <f t="shared" si="180"/>
        <v>0</v>
      </c>
      <c r="S144" s="17">
        <f t="shared" si="180"/>
        <v>0</v>
      </c>
      <c r="T144" s="17">
        <f t="shared" si="180"/>
        <v>0</v>
      </c>
      <c r="U144" s="17">
        <f t="shared" si="180"/>
        <v>0</v>
      </c>
      <c r="V144" s="17">
        <f t="shared" si="180"/>
        <v>0</v>
      </c>
      <c r="W144" s="17">
        <f t="shared" si="180"/>
        <v>0</v>
      </c>
      <c r="X144" s="17">
        <f t="shared" si="180"/>
        <v>0</v>
      </c>
      <c r="Y144" s="17">
        <f t="shared" si="180"/>
        <v>0</v>
      </c>
      <c r="Z144" s="17">
        <f t="shared" si="180"/>
        <v>0</v>
      </c>
      <c r="AA144" s="17">
        <f t="shared" si="180"/>
        <v>0</v>
      </c>
      <c r="AB144" s="17">
        <f t="shared" si="180"/>
        <v>0</v>
      </c>
      <c r="AC144" s="17">
        <f t="shared" si="180"/>
        <v>0</v>
      </c>
      <c r="AD144" s="17">
        <f t="shared" si="180"/>
        <v>0</v>
      </c>
      <c r="AE144" s="17">
        <f t="shared" si="180"/>
        <v>0</v>
      </c>
      <c r="AF144" s="17">
        <f t="shared" si="180"/>
        <v>0</v>
      </c>
      <c r="AG144" s="17">
        <f t="shared" si="180"/>
        <v>0</v>
      </c>
      <c r="AH144" s="17">
        <f t="shared" si="180"/>
        <v>1.2</v>
      </c>
    </row>
    <row r="145" spans="1:51" ht="14.4" outlineLevel="1" x14ac:dyDescent="0.3">
      <c r="A145" s="21" t="s">
        <v>84</v>
      </c>
      <c r="B145" s="22" t="s">
        <v>13</v>
      </c>
      <c r="C145" s="22" t="s">
        <v>14</v>
      </c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>
        <f>SUM(D145:AG145)</f>
        <v>0</v>
      </c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</row>
    <row r="146" spans="1:51" ht="14.4" outlineLevel="1" x14ac:dyDescent="0.3">
      <c r="A146" s="21" t="s">
        <v>85</v>
      </c>
      <c r="B146" s="22" t="s">
        <v>16</v>
      </c>
      <c r="C146" s="22" t="s">
        <v>14</v>
      </c>
      <c r="D146" s="34">
        <f>SUM(D147:D148)</f>
        <v>0</v>
      </c>
      <c r="E146" s="34">
        <f t="shared" ref="E146:AG146" si="181">SUM(E147:E148)</f>
        <v>0</v>
      </c>
      <c r="F146" s="34">
        <f t="shared" si="181"/>
        <v>0</v>
      </c>
      <c r="G146" s="34">
        <f t="shared" si="181"/>
        <v>0</v>
      </c>
      <c r="H146" s="34">
        <f t="shared" si="181"/>
        <v>0</v>
      </c>
      <c r="I146" s="34">
        <f t="shared" si="181"/>
        <v>0</v>
      </c>
      <c r="J146" s="34">
        <f t="shared" si="181"/>
        <v>0.6</v>
      </c>
      <c r="K146" s="34">
        <f t="shared" si="181"/>
        <v>0</v>
      </c>
      <c r="L146" s="34">
        <f t="shared" si="181"/>
        <v>0</v>
      </c>
      <c r="M146" s="34">
        <f t="shared" si="181"/>
        <v>0</v>
      </c>
      <c r="N146" s="34">
        <f t="shared" si="181"/>
        <v>0</v>
      </c>
      <c r="O146" s="34">
        <f t="shared" si="181"/>
        <v>0</v>
      </c>
      <c r="P146" s="34">
        <f t="shared" si="181"/>
        <v>0</v>
      </c>
      <c r="Q146" s="34">
        <f t="shared" si="181"/>
        <v>0</v>
      </c>
      <c r="R146" s="34">
        <f t="shared" si="181"/>
        <v>0</v>
      </c>
      <c r="S146" s="34">
        <f t="shared" si="181"/>
        <v>0</v>
      </c>
      <c r="T146" s="34">
        <f t="shared" si="181"/>
        <v>0</v>
      </c>
      <c r="U146" s="34">
        <f t="shared" si="181"/>
        <v>0</v>
      </c>
      <c r="V146" s="34">
        <f t="shared" si="181"/>
        <v>0</v>
      </c>
      <c r="W146" s="34">
        <f t="shared" si="181"/>
        <v>0</v>
      </c>
      <c r="X146" s="34">
        <f t="shared" si="181"/>
        <v>0</v>
      </c>
      <c r="Y146" s="34">
        <f t="shared" si="181"/>
        <v>0</v>
      </c>
      <c r="Z146" s="34">
        <f t="shared" si="181"/>
        <v>0</v>
      </c>
      <c r="AA146" s="34">
        <f t="shared" si="181"/>
        <v>0</v>
      </c>
      <c r="AB146" s="34">
        <f t="shared" si="181"/>
        <v>0</v>
      </c>
      <c r="AC146" s="34">
        <f t="shared" si="181"/>
        <v>0</v>
      </c>
      <c r="AD146" s="34">
        <f t="shared" si="181"/>
        <v>0</v>
      </c>
      <c r="AE146" s="34">
        <f t="shared" si="181"/>
        <v>0</v>
      </c>
      <c r="AF146" s="34">
        <f t="shared" si="181"/>
        <v>0</v>
      </c>
      <c r="AG146" s="34">
        <f t="shared" si="181"/>
        <v>0</v>
      </c>
      <c r="AH146" s="34">
        <f>SUM(D146:AG146)</f>
        <v>0.6</v>
      </c>
    </row>
    <row r="147" spans="1:51" ht="14.4" outlineLevel="1" x14ac:dyDescent="0.3">
      <c r="A147" s="21"/>
      <c r="B147" s="22" t="s">
        <v>287</v>
      </c>
      <c r="C147" s="22" t="s">
        <v>14</v>
      </c>
      <c r="D147" s="121"/>
      <c r="E147" s="121"/>
      <c r="F147" s="121"/>
      <c r="G147" s="121"/>
      <c r="H147" s="121"/>
      <c r="I147" s="121"/>
      <c r="J147" s="121">
        <v>0.3</v>
      </c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34"/>
    </row>
    <row r="148" spans="1:51" ht="14.4" outlineLevel="1" x14ac:dyDescent="0.3">
      <c r="A148" s="21"/>
      <c r="B148" s="22" t="s">
        <v>288</v>
      </c>
      <c r="C148" s="22" t="s">
        <v>14</v>
      </c>
      <c r="D148" s="121"/>
      <c r="E148" s="121"/>
      <c r="F148" s="121"/>
      <c r="G148" s="121"/>
      <c r="H148" s="121"/>
      <c r="I148" s="121"/>
      <c r="J148" s="121">
        <v>0.3</v>
      </c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34"/>
    </row>
    <row r="149" spans="1:51" ht="14.4" outlineLevel="1" x14ac:dyDescent="0.3">
      <c r="A149" s="21" t="s">
        <v>86</v>
      </c>
      <c r="B149" s="22" t="s">
        <v>18</v>
      </c>
      <c r="C149" s="22" t="s">
        <v>14</v>
      </c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  <c r="AH149" s="34">
        <f>SUM(D149:AG149)</f>
        <v>0</v>
      </c>
    </row>
    <row r="150" spans="1:51" ht="14.4" outlineLevel="1" x14ac:dyDescent="0.3">
      <c r="A150" s="21" t="s">
        <v>87</v>
      </c>
      <c r="B150" s="22" t="s">
        <v>20</v>
      </c>
      <c r="C150" s="22" t="s">
        <v>14</v>
      </c>
      <c r="D150" s="34">
        <f t="shared" ref="D150:AG150" si="182">SUM(D151:D151)</f>
        <v>0</v>
      </c>
      <c r="E150" s="34">
        <f t="shared" si="182"/>
        <v>0</v>
      </c>
      <c r="F150" s="34">
        <f t="shared" si="182"/>
        <v>0</v>
      </c>
      <c r="G150" s="34">
        <f t="shared" si="182"/>
        <v>0</v>
      </c>
      <c r="H150" s="34">
        <f t="shared" si="182"/>
        <v>0</v>
      </c>
      <c r="I150" s="34">
        <f t="shared" si="182"/>
        <v>0</v>
      </c>
      <c r="J150" s="34">
        <f t="shared" si="182"/>
        <v>0</v>
      </c>
      <c r="K150" s="34">
        <f t="shared" si="182"/>
        <v>0.3</v>
      </c>
      <c r="L150" s="34">
        <f t="shared" si="182"/>
        <v>0</v>
      </c>
      <c r="M150" s="34">
        <f t="shared" si="182"/>
        <v>0</v>
      </c>
      <c r="N150" s="34">
        <f t="shared" si="182"/>
        <v>0</v>
      </c>
      <c r="O150" s="34">
        <f t="shared" si="182"/>
        <v>0</v>
      </c>
      <c r="P150" s="34">
        <f t="shared" si="182"/>
        <v>0</v>
      </c>
      <c r="Q150" s="34">
        <f t="shared" si="182"/>
        <v>0</v>
      </c>
      <c r="R150" s="34">
        <f t="shared" si="182"/>
        <v>0</v>
      </c>
      <c r="S150" s="34">
        <f t="shared" si="182"/>
        <v>0</v>
      </c>
      <c r="T150" s="34">
        <f t="shared" si="182"/>
        <v>0</v>
      </c>
      <c r="U150" s="34">
        <f t="shared" si="182"/>
        <v>0</v>
      </c>
      <c r="V150" s="34">
        <f t="shared" si="182"/>
        <v>0</v>
      </c>
      <c r="W150" s="34">
        <f t="shared" si="182"/>
        <v>0</v>
      </c>
      <c r="X150" s="34">
        <f t="shared" si="182"/>
        <v>0</v>
      </c>
      <c r="Y150" s="34">
        <f t="shared" si="182"/>
        <v>0</v>
      </c>
      <c r="Z150" s="34">
        <f t="shared" si="182"/>
        <v>0</v>
      </c>
      <c r="AA150" s="34">
        <f t="shared" si="182"/>
        <v>0</v>
      </c>
      <c r="AB150" s="34">
        <f t="shared" si="182"/>
        <v>0</v>
      </c>
      <c r="AC150" s="34">
        <f t="shared" si="182"/>
        <v>0</v>
      </c>
      <c r="AD150" s="34">
        <f t="shared" si="182"/>
        <v>0</v>
      </c>
      <c r="AE150" s="34">
        <f t="shared" si="182"/>
        <v>0</v>
      </c>
      <c r="AF150" s="34">
        <f t="shared" si="182"/>
        <v>0</v>
      </c>
      <c r="AG150" s="34">
        <f t="shared" si="182"/>
        <v>0</v>
      </c>
      <c r="AH150" s="34">
        <f>SUM(D150:AG150)</f>
        <v>0.3</v>
      </c>
    </row>
    <row r="151" spans="1:51" ht="14.4" outlineLevel="1" x14ac:dyDescent="0.3">
      <c r="A151" s="21"/>
      <c r="B151" s="22" t="s">
        <v>289</v>
      </c>
      <c r="C151" s="22" t="s">
        <v>14</v>
      </c>
      <c r="D151" s="121"/>
      <c r="E151" s="121"/>
      <c r="F151" s="121"/>
      <c r="G151" s="121"/>
      <c r="H151" s="121"/>
      <c r="I151" s="121"/>
      <c r="J151" s="121"/>
      <c r="K151" s="121">
        <v>0.3</v>
      </c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F151" s="121"/>
      <c r="AG151" s="121"/>
      <c r="AH151" s="34"/>
    </row>
    <row r="152" spans="1:51" ht="14.4" outlineLevel="1" x14ac:dyDescent="0.3">
      <c r="A152" s="21" t="s">
        <v>88</v>
      </c>
      <c r="B152" s="22" t="s">
        <v>22</v>
      </c>
      <c r="C152" s="22" t="s">
        <v>14</v>
      </c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F152" s="121"/>
      <c r="AG152" s="121"/>
      <c r="AH152" s="34">
        <f t="shared" ref="AH152:AH157" si="183">SUM(D152:AG152)</f>
        <v>0</v>
      </c>
    </row>
    <row r="153" spans="1:51" ht="14.4" outlineLevel="1" x14ac:dyDescent="0.3">
      <c r="A153" s="21" t="s">
        <v>89</v>
      </c>
      <c r="B153" s="22" t="s">
        <v>24</v>
      </c>
      <c r="C153" s="22" t="s">
        <v>14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>
        <f t="shared" si="183"/>
        <v>0</v>
      </c>
    </row>
    <row r="154" spans="1:51" ht="14.4" outlineLevel="1" x14ac:dyDescent="0.3">
      <c r="A154" s="21" t="s">
        <v>90</v>
      </c>
      <c r="B154" s="22" t="s">
        <v>26</v>
      </c>
      <c r="C154" s="22" t="s">
        <v>14</v>
      </c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F154" s="121"/>
      <c r="AG154" s="121"/>
      <c r="AH154" s="34">
        <f t="shared" si="183"/>
        <v>0</v>
      </c>
    </row>
    <row r="155" spans="1:51" ht="14.4" outlineLevel="1" x14ac:dyDescent="0.3">
      <c r="A155" s="21" t="s">
        <v>91</v>
      </c>
      <c r="B155" s="22" t="s">
        <v>28</v>
      </c>
      <c r="C155" s="22" t="s">
        <v>14</v>
      </c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F155" s="121"/>
      <c r="AG155" s="121"/>
      <c r="AH155" s="34">
        <f t="shared" si="183"/>
        <v>0</v>
      </c>
    </row>
    <row r="156" spans="1:51" ht="14.4" outlineLevel="1" x14ac:dyDescent="0.3">
      <c r="A156" s="21" t="s">
        <v>92</v>
      </c>
      <c r="B156" s="22" t="s">
        <v>30</v>
      </c>
      <c r="C156" s="22" t="s">
        <v>14</v>
      </c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F156" s="121"/>
      <c r="AG156" s="121"/>
      <c r="AH156" s="34">
        <f t="shared" si="183"/>
        <v>0</v>
      </c>
    </row>
    <row r="157" spans="1:51" ht="14.4" outlineLevel="1" x14ac:dyDescent="0.3">
      <c r="A157" s="21" t="s">
        <v>93</v>
      </c>
      <c r="B157" s="22" t="s">
        <v>32</v>
      </c>
      <c r="C157" s="22" t="s">
        <v>14</v>
      </c>
      <c r="D157" s="34">
        <f>D158</f>
        <v>0</v>
      </c>
      <c r="E157" s="34">
        <f t="shared" ref="E157:AG157" si="184">E158</f>
        <v>0</v>
      </c>
      <c r="F157" s="34">
        <f t="shared" si="184"/>
        <v>0</v>
      </c>
      <c r="G157" s="34">
        <f t="shared" si="184"/>
        <v>0</v>
      </c>
      <c r="H157" s="34">
        <f t="shared" si="184"/>
        <v>0</v>
      </c>
      <c r="I157" s="34">
        <f t="shared" si="184"/>
        <v>0</v>
      </c>
      <c r="J157" s="34">
        <f t="shared" si="184"/>
        <v>0</v>
      </c>
      <c r="K157" s="34">
        <f t="shared" si="184"/>
        <v>0</v>
      </c>
      <c r="L157" s="34">
        <f t="shared" si="184"/>
        <v>0</v>
      </c>
      <c r="M157" s="34">
        <f t="shared" si="184"/>
        <v>0.3</v>
      </c>
      <c r="N157" s="34">
        <f t="shared" si="184"/>
        <v>0</v>
      </c>
      <c r="O157" s="34">
        <f t="shared" si="184"/>
        <v>0</v>
      </c>
      <c r="P157" s="34">
        <f t="shared" si="184"/>
        <v>0</v>
      </c>
      <c r="Q157" s="34">
        <f t="shared" si="184"/>
        <v>0</v>
      </c>
      <c r="R157" s="34">
        <f t="shared" si="184"/>
        <v>0</v>
      </c>
      <c r="S157" s="34">
        <f t="shared" si="184"/>
        <v>0</v>
      </c>
      <c r="T157" s="34">
        <f t="shared" si="184"/>
        <v>0</v>
      </c>
      <c r="U157" s="34">
        <f t="shared" si="184"/>
        <v>0</v>
      </c>
      <c r="V157" s="34">
        <f t="shared" si="184"/>
        <v>0</v>
      </c>
      <c r="W157" s="34">
        <f t="shared" si="184"/>
        <v>0</v>
      </c>
      <c r="X157" s="34">
        <f t="shared" si="184"/>
        <v>0</v>
      </c>
      <c r="Y157" s="34">
        <f t="shared" si="184"/>
        <v>0</v>
      </c>
      <c r="Z157" s="34">
        <f t="shared" si="184"/>
        <v>0</v>
      </c>
      <c r="AA157" s="34">
        <f t="shared" si="184"/>
        <v>0</v>
      </c>
      <c r="AB157" s="34">
        <f t="shared" si="184"/>
        <v>0</v>
      </c>
      <c r="AC157" s="34">
        <f t="shared" si="184"/>
        <v>0</v>
      </c>
      <c r="AD157" s="34">
        <f t="shared" si="184"/>
        <v>0</v>
      </c>
      <c r="AE157" s="34">
        <f t="shared" si="184"/>
        <v>0</v>
      </c>
      <c r="AF157" s="34">
        <f t="shared" si="184"/>
        <v>0</v>
      </c>
      <c r="AG157" s="34">
        <f t="shared" si="184"/>
        <v>0</v>
      </c>
      <c r="AH157" s="34">
        <f t="shared" si="183"/>
        <v>0.3</v>
      </c>
    </row>
    <row r="158" spans="1:51" ht="14.4" outlineLevel="1" x14ac:dyDescent="0.3">
      <c r="A158" s="21"/>
      <c r="B158" s="22" t="s">
        <v>290</v>
      </c>
      <c r="C158" s="22" t="s">
        <v>14</v>
      </c>
      <c r="D158" s="121"/>
      <c r="E158" s="121"/>
      <c r="F158" s="121"/>
      <c r="G158" s="121"/>
      <c r="H158" s="121"/>
      <c r="I158" s="121"/>
      <c r="J158" s="121"/>
      <c r="K158" s="121"/>
      <c r="L158" s="121"/>
      <c r="M158" s="121">
        <v>0.3</v>
      </c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F158" s="121"/>
      <c r="AG158" s="121"/>
      <c r="AH158" s="34"/>
    </row>
    <row r="159" spans="1:51" ht="14.4" outlineLevel="1" x14ac:dyDescent="0.3">
      <c r="A159" s="21" t="s">
        <v>94</v>
      </c>
      <c r="B159" s="22" t="s">
        <v>34</v>
      </c>
      <c r="C159" s="22" t="s">
        <v>14</v>
      </c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F159" s="121"/>
      <c r="AG159" s="121"/>
      <c r="AH159" s="34">
        <f>SUM(D159:AG159)</f>
        <v>0</v>
      </c>
    </row>
    <row r="160" spans="1:51" ht="14.4" outlineLevel="1" x14ac:dyDescent="0.3">
      <c r="A160" s="21" t="s">
        <v>95</v>
      </c>
      <c r="B160" s="22" t="s">
        <v>36</v>
      </c>
      <c r="C160" s="22" t="s">
        <v>14</v>
      </c>
      <c r="D160" s="122"/>
      <c r="E160" s="123"/>
      <c r="F160" s="123"/>
      <c r="G160" s="123"/>
      <c r="H160" s="123"/>
      <c r="I160" s="123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F160" s="122"/>
      <c r="AG160" s="122"/>
      <c r="AH160" s="34">
        <f>SUM(D160:AG160)</f>
        <v>0</v>
      </c>
    </row>
    <row r="161" spans="1:51" ht="14.4" x14ac:dyDescent="0.3">
      <c r="A161" s="15">
        <v>6</v>
      </c>
      <c r="B161" s="16" t="s">
        <v>834</v>
      </c>
      <c r="C161" s="16" t="s">
        <v>14</v>
      </c>
      <c r="D161" s="17">
        <f>D162+D163+D164+D165+D166+D167+D168+D169+D170+D171+D172+D173</f>
        <v>0</v>
      </c>
      <c r="E161" s="17">
        <f t="shared" ref="E161:AH161" si="185">E162+E163+E164+E165+E166+E167+E168+E169+E170+E171+E172+E173</f>
        <v>0</v>
      </c>
      <c r="F161" s="17">
        <f t="shared" si="185"/>
        <v>0</v>
      </c>
      <c r="G161" s="17">
        <f t="shared" si="185"/>
        <v>0</v>
      </c>
      <c r="H161" s="17">
        <f t="shared" si="185"/>
        <v>0</v>
      </c>
      <c r="I161" s="17">
        <f t="shared" si="185"/>
        <v>0</v>
      </c>
      <c r="J161" s="17">
        <f t="shared" si="185"/>
        <v>0</v>
      </c>
      <c r="K161" s="17">
        <f t="shared" si="185"/>
        <v>0</v>
      </c>
      <c r="L161" s="17">
        <f t="shared" si="185"/>
        <v>0</v>
      </c>
      <c r="M161" s="17">
        <f t="shared" si="185"/>
        <v>0</v>
      </c>
      <c r="N161" s="17">
        <f t="shared" si="185"/>
        <v>0</v>
      </c>
      <c r="O161" s="17">
        <f t="shared" si="185"/>
        <v>0</v>
      </c>
      <c r="P161" s="17">
        <f t="shared" si="185"/>
        <v>0</v>
      </c>
      <c r="Q161" s="17">
        <f t="shared" si="185"/>
        <v>0</v>
      </c>
      <c r="R161" s="17">
        <f t="shared" si="185"/>
        <v>0</v>
      </c>
      <c r="S161" s="17">
        <f t="shared" si="185"/>
        <v>0</v>
      </c>
      <c r="T161" s="17">
        <f t="shared" si="185"/>
        <v>0</v>
      </c>
      <c r="U161" s="17">
        <f t="shared" si="185"/>
        <v>0</v>
      </c>
      <c r="V161" s="17">
        <f t="shared" si="185"/>
        <v>0</v>
      </c>
      <c r="W161" s="17">
        <f t="shared" si="185"/>
        <v>0</v>
      </c>
      <c r="X161" s="17">
        <f t="shared" si="185"/>
        <v>0</v>
      </c>
      <c r="Y161" s="17">
        <f t="shared" si="185"/>
        <v>0</v>
      </c>
      <c r="Z161" s="17">
        <f t="shared" si="185"/>
        <v>0</v>
      </c>
      <c r="AA161" s="17">
        <f t="shared" si="185"/>
        <v>0</v>
      </c>
      <c r="AB161" s="17">
        <f t="shared" si="185"/>
        <v>0</v>
      </c>
      <c r="AC161" s="17">
        <f t="shared" si="185"/>
        <v>0</v>
      </c>
      <c r="AD161" s="17">
        <f t="shared" si="185"/>
        <v>0</v>
      </c>
      <c r="AE161" s="17">
        <f t="shared" si="185"/>
        <v>0</v>
      </c>
      <c r="AF161" s="17">
        <f t="shared" si="185"/>
        <v>0</v>
      </c>
      <c r="AG161" s="17">
        <f t="shared" si="185"/>
        <v>0</v>
      </c>
      <c r="AH161" s="17">
        <f t="shared" si="185"/>
        <v>0</v>
      </c>
    </row>
    <row r="162" spans="1:51" ht="14.4" outlineLevel="1" x14ac:dyDescent="0.3">
      <c r="A162" s="21" t="s">
        <v>96</v>
      </c>
      <c r="B162" s="22" t="s">
        <v>13</v>
      </c>
      <c r="C162" s="22" t="s">
        <v>14</v>
      </c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>
        <f t="shared" ref="AH162:AH173" si="186">SUM(D162:AG162)</f>
        <v>0</v>
      </c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</row>
    <row r="163" spans="1:51" ht="14.4" outlineLevel="1" x14ac:dyDescent="0.3">
      <c r="A163" s="21" t="s">
        <v>97</v>
      </c>
      <c r="B163" s="22" t="s">
        <v>16</v>
      </c>
      <c r="C163" s="22" t="s">
        <v>14</v>
      </c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>
        <f t="shared" si="186"/>
        <v>0</v>
      </c>
    </row>
    <row r="164" spans="1:51" ht="14.4" outlineLevel="1" x14ac:dyDescent="0.3">
      <c r="A164" s="21" t="s">
        <v>98</v>
      </c>
      <c r="B164" s="22" t="s">
        <v>18</v>
      </c>
      <c r="C164" s="22" t="s">
        <v>14</v>
      </c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>
        <f t="shared" si="186"/>
        <v>0</v>
      </c>
    </row>
    <row r="165" spans="1:51" ht="14.4" outlineLevel="1" x14ac:dyDescent="0.3">
      <c r="A165" s="21" t="s">
        <v>99</v>
      </c>
      <c r="B165" s="22" t="s">
        <v>20</v>
      </c>
      <c r="C165" s="22" t="s">
        <v>14</v>
      </c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>
        <f t="shared" si="186"/>
        <v>0</v>
      </c>
    </row>
    <row r="166" spans="1:51" ht="14.4" outlineLevel="1" x14ac:dyDescent="0.3">
      <c r="A166" s="21" t="s">
        <v>100</v>
      </c>
      <c r="B166" s="22" t="s">
        <v>22</v>
      </c>
      <c r="C166" s="22" t="s">
        <v>14</v>
      </c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>
        <f t="shared" si="186"/>
        <v>0</v>
      </c>
    </row>
    <row r="167" spans="1:51" ht="14.4" outlineLevel="1" x14ac:dyDescent="0.3">
      <c r="A167" s="21" t="s">
        <v>101</v>
      </c>
      <c r="B167" s="22" t="s">
        <v>24</v>
      </c>
      <c r="C167" s="22" t="s">
        <v>14</v>
      </c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>
        <f t="shared" si="186"/>
        <v>0</v>
      </c>
    </row>
    <row r="168" spans="1:51" ht="14.4" outlineLevel="1" x14ac:dyDescent="0.3">
      <c r="A168" s="21" t="s">
        <v>102</v>
      </c>
      <c r="B168" s="22" t="s">
        <v>26</v>
      </c>
      <c r="C168" s="22" t="s">
        <v>14</v>
      </c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>
        <f t="shared" si="186"/>
        <v>0</v>
      </c>
    </row>
    <row r="169" spans="1:51" ht="14.4" outlineLevel="1" x14ac:dyDescent="0.3">
      <c r="A169" s="21" t="s">
        <v>103</v>
      </c>
      <c r="B169" s="22" t="s">
        <v>28</v>
      </c>
      <c r="C169" s="22" t="s">
        <v>14</v>
      </c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>
        <f t="shared" si="186"/>
        <v>0</v>
      </c>
    </row>
    <row r="170" spans="1:51" ht="14.4" outlineLevel="1" x14ac:dyDescent="0.3">
      <c r="A170" s="21" t="s">
        <v>104</v>
      </c>
      <c r="B170" s="22" t="s">
        <v>30</v>
      </c>
      <c r="C170" s="22" t="s">
        <v>14</v>
      </c>
      <c r="D170" s="25"/>
      <c r="E170" s="24"/>
      <c r="F170" s="24"/>
      <c r="G170" s="24"/>
      <c r="H170" s="24"/>
      <c r="I170" s="24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34">
        <f t="shared" si="186"/>
        <v>0</v>
      </c>
    </row>
    <row r="171" spans="1:51" ht="14.4" outlineLevel="1" x14ac:dyDescent="0.3">
      <c r="A171" s="21" t="s">
        <v>105</v>
      </c>
      <c r="B171" s="22" t="s">
        <v>32</v>
      </c>
      <c r="C171" s="22" t="s">
        <v>14</v>
      </c>
      <c r="D171" s="25"/>
      <c r="E171" s="24"/>
      <c r="F171" s="24"/>
      <c r="G171" s="24"/>
      <c r="H171" s="24"/>
      <c r="I171" s="24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34">
        <f t="shared" si="186"/>
        <v>0</v>
      </c>
    </row>
    <row r="172" spans="1:51" ht="14.4" outlineLevel="1" x14ac:dyDescent="0.3">
      <c r="A172" s="21" t="s">
        <v>106</v>
      </c>
      <c r="B172" s="22" t="s">
        <v>34</v>
      </c>
      <c r="C172" s="22" t="s">
        <v>14</v>
      </c>
      <c r="D172" s="25"/>
      <c r="E172" s="24"/>
      <c r="F172" s="24"/>
      <c r="G172" s="24"/>
      <c r="H172" s="24"/>
      <c r="I172" s="24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34">
        <f t="shared" si="186"/>
        <v>0</v>
      </c>
    </row>
    <row r="173" spans="1:51" ht="14.4" outlineLevel="1" x14ac:dyDescent="0.3">
      <c r="A173" s="21" t="s">
        <v>107</v>
      </c>
      <c r="B173" s="22" t="s">
        <v>36</v>
      </c>
      <c r="C173" s="22" t="s">
        <v>14</v>
      </c>
      <c r="D173" s="25"/>
      <c r="E173" s="24"/>
      <c r="F173" s="24"/>
      <c r="G173" s="24"/>
      <c r="H173" s="24"/>
      <c r="I173" s="24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34">
        <f t="shared" si="186"/>
        <v>0</v>
      </c>
    </row>
    <row r="174" spans="1:51" ht="14.4" x14ac:dyDescent="0.25">
      <c r="A174" s="385" t="s">
        <v>108</v>
      </c>
      <c r="B174" s="386"/>
      <c r="C174" s="11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3" t="s">
        <v>9</v>
      </c>
    </row>
    <row r="175" spans="1:51" ht="14.4" x14ac:dyDescent="0.3">
      <c r="A175" s="15">
        <v>1</v>
      </c>
      <c r="B175" s="16" t="s">
        <v>109</v>
      </c>
      <c r="C175" s="16" t="s">
        <v>14</v>
      </c>
      <c r="D175" s="17">
        <f t="shared" ref="D175:AH175" si="187">SUM(D176:D187)</f>
        <v>401</v>
      </c>
      <c r="E175" s="17">
        <f t="shared" si="187"/>
        <v>401</v>
      </c>
      <c r="F175" s="17">
        <f t="shared" si="187"/>
        <v>401</v>
      </c>
      <c r="G175" s="17">
        <f t="shared" si="187"/>
        <v>401</v>
      </c>
      <c r="H175" s="17">
        <f t="shared" si="187"/>
        <v>398.5</v>
      </c>
      <c r="I175" s="17">
        <f t="shared" si="187"/>
        <v>398.5</v>
      </c>
      <c r="J175" s="17">
        <f t="shared" si="187"/>
        <v>401.15100000000001</v>
      </c>
      <c r="K175" s="17">
        <f t="shared" si="187"/>
        <v>405.07649999999995</v>
      </c>
      <c r="L175" s="17">
        <f t="shared" si="187"/>
        <v>409.51650000000001</v>
      </c>
      <c r="M175" s="17">
        <f t="shared" si="187"/>
        <v>411.49200000000002</v>
      </c>
      <c r="N175" s="17">
        <f t="shared" si="187"/>
        <v>411.49200000000002</v>
      </c>
      <c r="O175" s="17">
        <f t="shared" si="187"/>
        <v>411.49200000000002</v>
      </c>
      <c r="P175" s="17">
        <f t="shared" si="187"/>
        <v>411.49200000000002</v>
      </c>
      <c r="Q175" s="17">
        <f t="shared" si="187"/>
        <v>411.49200000000002</v>
      </c>
      <c r="R175" s="17">
        <f t="shared" si="187"/>
        <v>411.49200000000002</v>
      </c>
      <c r="S175" s="17">
        <f t="shared" si="187"/>
        <v>411.49200000000002</v>
      </c>
      <c r="T175" s="17">
        <f t="shared" si="187"/>
        <v>411.49200000000002</v>
      </c>
      <c r="U175" s="17">
        <f t="shared" si="187"/>
        <v>411.49200000000002</v>
      </c>
      <c r="V175" s="17">
        <f t="shared" si="187"/>
        <v>411.49200000000002</v>
      </c>
      <c r="W175" s="17">
        <f t="shared" si="187"/>
        <v>413.76729142857141</v>
      </c>
      <c r="X175" s="17">
        <f t="shared" si="187"/>
        <v>413.76729142857141</v>
      </c>
      <c r="Y175" s="17">
        <f t="shared" si="187"/>
        <v>413.76729142857141</v>
      </c>
      <c r="Z175" s="17">
        <f t="shared" si="187"/>
        <v>413.76729142857141</v>
      </c>
      <c r="AA175" s="17">
        <f t="shared" si="187"/>
        <v>413.76729142857141</v>
      </c>
      <c r="AB175" s="17">
        <f t="shared" si="187"/>
        <v>413.76729142857141</v>
      </c>
      <c r="AC175" s="17">
        <f t="shared" si="187"/>
        <v>413.76729142857141</v>
      </c>
      <c r="AD175" s="17">
        <f t="shared" si="187"/>
        <v>413.76729142857141</v>
      </c>
      <c r="AE175" s="17">
        <f t="shared" si="187"/>
        <v>413.76729142857141</v>
      </c>
      <c r="AF175" s="17">
        <f t="shared" si="187"/>
        <v>413.76729142857141</v>
      </c>
      <c r="AG175" s="17">
        <f t="shared" si="187"/>
        <v>413.76729142857141</v>
      </c>
      <c r="AH175" s="17">
        <f t="shared" si="187"/>
        <v>12283.104205714288</v>
      </c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</row>
    <row r="176" spans="1:51" ht="14.4" outlineLevel="1" x14ac:dyDescent="0.3">
      <c r="A176" s="21" t="s">
        <v>12</v>
      </c>
      <c r="B176" s="22" t="s">
        <v>13</v>
      </c>
      <c r="C176" s="22" t="s">
        <v>14</v>
      </c>
      <c r="D176" s="23">
        <f>D11+SUM($D69:D69)*0.46+SUM($D98:D98)*1+SUM($D111:D111)*1+SUM($D145:D145)*0.085+SUM($D162:D162)*1.15</f>
        <v>43.4</v>
      </c>
      <c r="E176" s="23">
        <f>E11+SUM($D69:E69)*0.46+SUM($D98:E98)*1+SUM($D111:E111)*1+SUM($D145:E145)*0.085+SUM($D162:E162)*1.15</f>
        <v>43.4</v>
      </c>
      <c r="F176" s="23">
        <f>F11+SUM($D69:F69)*0.46+SUM($D98:F98)*1+SUM($D111:F111)*1+SUM($D145:F145)*0.085+SUM($D162:F162)*1.15</f>
        <v>43.4</v>
      </c>
      <c r="G176" s="23">
        <f>G11+SUM($D69:G69)*0.46+SUM($D98:G98)*1+SUM($D111:G111)*1+SUM($D145:G145)*0.085+SUM($D162:G162)*1.15</f>
        <v>43.4</v>
      </c>
      <c r="H176" s="23">
        <f>H11+SUM($D69:H69)*0.46+SUM($D98:H98)*1+SUM($D111:H111)*1+SUM($D145:H145)*0.085+SUM($D162:H162)*1.15</f>
        <v>43.4</v>
      </c>
      <c r="I176" s="23">
        <f>I11+SUM($D69:I69)*0.46+SUM($D98:I98)*1+SUM($D111:I111)*1+SUM($D145:I145)*0.085+SUM($D162:I162)*1.15</f>
        <v>43.4</v>
      </c>
      <c r="J176" s="23">
        <f>J11+SUM($D69:J69)*0.46+SUM($D98:J98)*1+SUM($D111:J111)*1+SUM($D145:J145)*0.085+SUM($D162:J162)*1.15</f>
        <v>44.699999999999996</v>
      </c>
      <c r="K176" s="23">
        <f>K11+SUM($D69:K69)*0.46+SUM($D98:K98)*1+SUM($D111:K111)*1+SUM($D145:K145)*0.085+SUM($D162:K162)*1.15</f>
        <v>44.699999999999996</v>
      </c>
      <c r="L176" s="23">
        <f>L11+SUM($D69:L69)*0.46+SUM($D98:L98)*1+SUM($D111:L111)*1+SUM($D145:L145)*0.085+SUM($D162:L162)*1.15</f>
        <v>44.699999999999996</v>
      </c>
      <c r="M176" s="23">
        <f>M11+SUM($D69:M69)*0.46+SUM($D98:M98)*1+SUM($D111:M111)*1+SUM($D145:M145)*0.085+SUM($D162:M162)*1.15</f>
        <v>44.699999999999996</v>
      </c>
      <c r="N176" s="23">
        <f>N11+SUM($D69:N69)*0.46+SUM($D98:N98)*1+SUM($D111:N111)*1+SUM($D145:N145)*0.085+SUM($D162:N162)*1.15</f>
        <v>44.699999999999996</v>
      </c>
      <c r="O176" s="23">
        <f>O11+SUM($D69:O69)*0.46+SUM($D98:O98)*1+SUM($D111:O111)*1+SUM($D145:O145)*0.085+SUM($D162:O162)*1.15</f>
        <v>44.699999999999996</v>
      </c>
      <c r="P176" s="23">
        <f>P11+SUM($D69:P69)*0.46+SUM($D98:P98)*1+SUM($D111:P111)*1+SUM($D145:P145)*0.085+SUM($D162:P162)*1.15</f>
        <v>44.699999999999996</v>
      </c>
      <c r="Q176" s="23">
        <f>Q11+SUM($D69:Q69)*0.46+SUM($D98:Q98)*1+SUM($D111:Q111)*1+SUM($D145:Q145)*0.085+SUM($D162:Q162)*1.15</f>
        <v>44.699999999999996</v>
      </c>
      <c r="R176" s="23">
        <f>R11+SUM($D69:R69)*0.46+SUM($D98:R98)*1+SUM($D111:R111)*1+SUM($D145:R145)*0.085+SUM($D162:R162)*1.15</f>
        <v>44.699999999999996</v>
      </c>
      <c r="S176" s="23">
        <f>S11+SUM($D69:S69)*0.46+SUM($D98:S98)*1+SUM($D111:S111)*1+SUM($D145:S145)*0.085+SUM($D162:S162)*1.15</f>
        <v>44.699999999999996</v>
      </c>
      <c r="T176" s="23">
        <f>T11+SUM($D69:T69)*0.46+SUM($D98:T98)*1+SUM($D111:T111)*1+SUM($D145:T145)*0.085+SUM($D162:T162)*1.15</f>
        <v>44.699999999999996</v>
      </c>
      <c r="U176" s="23">
        <f>U11+SUM($D69:U69)*0.46+SUM($D98:U98)*1+SUM($D111:U111)*1+SUM($D145:U145)*0.085+SUM($D162:U162)*1.15</f>
        <v>44.699999999999996</v>
      </c>
      <c r="V176" s="23">
        <f>V11+SUM($D69:V69)*0.46+SUM($D98:V98)*1+SUM($D111:V111)*1+SUM($D145:V145)*0.085+SUM($D162:V162)*1.15</f>
        <v>44.699999999999996</v>
      </c>
      <c r="W176" s="23">
        <f>W11+SUM($D69:W69)*0.46+SUM($D98:W98)*1+SUM($D111:W111)*1+SUM($D145:W145)*0.085+SUM($D162:W162)*1.15</f>
        <v>44.699999999999996</v>
      </c>
      <c r="X176" s="23">
        <f>X11+SUM($D69:X69)*0.46+SUM($D98:X98)*1+SUM($D111:X111)*1+SUM($D145:X145)*0.085+SUM($D162:X162)*1.15</f>
        <v>44.699999999999996</v>
      </c>
      <c r="Y176" s="23">
        <f>Y11+SUM($D69:Y69)*0.46+SUM($D98:Y98)*1+SUM($D111:Y111)*1+SUM($D145:Y145)*0.085+SUM($D162:Y162)*1.15</f>
        <v>44.699999999999996</v>
      </c>
      <c r="Z176" s="23">
        <f>Z11+SUM($D69:Z69)*0.46+SUM($D98:Z98)*1+SUM($D111:Z111)*1+SUM($D145:Z145)*0.085+SUM($D162:Z162)*1.15</f>
        <v>44.699999999999996</v>
      </c>
      <c r="AA176" s="23">
        <f>AA11+SUM($D69:AA69)*0.46+SUM($D98:AA98)*1+SUM($D111:AA111)*1+SUM($D145:AA145)*0.085+SUM($D162:AA162)*1.15</f>
        <v>44.699999999999996</v>
      </c>
      <c r="AB176" s="23">
        <f>AB11+SUM($D69:AB69)*0.46+SUM($D98:AB98)*1+SUM($D111:AB111)*1+SUM($D145:AB145)*0.085+SUM($D162:AB162)*1.15</f>
        <v>44.699999999999996</v>
      </c>
      <c r="AC176" s="23">
        <f>AC11+SUM($D69:AC69)*0.46+SUM($D98:AC98)*1+SUM($D111:AC111)*1+SUM($D145:AC145)*0.085+SUM($D162:AC162)*1.15</f>
        <v>44.699999999999996</v>
      </c>
      <c r="AD176" s="23">
        <f>AD11+SUM($D69:AD69)*0.46+SUM($D98:AD98)*1+SUM($D111:AD111)*1+SUM($D145:AD145)*0.085+SUM($D162:AD162)*1.15</f>
        <v>44.699999999999996</v>
      </c>
      <c r="AE176" s="23">
        <f>AE11+SUM($D69:AE69)*0.46+SUM($D98:AE98)*1+SUM($D111:AE111)*1+SUM($D145:AE145)*0.085+SUM($D162:AE162)*1.15</f>
        <v>44.699999999999996</v>
      </c>
      <c r="AF176" s="23">
        <f>AF11+SUM($D69:AF69)*0.46+SUM($D98:AF98)*1+SUM($D111:AF111)*1+SUM($D145:AF145)*0.085+SUM($D162:AF162)*1.15</f>
        <v>44.699999999999996</v>
      </c>
      <c r="AG176" s="23">
        <f>AG11+SUM($D69:AG69)*0.46+SUM($D98:AG98)*1+SUM($D111:AG111)*1+SUM($D145:AG145)*0.085+SUM($D162:AG162)*1.15</f>
        <v>44.699999999999996</v>
      </c>
      <c r="AH176" s="23">
        <f t="shared" ref="AH176:AH187" si="188">SUM(D176:AG176)</f>
        <v>1333.2000000000007</v>
      </c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</row>
    <row r="177" spans="1:51" ht="14.4" outlineLevel="2" x14ac:dyDescent="0.3">
      <c r="A177" s="21" t="s">
        <v>15</v>
      </c>
      <c r="B177" s="22" t="s">
        <v>16</v>
      </c>
      <c r="C177" s="22" t="s">
        <v>14</v>
      </c>
      <c r="D177" s="23">
        <f>D12+SUM($D70:D70)*0.46+SUM($D99:D99)*1+SUM($D114:D114)*1+SUM($D146:D146)*0.085+SUM($D163:D163)*1.15</f>
        <v>62.4</v>
      </c>
      <c r="E177" s="23">
        <f>E12+SUM($D70:E70)*0.46+SUM($D99:E99)*1+SUM($D114:E114)*1+SUM($D146:E146)*0.085+SUM($D163:E163)*1.15</f>
        <v>62.4</v>
      </c>
      <c r="F177" s="23">
        <f>F12+SUM($D70:F70)*0.46+SUM($D99:F99)*1+SUM($D114:F114)*1+SUM($D146:F146)*0.085+SUM($D163:F163)*1.15</f>
        <v>62.4</v>
      </c>
      <c r="G177" s="23">
        <f>G12+SUM($D70:G70)*0.46+SUM($D99:G99)*1+SUM($D114:G114)*1+SUM($D146:G146)*0.085+SUM($D163:G163)*1.15</f>
        <v>62.4</v>
      </c>
      <c r="H177" s="23">
        <f>H12+SUM($D70:H70)*0.46+SUM($D99:H99)*1+SUM($D114:H114)*1+SUM($D146:H146)*0.085+SUM($D163:H163)*1.15</f>
        <v>62.4</v>
      </c>
      <c r="I177" s="23">
        <f>I12+SUM($D70:I70)*0.46+SUM($D99:I99)*1+SUM($D114:I114)*1+SUM($D146:I146)*0.085+SUM($D163:I163)*1.15</f>
        <v>62.4</v>
      </c>
      <c r="J177" s="23">
        <f>J12+SUM($D70:J70)*0.46+SUM($D99:J99)*1+SUM($D114:J114)*1+SUM($D146:J146)*0.085+SUM($D163:J163)*1.15</f>
        <v>62.451000000000001</v>
      </c>
      <c r="K177" s="23">
        <f>K12+SUM($D70:K70)*0.46+SUM($D99:K99)*1+SUM($D114:K114)*1+SUM($D146:K146)*0.085+SUM($D163:K163)*1.15</f>
        <v>64.400999999999996</v>
      </c>
      <c r="L177" s="23">
        <f>L12+SUM($D70:L70)*0.46+SUM($D99:L99)*1+SUM($D114:L114)*1+SUM($D146:L146)*0.085+SUM($D163:L163)*1.15</f>
        <v>64.400999999999996</v>
      </c>
      <c r="M177" s="23">
        <f>M12+SUM($D70:M70)*0.46+SUM($D99:M99)*1+SUM($D114:M114)*1+SUM($D146:M146)*0.085+SUM($D163:M163)*1.15</f>
        <v>64.400999999999996</v>
      </c>
      <c r="N177" s="23">
        <f>N12+SUM($D70:N70)*0.46+SUM($D99:N99)*1+SUM($D114:N114)*1+SUM($D146:N146)*0.085+SUM($D163:N163)*1.15</f>
        <v>64.400999999999996</v>
      </c>
      <c r="O177" s="23">
        <f>O12+SUM($D70:O70)*0.46+SUM($D99:O99)*1+SUM($D114:O114)*1+SUM($D146:O146)*0.085+SUM($D163:O163)*1.15</f>
        <v>64.400999999999996</v>
      </c>
      <c r="P177" s="23">
        <f>P12+SUM($D70:P70)*0.46+SUM($D99:P99)*1+SUM($D114:P114)*1+SUM($D146:P146)*0.085+SUM($D163:P163)*1.15</f>
        <v>64.400999999999996</v>
      </c>
      <c r="Q177" s="23">
        <f>Q12+SUM($D70:Q70)*0.46+SUM($D99:Q99)*1+SUM($D114:Q114)*1+SUM($D146:Q146)*0.085+SUM($D163:Q163)*1.15</f>
        <v>64.400999999999996</v>
      </c>
      <c r="R177" s="23">
        <f>R12+SUM($D70:R70)*0.46+SUM($D99:R99)*1+SUM($D114:R114)*1+SUM($D146:R146)*0.085+SUM($D163:R163)*1.15</f>
        <v>64.400999999999996</v>
      </c>
      <c r="S177" s="23">
        <f>S12+SUM($D70:S70)*0.46+SUM($D99:S99)*1+SUM($D114:S114)*1+SUM($D146:S146)*0.085+SUM($D163:S163)*1.15</f>
        <v>64.400999999999996</v>
      </c>
      <c r="T177" s="23">
        <f>T12+SUM($D70:T70)*0.46+SUM($D99:T99)*1+SUM($D114:T114)*1+SUM($D146:T146)*0.085+SUM($D163:T163)*1.15</f>
        <v>64.400999999999996</v>
      </c>
      <c r="U177" s="23">
        <f>U12+SUM($D70:U70)*0.46+SUM($D99:U99)*1+SUM($D114:U114)*1+SUM($D146:U146)*0.085+SUM($D163:U163)*1.15</f>
        <v>64.400999999999996</v>
      </c>
      <c r="V177" s="23">
        <f>V12+SUM($D70:V70)*0.46+SUM($D99:V99)*1+SUM($D114:V114)*1+SUM($D146:V146)*0.085+SUM($D163:V163)*1.15</f>
        <v>64.400999999999996</v>
      </c>
      <c r="W177" s="23">
        <f>W12+SUM($D70:W70)*0.46+SUM($D99:W99)*1+SUM($D114:W114)*1+SUM($D146:W146)*0.085+SUM($D163:W163)*1.15</f>
        <v>64.400999999999996</v>
      </c>
      <c r="X177" s="23">
        <f>X12+SUM($D70:X70)*0.46+SUM($D99:X99)*1+SUM($D114:X114)*1+SUM($D146:X146)*0.085+SUM($D163:X163)*1.15</f>
        <v>64.400999999999996</v>
      </c>
      <c r="Y177" s="23">
        <f>Y12+SUM($D70:Y70)*0.46+SUM($D99:Y99)*1+SUM($D114:Y114)*1+SUM($D146:Y146)*0.085+SUM($D163:Y163)*1.15</f>
        <v>64.400999999999996</v>
      </c>
      <c r="Z177" s="23">
        <f>Z12+SUM($D70:Z70)*0.46+SUM($D99:Z99)*1+SUM($D114:Z114)*1+SUM($D146:Z146)*0.085+SUM($D163:Z163)*1.15</f>
        <v>64.400999999999996</v>
      </c>
      <c r="AA177" s="23">
        <f>AA12+SUM($D70:AA70)*0.46+SUM($D99:AA99)*1+SUM($D114:AA114)*1+SUM($D146:AA146)*0.085+SUM($D163:AA163)*1.15</f>
        <v>64.400999999999996</v>
      </c>
      <c r="AB177" s="23">
        <f>AB12+SUM($D70:AB70)*0.46+SUM($D99:AB99)*1+SUM($D114:AB114)*1+SUM($D146:AB146)*0.085+SUM($D163:AB163)*1.15</f>
        <v>64.400999999999996</v>
      </c>
      <c r="AC177" s="23">
        <f>AC12+SUM($D70:AC70)*0.46+SUM($D99:AC99)*1+SUM($D114:AC114)*1+SUM($D146:AC146)*0.085+SUM($D163:AC163)*1.15</f>
        <v>64.400999999999996</v>
      </c>
      <c r="AD177" s="23">
        <f>AD12+SUM($D70:AD70)*0.46+SUM($D99:AD99)*1+SUM($D114:AD114)*1+SUM($D146:AD146)*0.085+SUM($D163:AD163)*1.15</f>
        <v>64.400999999999996</v>
      </c>
      <c r="AE177" s="23">
        <f>AE12+SUM($D70:AE70)*0.46+SUM($D99:AE99)*1+SUM($D114:AE114)*1+SUM($D146:AE146)*0.085+SUM($D163:AE163)*1.15</f>
        <v>64.400999999999996</v>
      </c>
      <c r="AF177" s="23">
        <f>AF12+SUM($D70:AF70)*0.46+SUM($D99:AF99)*1+SUM($D114:AF114)*1+SUM($D146:AF146)*0.085+SUM($D163:AF163)*1.15</f>
        <v>64.400999999999996</v>
      </c>
      <c r="AG177" s="23">
        <f>AG12+SUM($D70:AG70)*0.46+SUM($D99:AG99)*1+SUM($D114:AG114)*1+SUM($D146:AG146)*0.085+SUM($D163:AG163)*1.15</f>
        <v>64.400999999999996</v>
      </c>
      <c r="AH177" s="24">
        <f t="shared" si="188"/>
        <v>1918.0740000000005</v>
      </c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</row>
    <row r="178" spans="1:51" ht="14.4" outlineLevel="2" x14ac:dyDescent="0.3">
      <c r="A178" s="21" t="s">
        <v>17</v>
      </c>
      <c r="B178" s="22" t="s">
        <v>18</v>
      </c>
      <c r="C178" s="22" t="s">
        <v>14</v>
      </c>
      <c r="D178" s="23">
        <f>D13+SUM($D71:D71)*0.46+SUM($D100:D100)*1+SUM($D118:D118)*1+SUM($D149:D149)*0.085+SUM($D164:D164)*1.15</f>
        <v>44.399999999999991</v>
      </c>
      <c r="E178" s="23">
        <f>E13+SUM($D71:E71)*0.46+SUM($D100:E100)*1+SUM($D118:E118)*1+SUM($D149:E149)*0.085+SUM($D164:E164)*1.15</f>
        <v>44.399999999999991</v>
      </c>
      <c r="F178" s="23">
        <f>F13+SUM($D71:F71)*0.46+SUM($D100:F100)*1+SUM($D118:F118)*1+SUM($D149:F149)*0.085+SUM($D164:F164)*1.15</f>
        <v>44.399999999999991</v>
      </c>
      <c r="G178" s="23">
        <f>G13+SUM($D71:G71)*0.46+SUM($D100:G100)*1+SUM($D118:G118)*1+SUM($D149:G149)*0.085+SUM($D164:G164)*1.15</f>
        <v>44.399999999999991</v>
      </c>
      <c r="H178" s="23">
        <f>H13+SUM($D71:H71)*0.46+SUM($D100:H100)*1+SUM($D118:H118)*1+SUM($D149:H149)*0.085+SUM($D164:H164)*1.15</f>
        <v>44.399999999999991</v>
      </c>
      <c r="I178" s="23">
        <f>I13+SUM($D71:I71)*0.46+SUM($D100:I100)*1+SUM($D118:I118)*1+SUM($D149:I149)*0.085+SUM($D164:I164)*1.15</f>
        <v>44.399999999999991</v>
      </c>
      <c r="J178" s="23">
        <f>J13+SUM($D71:J71)*0.46+SUM($D100:J100)*1+SUM($D118:J118)*1+SUM($D149:J149)*0.085+SUM($D164:J164)*1.15</f>
        <v>44.399999999999991</v>
      </c>
      <c r="K178" s="23">
        <f>K13+SUM($D71:K71)*0.46+SUM($D100:K100)*1+SUM($D118:K118)*1+SUM($D149:K149)*0.085+SUM($D164:K164)*1.15</f>
        <v>44.399999999999991</v>
      </c>
      <c r="L178" s="23">
        <f>L13+SUM($D71:L71)*0.46+SUM($D100:L100)*1+SUM($D118:L118)*1+SUM($D149:L149)*0.085+SUM($D164:L164)*1.15</f>
        <v>46.349999999999994</v>
      </c>
      <c r="M178" s="23">
        <f>M13+SUM($D71:M71)*0.46+SUM($D100:M100)*1+SUM($D118:M118)*1+SUM($D149:M149)*0.085+SUM($D164:M164)*1.15</f>
        <v>46.349999999999994</v>
      </c>
      <c r="N178" s="23">
        <f>N13+SUM($D71:N71)*0.46+SUM($D100:N100)*1+SUM($D118:N118)*1+SUM($D149:N149)*0.085+SUM($D164:N164)*1.15</f>
        <v>46.349999999999994</v>
      </c>
      <c r="O178" s="23">
        <f>O13+SUM($D71:O71)*0.46+SUM($D100:O100)*1+SUM($D118:O118)*1+SUM($D149:O149)*0.085+SUM($D164:O164)*1.15</f>
        <v>46.349999999999994</v>
      </c>
      <c r="P178" s="23">
        <f>P13+SUM($D71:P71)*0.46+SUM($D100:P100)*1+SUM($D118:P118)*1+SUM($D149:P149)*0.085+SUM($D164:P164)*1.15</f>
        <v>46.349999999999994</v>
      </c>
      <c r="Q178" s="23">
        <f>Q13+SUM($D71:Q71)*0.46+SUM($D100:Q100)*1+SUM($D118:Q118)*1+SUM($D149:Q149)*0.085+SUM($D164:Q164)*1.15</f>
        <v>46.349999999999994</v>
      </c>
      <c r="R178" s="23">
        <f>R13+SUM($D71:R71)*0.46+SUM($D100:R100)*1+SUM($D118:R118)*1+SUM($D149:R149)*0.085+SUM($D164:R164)*1.15</f>
        <v>46.349999999999994</v>
      </c>
      <c r="S178" s="23">
        <f>S13+SUM($D71:S71)*0.46+SUM($D100:S100)*1+SUM($D118:S118)*1+SUM($D149:S149)*0.085+SUM($D164:S164)*1.15</f>
        <v>46.349999999999994</v>
      </c>
      <c r="T178" s="23">
        <f>T13+SUM($D71:T71)*0.46+SUM($D100:T100)*1+SUM($D118:T118)*1+SUM($D149:T149)*0.085+SUM($D164:T164)*1.15</f>
        <v>46.349999999999994</v>
      </c>
      <c r="U178" s="23">
        <f>U13+SUM($D71:U71)*0.46+SUM($D100:U100)*1+SUM($D118:U118)*1+SUM($D149:U149)*0.085+SUM($D164:U164)*1.15</f>
        <v>46.349999999999994</v>
      </c>
      <c r="V178" s="23">
        <f>V13+SUM($D71:V71)*0.46+SUM($D100:V100)*1+SUM($D118:V118)*1+SUM($D149:V149)*0.085+SUM($D164:V164)*1.15</f>
        <v>46.349999999999994</v>
      </c>
      <c r="W178" s="23">
        <f>W13+SUM($D71:W71)*0.46+SUM($D100:W100)*1+SUM($D118:W118)*1+SUM($D149:W149)*0.085+SUM($D164:W164)*1.15</f>
        <v>46.349999999999994</v>
      </c>
      <c r="X178" s="23">
        <f>X13+SUM($D71:X71)*0.46+SUM($D100:X100)*1+SUM($D118:X118)*1+SUM($D149:X149)*0.085+SUM($D164:X164)*1.15</f>
        <v>46.349999999999994</v>
      </c>
      <c r="Y178" s="23">
        <f>Y13+SUM($D71:Y71)*0.46+SUM($D100:Y100)*1+SUM($D118:Y118)*1+SUM($D149:Y149)*0.085+SUM($D164:Y164)*1.15</f>
        <v>46.349999999999994</v>
      </c>
      <c r="Z178" s="23">
        <f>Z13+SUM($D71:Z71)*0.46+SUM($D100:Z100)*1+SUM($D118:Z118)*1+SUM($D149:Z149)*0.085+SUM($D164:Z164)*1.15</f>
        <v>46.349999999999994</v>
      </c>
      <c r="AA178" s="23">
        <f>AA13+SUM($D71:AA71)*0.46+SUM($D100:AA100)*1+SUM($D118:AA118)*1+SUM($D149:AA149)*0.085+SUM($D164:AA164)*1.15</f>
        <v>46.349999999999994</v>
      </c>
      <c r="AB178" s="23">
        <f>AB13+SUM($D71:AB71)*0.46+SUM($D100:AB100)*1+SUM($D118:AB118)*1+SUM($D149:AB149)*0.085+SUM($D164:AB164)*1.15</f>
        <v>46.349999999999994</v>
      </c>
      <c r="AC178" s="23">
        <f>AC13+SUM($D71:AC71)*0.46+SUM($D100:AC100)*1+SUM($D118:AC118)*1+SUM($D149:AC149)*0.085+SUM($D164:AC164)*1.15</f>
        <v>46.349999999999994</v>
      </c>
      <c r="AD178" s="23">
        <f>AD13+SUM($D71:AD71)*0.46+SUM($D100:AD100)*1+SUM($D118:AD118)*1+SUM($D149:AD149)*0.085+SUM($D164:AD164)*1.15</f>
        <v>46.349999999999994</v>
      </c>
      <c r="AE178" s="23">
        <f>AE13+SUM($D71:AE71)*0.46+SUM($D100:AE100)*1+SUM($D118:AE118)*1+SUM($D149:AE149)*0.085+SUM($D164:AE164)*1.15</f>
        <v>46.349999999999994</v>
      </c>
      <c r="AF178" s="23">
        <f>AF13+SUM($D71:AF71)*0.46+SUM($D100:AF100)*1+SUM($D118:AF118)*1+SUM($D149:AF149)*0.085+SUM($D164:AF164)*1.15</f>
        <v>46.349999999999994</v>
      </c>
      <c r="AG178" s="23">
        <f>AG13+SUM($D71:AG71)*0.46+SUM($D100:AG100)*1+SUM($D118:AG118)*1+SUM($D149:AG149)*0.085+SUM($D164:AG164)*1.15</f>
        <v>46.349999999999994</v>
      </c>
      <c r="AH178" s="24">
        <f t="shared" si="188"/>
        <v>1374.8999999999994</v>
      </c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</row>
    <row r="179" spans="1:51" ht="14.4" outlineLevel="2" x14ac:dyDescent="0.3">
      <c r="A179" s="21" t="s">
        <v>19</v>
      </c>
      <c r="B179" s="22" t="s">
        <v>20</v>
      </c>
      <c r="C179" s="22" t="s">
        <v>14</v>
      </c>
      <c r="D179" s="23">
        <f>D14+SUM($D72:D72)*0.46+SUM($D101:D101)*1+SUM($D122:D122)*1+SUM($D150:D150)*0.085+SUM($D165:D165)*1.15</f>
        <v>29.600000000000023</v>
      </c>
      <c r="E179" s="23">
        <f>E14+SUM($D72:E72)*0.46+SUM($D101:E101)*1+SUM($D122:E122)*1+SUM($D150:E150)*0.085+SUM($D165:E165)*1.15</f>
        <v>29.600000000000023</v>
      </c>
      <c r="F179" s="23">
        <f>F14+SUM($D72:F72)*0.46+SUM($D101:F101)*1+SUM($D122:F122)*1+SUM($D150:F150)*0.085+SUM($D165:F165)*1.15</f>
        <v>29.600000000000023</v>
      </c>
      <c r="G179" s="23">
        <f>G14+SUM($D72:G72)*0.46+SUM($D101:G101)*1+SUM($D122:G122)*1+SUM($D150:G150)*0.085+SUM($D165:G165)*1.15</f>
        <v>29.600000000000023</v>
      </c>
      <c r="H179" s="23">
        <f>H14+SUM($D72:H72)*0.46+SUM($D101:H101)*1+SUM($D122:H122)*1+SUM($D150:H150)*0.085+SUM($D165:H165)*1.15</f>
        <v>29.600000000000023</v>
      </c>
      <c r="I179" s="23">
        <f>I14+SUM($D72:I72)*0.46+SUM($D101:I101)*1+SUM($D122:I122)*1+SUM($D150:I150)*0.085+SUM($D165:I165)*1.15</f>
        <v>29.600000000000023</v>
      </c>
      <c r="J179" s="23">
        <f>J14+SUM($D72:J72)*0.46+SUM($D101:J101)*1+SUM($D122:J122)*1+SUM($D150:J150)*0.085+SUM($D165:J165)*1.15</f>
        <v>30.250000000000021</v>
      </c>
      <c r="K179" s="23">
        <f>K14+SUM($D72:K72)*0.46+SUM($D101:K101)*1+SUM($D122:K122)*1+SUM($D150:K150)*0.085+SUM($D165:K165)*1.15</f>
        <v>30.275500000000022</v>
      </c>
      <c r="L179" s="23">
        <f>L14+SUM($D72:L72)*0.46+SUM($D101:L101)*1+SUM($D122:L122)*1+SUM($D150:L150)*0.085+SUM($D165:L165)*1.15</f>
        <v>30.545500000000025</v>
      </c>
      <c r="M179" s="23">
        <f>M14+SUM($D72:M72)*0.46+SUM($D101:M101)*1+SUM($D122:M122)*1+SUM($D150:M150)*0.085+SUM($D165:M165)*1.15</f>
        <v>30.545500000000025</v>
      </c>
      <c r="N179" s="23">
        <f>N14+SUM($D72:N72)*0.46+SUM($D101:N101)*1+SUM($D122:N122)*1+SUM($D150:N150)*0.085+SUM($D165:N165)*1.15</f>
        <v>30.545500000000025</v>
      </c>
      <c r="O179" s="23">
        <f>O14+SUM($D72:O72)*0.46+SUM($D101:O101)*1+SUM($D122:O122)*1+SUM($D150:O150)*0.085+SUM($D165:O165)*1.15</f>
        <v>30.545500000000025</v>
      </c>
      <c r="P179" s="23">
        <f>P14+SUM($D72:P72)*0.46+SUM($D101:P101)*1+SUM($D122:P122)*1+SUM($D150:P150)*0.085+SUM($D165:P165)*1.15</f>
        <v>30.545500000000025</v>
      </c>
      <c r="Q179" s="23">
        <f>Q14+SUM($D72:Q72)*0.46+SUM($D101:Q101)*1+SUM($D122:Q122)*1+SUM($D150:Q150)*0.085+SUM($D165:Q165)*1.15</f>
        <v>30.545500000000025</v>
      </c>
      <c r="R179" s="23">
        <f>R14+SUM($D72:R72)*0.46+SUM($D101:R101)*1+SUM($D122:R122)*1+SUM($D150:R150)*0.085+SUM($D165:R165)*1.15</f>
        <v>30.545500000000025</v>
      </c>
      <c r="S179" s="23">
        <f>S14+SUM($D72:S72)*0.46+SUM($D101:S101)*1+SUM($D122:S122)*1+SUM($D150:S150)*0.085+SUM($D165:S165)*1.15</f>
        <v>30.545500000000025</v>
      </c>
      <c r="T179" s="23">
        <f>T14+SUM($D72:T72)*0.46+SUM($D101:T101)*1+SUM($D122:T122)*1+SUM($D150:T150)*0.085+SUM($D165:T165)*1.15</f>
        <v>30.545500000000025</v>
      </c>
      <c r="U179" s="23">
        <f>U14+SUM($D72:U72)*0.46+SUM($D101:U101)*1+SUM($D122:U122)*1+SUM($D150:U150)*0.085+SUM($D165:U165)*1.15</f>
        <v>30.545500000000025</v>
      </c>
      <c r="V179" s="23">
        <f>V14+SUM($D72:V72)*0.46+SUM($D101:V101)*1+SUM($D122:V122)*1+SUM($D150:V150)*0.085+SUM($D165:V165)*1.15</f>
        <v>30.545500000000025</v>
      </c>
      <c r="W179" s="23">
        <f>W14+SUM($D72:W72)*0.46+SUM($D101:W101)*1+SUM($D122:W122)*1+SUM($D150:W150)*0.085+SUM($D165:W165)*1.15</f>
        <v>30.545500000000025</v>
      </c>
      <c r="X179" s="23">
        <f>X14+SUM($D72:X72)*0.46+SUM($D101:X101)*1+SUM($D122:X122)*1+SUM($D150:X150)*0.085+SUM($D165:X165)*1.15</f>
        <v>30.545500000000025</v>
      </c>
      <c r="Y179" s="23">
        <f>Y14+SUM($D72:Y72)*0.46+SUM($D101:Y101)*1+SUM($D122:Y122)*1+SUM($D150:Y150)*0.085+SUM($D165:Y165)*1.15</f>
        <v>30.545500000000025</v>
      </c>
      <c r="Z179" s="23">
        <f>Z14+SUM($D72:Z72)*0.46+SUM($D101:Z101)*1+SUM($D122:Z122)*1+SUM($D150:Z150)*0.085+SUM($D165:Z165)*1.15</f>
        <v>30.545500000000025</v>
      </c>
      <c r="AA179" s="23">
        <f>AA14+SUM($D72:AA72)*0.46+SUM($D101:AA101)*1+SUM($D122:AA122)*1+SUM($D150:AA150)*0.085+SUM($D165:AA165)*1.15</f>
        <v>30.545500000000025</v>
      </c>
      <c r="AB179" s="23">
        <f>AB14+SUM($D72:AB72)*0.46+SUM($D101:AB101)*1+SUM($D122:AB122)*1+SUM($D150:AB150)*0.085+SUM($D165:AB165)*1.15</f>
        <v>30.545500000000025</v>
      </c>
      <c r="AC179" s="23">
        <f>AC14+SUM($D72:AC72)*0.46+SUM($D101:AC101)*1+SUM($D122:AC122)*1+SUM($D150:AC150)*0.085+SUM($D165:AC165)*1.15</f>
        <v>30.545500000000025</v>
      </c>
      <c r="AD179" s="23">
        <f>AD14+SUM($D72:AD72)*0.46+SUM($D101:AD101)*1+SUM($D122:AD122)*1+SUM($D150:AD150)*0.085+SUM($D165:AD165)*1.15</f>
        <v>30.545500000000025</v>
      </c>
      <c r="AE179" s="23">
        <f>AE14+SUM($D72:AE72)*0.46+SUM($D101:AE101)*1+SUM($D122:AE122)*1+SUM($D150:AE150)*0.085+SUM($D165:AE165)*1.15</f>
        <v>30.545500000000025</v>
      </c>
      <c r="AF179" s="23">
        <f>AF14+SUM($D72:AF72)*0.46+SUM($D101:AF101)*1+SUM($D122:AF122)*1+SUM($D150:AF150)*0.085+SUM($D165:AF165)*1.15</f>
        <v>30.545500000000025</v>
      </c>
      <c r="AG179" s="23">
        <f>AG14+SUM($D72:AG72)*0.46+SUM($D101:AG101)*1+SUM($D122:AG122)*1+SUM($D150:AG150)*0.085+SUM($D165:AG165)*1.15</f>
        <v>30.545500000000025</v>
      </c>
      <c r="AH179" s="24">
        <f t="shared" si="188"/>
        <v>910.1265000000011</v>
      </c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</row>
    <row r="180" spans="1:51" ht="14.4" outlineLevel="2" x14ac:dyDescent="0.3">
      <c r="A180" s="21" t="s">
        <v>21</v>
      </c>
      <c r="B180" s="22" t="s">
        <v>22</v>
      </c>
      <c r="C180" s="22" t="s">
        <v>14</v>
      </c>
      <c r="D180" s="23">
        <f>D15+SUM($D73:D73)*0.46+SUM($D102:D102)*1+SUM($D125:D125)*1+SUM($D152:D152)*0.085+SUM($D166:D166)*1.15</f>
        <v>1.7999999999999829</v>
      </c>
      <c r="E180" s="23">
        <f>E15+SUM($D73:E73)*0.46+SUM($D102:E102)*1+SUM($D125:E125)*1+SUM($D152:E152)*0.085+SUM($D166:E166)*1.15</f>
        <v>1.7999999999999829</v>
      </c>
      <c r="F180" s="23">
        <f>F15+SUM($D73:F73)*0.46+SUM($D102:F102)*1+SUM($D125:F125)*1+SUM($D152:F152)*0.085+SUM($D166:F166)*1.15</f>
        <v>1.7999999999999829</v>
      </c>
      <c r="G180" s="23">
        <f>G15+SUM($D73:G73)*0.46+SUM($D102:G102)*1+SUM($D125:G125)*1+SUM($D152:G152)*0.085+SUM($D166:G166)*1.15</f>
        <v>1.7999999999999829</v>
      </c>
      <c r="H180" s="23">
        <f>H15+SUM($D73:H73)*0.46+SUM($D102:H102)*1+SUM($D125:H125)*1+SUM($D152:H152)*0.085+SUM($D166:H166)*1.15</f>
        <v>1.7999999999999829</v>
      </c>
      <c r="I180" s="23">
        <f>I15+SUM($D73:I73)*0.46+SUM($D102:I102)*1+SUM($D125:I125)*1+SUM($D152:I152)*0.085+SUM($D166:I166)*1.15</f>
        <v>1.7999999999999829</v>
      </c>
      <c r="J180" s="23">
        <f>J15+SUM($D73:J73)*0.46+SUM($D102:J102)*1+SUM($D125:J125)*1+SUM($D152:J152)*0.085+SUM($D166:J166)*1.15</f>
        <v>1.7999999999999829</v>
      </c>
      <c r="K180" s="23">
        <f>K15+SUM($D73:K73)*0.46+SUM($D102:K102)*1+SUM($D125:K125)*1+SUM($D152:K152)*0.085+SUM($D166:K166)*1.15</f>
        <v>1.7999999999999829</v>
      </c>
      <c r="L180" s="23">
        <f>L15+SUM($D73:L73)*0.46+SUM($D102:L102)*1+SUM($D125:L125)*1+SUM($D152:L152)*0.085+SUM($D166:L166)*1.15</f>
        <v>1.7999999999999829</v>
      </c>
      <c r="M180" s="23">
        <f>M15+SUM($D73:M73)*0.46+SUM($D102:M102)*1+SUM($D125:M125)*1+SUM($D152:M152)*0.085+SUM($D166:M166)*1.15</f>
        <v>1.7999999999999829</v>
      </c>
      <c r="N180" s="23">
        <f>N15+SUM($D73:N73)*0.46+SUM($D102:N102)*1+SUM($D125:N125)*1+SUM($D152:N152)*0.085+SUM($D166:N166)*1.15</f>
        <v>1.7999999999999829</v>
      </c>
      <c r="O180" s="23">
        <f>O15+SUM($D73:O73)*0.46+SUM($D102:O102)*1+SUM($D125:O125)*1+SUM($D152:O152)*0.085+SUM($D166:O166)*1.15</f>
        <v>1.7999999999999829</v>
      </c>
      <c r="P180" s="23">
        <f>P15+SUM($D73:P73)*0.46+SUM($D102:P102)*1+SUM($D125:P125)*1+SUM($D152:P152)*0.085+SUM($D166:P166)*1.15</f>
        <v>1.7999999999999829</v>
      </c>
      <c r="Q180" s="23">
        <f>Q15+SUM($D73:Q73)*0.46+SUM($D102:Q102)*1+SUM($D125:Q125)*1+SUM($D152:Q152)*0.085+SUM($D166:Q166)*1.15</f>
        <v>1.7999999999999829</v>
      </c>
      <c r="R180" s="23">
        <f>R15+SUM($D73:R73)*0.46+SUM($D102:R102)*1+SUM($D125:R125)*1+SUM($D152:R152)*0.085+SUM($D166:R166)*1.15</f>
        <v>1.7999999999999829</v>
      </c>
      <c r="S180" s="23">
        <f>S15+SUM($D73:S73)*0.46+SUM($D102:S102)*1+SUM($D125:S125)*1+SUM($D152:S152)*0.085+SUM($D166:S166)*1.15</f>
        <v>1.7999999999999829</v>
      </c>
      <c r="T180" s="23">
        <f>T15+SUM($D73:T73)*0.46+SUM($D102:T102)*1+SUM($D125:T125)*1+SUM($D152:T152)*0.085+SUM($D166:T166)*1.15</f>
        <v>1.7999999999999829</v>
      </c>
      <c r="U180" s="23">
        <f>U15+SUM($D73:U73)*0.46+SUM($D102:U102)*1+SUM($D125:U125)*1+SUM($D152:U152)*0.085+SUM($D166:U166)*1.15</f>
        <v>1.7999999999999829</v>
      </c>
      <c r="V180" s="23">
        <f>V15+SUM($D73:V73)*0.46+SUM($D102:V102)*1+SUM($D125:V125)*1+SUM($D152:V152)*0.085+SUM($D166:V166)*1.15</f>
        <v>1.7999999999999829</v>
      </c>
      <c r="W180" s="23">
        <f>W15+SUM($D73:W73)*0.46+SUM($D102:W102)*1+SUM($D125:W125)*1+SUM($D152:W152)*0.085+SUM($D166:W166)*1.15</f>
        <v>1.7999999999999829</v>
      </c>
      <c r="X180" s="23">
        <f>X15+SUM($D73:X73)*0.46+SUM($D102:X102)*1+SUM($D125:X125)*1+SUM($D152:X152)*0.085+SUM($D166:X166)*1.15</f>
        <v>1.7999999999999829</v>
      </c>
      <c r="Y180" s="23">
        <f>Y15+SUM($D73:Y73)*0.46+SUM($D102:Y102)*1+SUM($D125:Y125)*1+SUM($D152:Y152)*0.085+SUM($D166:Y166)*1.15</f>
        <v>1.7999999999999829</v>
      </c>
      <c r="Z180" s="23">
        <f>Z15+SUM($D73:Z73)*0.46+SUM($D102:Z102)*1+SUM($D125:Z125)*1+SUM($D152:Z152)*0.085+SUM($D166:Z166)*1.15</f>
        <v>1.7999999999999829</v>
      </c>
      <c r="AA180" s="23">
        <f>AA15+SUM($D73:AA73)*0.46+SUM($D102:AA102)*1+SUM($D125:AA125)*1+SUM($D152:AA152)*0.085+SUM($D166:AA166)*1.15</f>
        <v>1.7999999999999829</v>
      </c>
      <c r="AB180" s="23">
        <f>AB15+SUM($D73:AB73)*0.46+SUM($D102:AB102)*1+SUM($D125:AB125)*1+SUM($D152:AB152)*0.085+SUM($D166:AB166)*1.15</f>
        <v>1.7999999999999829</v>
      </c>
      <c r="AC180" s="23">
        <f>AC15+SUM($D73:AC73)*0.46+SUM($D102:AC102)*1+SUM($D125:AC125)*1+SUM($D152:AC152)*0.085+SUM($D166:AC166)*1.15</f>
        <v>1.7999999999999829</v>
      </c>
      <c r="AD180" s="23">
        <f>AD15+SUM($D73:AD73)*0.46+SUM($D102:AD102)*1+SUM($D125:AD125)*1+SUM($D152:AD152)*0.085+SUM($D166:AD166)*1.15</f>
        <v>1.7999999999999829</v>
      </c>
      <c r="AE180" s="23">
        <f>AE15+SUM($D73:AE73)*0.46+SUM($D102:AE102)*1+SUM($D125:AE125)*1+SUM($D152:AE152)*0.085+SUM($D166:AE166)*1.15</f>
        <v>1.7999999999999829</v>
      </c>
      <c r="AF180" s="23">
        <f>AF15+SUM($D73:AF73)*0.46+SUM($D102:AF102)*1+SUM($D125:AF125)*1+SUM($D152:AF152)*0.085+SUM($D166:AF166)*1.15</f>
        <v>1.7999999999999829</v>
      </c>
      <c r="AG180" s="23">
        <f>AG15+SUM($D73:AG73)*0.46+SUM($D102:AG102)*1+SUM($D125:AG125)*1+SUM($D152:AG152)*0.085+SUM($D166:AG166)*1.15</f>
        <v>1.7999999999999829</v>
      </c>
      <c r="AH180" s="24">
        <f t="shared" si="188"/>
        <v>53.999999999999488</v>
      </c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</row>
    <row r="181" spans="1:51" ht="14.4" outlineLevel="2" x14ac:dyDescent="0.3">
      <c r="A181" s="21" t="s">
        <v>23</v>
      </c>
      <c r="B181" s="22" t="s">
        <v>24</v>
      </c>
      <c r="C181" s="22" t="s">
        <v>14</v>
      </c>
      <c r="D181" s="23">
        <f>D16+SUM($D74:D74)*0.46+SUM($D103:D103)*1+SUM($D126:D126)*1+SUM($D153:D153)*0.085+SUM($D167:D167)*1.15</f>
        <v>34.800000000000011</v>
      </c>
      <c r="E181" s="23">
        <f>E16+SUM($D74:E74)*0.46+SUM($D103:E103)*1+SUM($D126:E126)*1+SUM($D153:E153)*0.085+SUM($D167:E167)*1.15</f>
        <v>34.800000000000011</v>
      </c>
      <c r="F181" s="23">
        <f>F16+SUM($D74:F74)*0.46+SUM($D103:F103)*1+SUM($D126:F126)*1+SUM($D153:F153)*0.085+SUM($D167:F167)*1.15</f>
        <v>34.800000000000011</v>
      </c>
      <c r="G181" s="23">
        <f>G16+SUM($D74:G74)*0.46+SUM($D103:G103)*1+SUM($D126:G126)*1+SUM($D153:G153)*0.085+SUM($D167:G167)*1.15</f>
        <v>34.800000000000011</v>
      </c>
      <c r="H181" s="23">
        <f>H16+SUM($D74:H74)*0.46+SUM($D103:H103)*1+SUM($D126:H126)*1+SUM($D153:H153)*0.085+SUM($D167:H167)*1.15</f>
        <v>34.800000000000011</v>
      </c>
      <c r="I181" s="23">
        <f>I16+SUM($D74:I74)*0.46+SUM($D103:I103)*1+SUM($D126:I126)*1+SUM($D153:I153)*0.085+SUM($D167:I167)*1.15</f>
        <v>34.800000000000011</v>
      </c>
      <c r="J181" s="23">
        <f>J16+SUM($D74:J74)*0.46+SUM($D103:J103)*1+SUM($D126:J126)*1+SUM($D153:J153)*0.085+SUM($D167:J167)*1.15</f>
        <v>34.800000000000011</v>
      </c>
      <c r="K181" s="23">
        <f>K16+SUM($D74:K74)*0.46+SUM($D103:K103)*1+SUM($D126:K126)*1+SUM($D153:K153)*0.085+SUM($D167:K167)*1.15</f>
        <v>34.800000000000011</v>
      </c>
      <c r="L181" s="23">
        <f>L16+SUM($D74:L74)*0.46+SUM($D103:L103)*1+SUM($D126:L126)*1+SUM($D153:L153)*0.085+SUM($D167:L167)*1.15</f>
        <v>35.070000000000014</v>
      </c>
      <c r="M181" s="23">
        <f>M16+SUM($D74:M74)*0.46+SUM($D103:M103)*1+SUM($D126:M126)*1+SUM($D153:M153)*0.085+SUM($D167:M167)*1.15</f>
        <v>35.070000000000014</v>
      </c>
      <c r="N181" s="23">
        <f>N16+SUM($D74:N74)*0.46+SUM($D103:N103)*1+SUM($D126:N126)*1+SUM($D153:N153)*0.085+SUM($D167:N167)*1.15</f>
        <v>35.070000000000014</v>
      </c>
      <c r="O181" s="23">
        <f>O16+SUM($D74:O74)*0.46+SUM($D103:O103)*1+SUM($D126:O126)*1+SUM($D153:O153)*0.085+SUM($D167:O167)*1.15</f>
        <v>35.070000000000014</v>
      </c>
      <c r="P181" s="23">
        <f>P16+SUM($D74:P74)*0.46+SUM($D103:P103)*1+SUM($D126:P126)*1+SUM($D153:P153)*0.085+SUM($D167:P167)*1.15</f>
        <v>35.070000000000014</v>
      </c>
      <c r="Q181" s="23">
        <f>Q16+SUM($D74:Q74)*0.46+SUM($D103:Q103)*1+SUM($D126:Q126)*1+SUM($D153:Q153)*0.085+SUM($D167:Q167)*1.15</f>
        <v>35.070000000000014</v>
      </c>
      <c r="R181" s="23">
        <f>R16+SUM($D74:R74)*0.46+SUM($D103:R103)*1+SUM($D126:R126)*1+SUM($D153:R153)*0.085+SUM($D167:R167)*1.15</f>
        <v>35.070000000000014</v>
      </c>
      <c r="S181" s="23">
        <f>S16+SUM($D74:S74)*0.46+SUM($D103:S103)*1+SUM($D126:S126)*1+SUM($D153:S153)*0.085+SUM($D167:S167)*1.15</f>
        <v>35.070000000000014</v>
      </c>
      <c r="T181" s="23">
        <f>T16+SUM($D74:T74)*0.46+SUM($D103:T103)*1+SUM($D126:T126)*1+SUM($D153:T153)*0.085+SUM($D167:T167)*1.15</f>
        <v>35.070000000000014</v>
      </c>
      <c r="U181" s="23">
        <f>U16+SUM($D74:U74)*0.46+SUM($D103:U103)*1+SUM($D126:U126)*1+SUM($D153:U153)*0.085+SUM($D167:U167)*1.15</f>
        <v>35.070000000000014</v>
      </c>
      <c r="V181" s="23">
        <f>V16+SUM($D74:V74)*0.46+SUM($D103:V103)*1+SUM($D126:V126)*1+SUM($D153:V153)*0.085+SUM($D167:V167)*1.15</f>
        <v>35.070000000000014</v>
      </c>
      <c r="W181" s="23">
        <f>W16+SUM($D74:W74)*0.46+SUM($D103:W103)*1+SUM($D126:W126)*1+SUM($D153:W153)*0.085+SUM($D167:W167)*1.15</f>
        <v>35.070000000000014</v>
      </c>
      <c r="X181" s="23">
        <f>X16+SUM($D74:X74)*0.46+SUM($D103:X103)*1+SUM($D126:X126)*1+SUM($D153:X153)*0.085+SUM($D167:X167)*1.15</f>
        <v>35.070000000000014</v>
      </c>
      <c r="Y181" s="23">
        <f>Y16+SUM($D74:Y74)*0.46+SUM($D103:Y103)*1+SUM($D126:Y126)*1+SUM($D153:Y153)*0.085+SUM($D167:Y167)*1.15</f>
        <v>35.070000000000014</v>
      </c>
      <c r="Z181" s="23">
        <f>Z16+SUM($D74:Z74)*0.46+SUM($D103:Z103)*1+SUM($D126:Z126)*1+SUM($D153:Z153)*0.085+SUM($D167:Z167)*1.15</f>
        <v>35.070000000000014</v>
      </c>
      <c r="AA181" s="23">
        <f>AA16+SUM($D74:AA74)*0.46+SUM($D103:AA103)*1+SUM($D126:AA126)*1+SUM($D153:AA153)*0.085+SUM($D167:AA167)*1.15</f>
        <v>35.070000000000014</v>
      </c>
      <c r="AB181" s="23">
        <f>AB16+SUM($D74:AB74)*0.46+SUM($D103:AB103)*1+SUM($D126:AB126)*1+SUM($D153:AB153)*0.085+SUM($D167:AB167)*1.15</f>
        <v>35.070000000000014</v>
      </c>
      <c r="AC181" s="23">
        <f>AC16+SUM($D74:AC74)*0.46+SUM($D103:AC103)*1+SUM($D126:AC126)*1+SUM($D153:AC153)*0.085+SUM($D167:AC167)*1.15</f>
        <v>35.070000000000014</v>
      </c>
      <c r="AD181" s="23">
        <f>AD16+SUM($D74:AD74)*0.46+SUM($D103:AD103)*1+SUM($D126:AD126)*1+SUM($D153:AD153)*0.085+SUM($D167:AD167)*1.15</f>
        <v>35.070000000000014</v>
      </c>
      <c r="AE181" s="23">
        <f>AE16+SUM($D74:AE74)*0.46+SUM($D103:AE103)*1+SUM($D126:AE126)*1+SUM($D153:AE153)*0.085+SUM($D167:AE167)*1.15</f>
        <v>35.070000000000014</v>
      </c>
      <c r="AF181" s="23">
        <f>AF16+SUM($D74:AF74)*0.46+SUM($D103:AF103)*1+SUM($D126:AF126)*1+SUM($D153:AF153)*0.085+SUM($D167:AF167)*1.15</f>
        <v>35.070000000000014</v>
      </c>
      <c r="AG181" s="23">
        <f>AG16+SUM($D74:AG74)*0.46+SUM($D103:AG103)*1+SUM($D126:AG126)*1+SUM($D153:AG153)*0.085+SUM($D167:AG167)*1.15</f>
        <v>35.070000000000014</v>
      </c>
      <c r="AH181" s="24">
        <f t="shared" si="188"/>
        <v>1049.9400000000007</v>
      </c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</row>
    <row r="182" spans="1:51" ht="14.4" outlineLevel="2" x14ac:dyDescent="0.3">
      <c r="A182" s="21" t="s">
        <v>25</v>
      </c>
      <c r="B182" s="22" t="s">
        <v>26</v>
      </c>
      <c r="C182" s="22" t="s">
        <v>14</v>
      </c>
      <c r="D182" s="23">
        <f>D17+SUM($D75:D75)*0.46+SUM($D104:D104)*1+SUM($D128:D128)*1+SUM($D154:D154)*0.085+SUM($D168:D168)*1.15</f>
        <v>10.199999999999989</v>
      </c>
      <c r="E182" s="23">
        <f>E17+SUM($D75:E75)*0.46+SUM($D104:E104)*1+SUM($D128:E128)*1+SUM($D154:E154)*0.085+SUM($D168:E168)*1.15</f>
        <v>10.199999999999989</v>
      </c>
      <c r="F182" s="23">
        <f>F17+SUM($D75:F75)*0.46+SUM($D104:F104)*1+SUM($D128:F128)*1+SUM($D154:F154)*0.085+SUM($D168:F168)*1.15</f>
        <v>10.199999999999989</v>
      </c>
      <c r="G182" s="23">
        <f>G17+SUM($D75:G75)*0.46+SUM($D104:G104)*1+SUM($D128:G128)*1+SUM($D154:G154)*0.085+SUM($D168:G168)*1.15</f>
        <v>10.199999999999989</v>
      </c>
      <c r="H182" s="23">
        <f>H17+SUM($D75:H75)*0.46+SUM($D104:H104)*1+SUM($D128:H128)*1+SUM($D154:H154)*0.085+SUM($D168:H168)*1.15</f>
        <v>10.199999999999989</v>
      </c>
      <c r="I182" s="23">
        <f>I17+SUM($D75:I75)*0.46+SUM($D104:I104)*1+SUM($D128:I128)*1+SUM($D154:I154)*0.085+SUM($D168:I168)*1.15</f>
        <v>10.199999999999989</v>
      </c>
      <c r="J182" s="23">
        <f>J17+SUM($D75:J75)*0.46+SUM($D104:J104)*1+SUM($D128:J128)*1+SUM($D154:J154)*0.085+SUM($D168:J168)*1.15</f>
        <v>10.849999999999989</v>
      </c>
      <c r="K182" s="23">
        <f>K17+SUM($D75:K75)*0.46+SUM($D104:K104)*1+SUM($D128:K128)*1+SUM($D154:K154)*0.085+SUM($D168:K168)*1.15</f>
        <v>10.849999999999989</v>
      </c>
      <c r="L182" s="23">
        <f>L17+SUM($D75:L75)*0.46+SUM($D104:L104)*1+SUM($D128:L128)*1+SUM($D154:L154)*0.085+SUM($D168:L168)*1.15</f>
        <v>10.849999999999989</v>
      </c>
      <c r="M182" s="23">
        <f>M17+SUM($D75:M75)*0.46+SUM($D104:M104)*1+SUM($D128:M128)*1+SUM($D154:M154)*0.085+SUM($D168:M168)*1.15</f>
        <v>10.849999999999989</v>
      </c>
      <c r="N182" s="23">
        <f>N17+SUM($D75:N75)*0.46+SUM($D104:N104)*1+SUM($D128:N128)*1+SUM($D154:N154)*0.085+SUM($D168:N168)*1.15</f>
        <v>10.849999999999989</v>
      </c>
      <c r="O182" s="23">
        <f>O17+SUM($D75:O75)*0.46+SUM($D104:O104)*1+SUM($D128:O128)*1+SUM($D154:O154)*0.085+SUM($D168:O168)*1.15</f>
        <v>10.849999999999989</v>
      </c>
      <c r="P182" s="23">
        <f>P17+SUM($D75:P75)*0.46+SUM($D104:P104)*1+SUM($D128:P128)*1+SUM($D154:P154)*0.085+SUM($D168:P168)*1.15</f>
        <v>10.849999999999989</v>
      </c>
      <c r="Q182" s="23">
        <f>Q17+SUM($D75:Q75)*0.46+SUM($D104:Q104)*1+SUM($D128:Q128)*1+SUM($D154:Q154)*0.085+SUM($D168:Q168)*1.15</f>
        <v>10.849999999999989</v>
      </c>
      <c r="R182" s="23">
        <f>R17+SUM($D75:R75)*0.46+SUM($D104:R104)*1+SUM($D128:R128)*1+SUM($D154:R154)*0.085+SUM($D168:R168)*1.15</f>
        <v>10.849999999999989</v>
      </c>
      <c r="S182" s="23">
        <f>S17+SUM($D75:S75)*0.46+SUM($D104:S104)*1+SUM($D128:S128)*1+SUM($D154:S154)*0.085+SUM($D168:S168)*1.15</f>
        <v>10.849999999999989</v>
      </c>
      <c r="T182" s="23">
        <f>T17+SUM($D75:T75)*0.46+SUM($D104:T104)*1+SUM($D128:T128)*1+SUM($D154:T154)*0.085+SUM($D168:T168)*1.15</f>
        <v>10.849999999999989</v>
      </c>
      <c r="U182" s="23">
        <f>U17+SUM($D75:U75)*0.46+SUM($D104:U104)*1+SUM($D128:U128)*1+SUM($D154:U154)*0.085+SUM($D168:U168)*1.15</f>
        <v>10.849999999999989</v>
      </c>
      <c r="V182" s="23">
        <f>V17+SUM($D75:V75)*0.46+SUM($D104:V104)*1+SUM($D128:V128)*1+SUM($D154:V154)*0.085+SUM($D168:V168)*1.15</f>
        <v>10.849999999999989</v>
      </c>
      <c r="W182" s="23">
        <f>W17+SUM($D75:W75)*0.46+SUM($D104:W104)*1+SUM($D128:W128)*1+SUM($D154:W154)*0.085+SUM($D168:W168)*1.15</f>
        <v>10.849999999999989</v>
      </c>
      <c r="X182" s="23">
        <f>X17+SUM($D75:X75)*0.46+SUM($D104:X104)*1+SUM($D128:X128)*1+SUM($D154:X154)*0.085+SUM($D168:X168)*1.15</f>
        <v>10.849999999999989</v>
      </c>
      <c r="Y182" s="23">
        <f>Y17+SUM($D75:Y75)*0.46+SUM($D104:Y104)*1+SUM($D128:Y128)*1+SUM($D154:Y154)*0.085+SUM($D168:Y168)*1.15</f>
        <v>10.849999999999989</v>
      </c>
      <c r="Z182" s="23">
        <f>Z17+SUM($D75:Z75)*0.46+SUM($D104:Z104)*1+SUM($D128:Z128)*1+SUM($D154:Z154)*0.085+SUM($D168:Z168)*1.15</f>
        <v>10.849999999999989</v>
      </c>
      <c r="AA182" s="23">
        <f>AA17+SUM($D75:AA75)*0.46+SUM($D104:AA104)*1+SUM($D128:AA128)*1+SUM($D154:AA154)*0.085+SUM($D168:AA168)*1.15</f>
        <v>10.849999999999989</v>
      </c>
      <c r="AB182" s="23">
        <f>AB17+SUM($D75:AB75)*0.46+SUM($D104:AB104)*1+SUM($D128:AB128)*1+SUM($D154:AB154)*0.085+SUM($D168:AB168)*1.15</f>
        <v>10.849999999999989</v>
      </c>
      <c r="AC182" s="23">
        <f>AC17+SUM($D75:AC75)*0.46+SUM($D104:AC104)*1+SUM($D128:AC128)*1+SUM($D154:AC154)*0.085+SUM($D168:AC168)*1.15</f>
        <v>10.849999999999989</v>
      </c>
      <c r="AD182" s="23">
        <f>AD17+SUM($D75:AD75)*0.46+SUM($D104:AD104)*1+SUM($D128:AD128)*1+SUM($D154:AD154)*0.085+SUM($D168:AD168)*1.15</f>
        <v>10.849999999999989</v>
      </c>
      <c r="AE182" s="23">
        <f>AE17+SUM($D75:AE75)*0.46+SUM($D104:AE104)*1+SUM($D128:AE128)*1+SUM($D154:AE154)*0.085+SUM($D168:AE168)*1.15</f>
        <v>10.849999999999989</v>
      </c>
      <c r="AF182" s="23">
        <f>AF17+SUM($D75:AF75)*0.46+SUM($D104:AF104)*1+SUM($D128:AF128)*1+SUM($D154:AF154)*0.085+SUM($D168:AF168)*1.15</f>
        <v>10.849999999999989</v>
      </c>
      <c r="AG182" s="23">
        <f>AG17+SUM($D75:AG75)*0.46+SUM($D104:AG104)*1+SUM($D128:AG128)*1+SUM($D154:AG154)*0.085+SUM($D168:AG168)*1.15</f>
        <v>10.849999999999989</v>
      </c>
      <c r="AH182" s="24">
        <f t="shared" si="188"/>
        <v>321.59999999999962</v>
      </c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</row>
    <row r="183" spans="1:51" ht="14.4" outlineLevel="2" x14ac:dyDescent="0.3">
      <c r="A183" s="21" t="s">
        <v>27</v>
      </c>
      <c r="B183" s="22" t="s">
        <v>28</v>
      </c>
      <c r="C183" s="22" t="s">
        <v>14</v>
      </c>
      <c r="D183" s="23">
        <f>D18+SUM($D76:D76)*0.46+SUM($D105:D105)*1+SUM($D130:D130)*1+SUM($D155:D155)*0.085+SUM($D169:D169)*1.15</f>
        <v>1.8000000000000114</v>
      </c>
      <c r="E183" s="23">
        <f>E18+SUM($D76:E76)*0.46+SUM($D105:E105)*1+SUM($D130:E130)*1+SUM($D155:E155)*0.085+SUM($D169:E169)*1.15</f>
        <v>1.8000000000000114</v>
      </c>
      <c r="F183" s="23">
        <f>F18+SUM($D76:F76)*0.46+SUM($D105:F105)*1+SUM($D130:F130)*1+SUM($D155:F155)*0.085+SUM($D169:F169)*1.15</f>
        <v>1.8000000000000114</v>
      </c>
      <c r="G183" s="23">
        <f>G18+SUM($D76:G76)*0.46+SUM($D105:G105)*1+SUM($D130:G130)*1+SUM($D155:G155)*0.085+SUM($D169:G169)*1.15</f>
        <v>1.8000000000000114</v>
      </c>
      <c r="H183" s="23">
        <f>H18+SUM($D76:H76)*0.46+SUM($D105:H105)*1+SUM($D130:H130)*1+SUM($D155:H155)*0.085+SUM($D169:H169)*1.15</f>
        <v>1.8000000000000114</v>
      </c>
      <c r="I183" s="23">
        <f>I18+SUM($D76:I76)*0.46+SUM($D105:I105)*1+SUM($D130:I130)*1+SUM($D155:I155)*0.085+SUM($D169:I169)*1.15</f>
        <v>1.8000000000000114</v>
      </c>
      <c r="J183" s="23">
        <f>J18+SUM($D76:J76)*0.46+SUM($D105:J105)*1+SUM($D130:J130)*1+SUM($D155:J155)*0.085+SUM($D169:J169)*1.15</f>
        <v>1.8000000000000114</v>
      </c>
      <c r="K183" s="23">
        <f>K18+SUM($D76:K76)*0.46+SUM($D105:K105)*1+SUM($D130:K130)*1+SUM($D155:K155)*0.085+SUM($D169:K169)*1.15</f>
        <v>1.8000000000000114</v>
      </c>
      <c r="L183" s="23">
        <f>L18+SUM($D76:L76)*0.46+SUM($D105:L105)*1+SUM($D130:L130)*1+SUM($D155:L155)*0.085+SUM($D169:L169)*1.15</f>
        <v>1.8000000000000114</v>
      </c>
      <c r="M183" s="23">
        <f>M18+SUM($D76:M76)*0.46+SUM($D105:M105)*1+SUM($D130:M130)*1+SUM($D155:M155)*0.085+SUM($D169:M169)*1.15</f>
        <v>1.8000000000000114</v>
      </c>
      <c r="N183" s="23">
        <f>N18+SUM($D76:N76)*0.46+SUM($D105:N105)*1+SUM($D130:N130)*1+SUM($D155:N155)*0.085+SUM($D169:N169)*1.15</f>
        <v>1.8000000000000114</v>
      </c>
      <c r="O183" s="23">
        <f>O18+SUM($D76:O76)*0.46+SUM($D105:O105)*1+SUM($D130:O130)*1+SUM($D155:O155)*0.085+SUM($D169:O169)*1.15</f>
        <v>1.8000000000000114</v>
      </c>
      <c r="P183" s="23">
        <f>P18+SUM($D76:P76)*0.46+SUM($D105:P105)*1+SUM($D130:P130)*1+SUM($D155:P155)*0.085+SUM($D169:P169)*1.15</f>
        <v>1.8000000000000114</v>
      </c>
      <c r="Q183" s="23">
        <f>Q18+SUM($D76:Q76)*0.46+SUM($D105:Q105)*1+SUM($D130:Q130)*1+SUM($D155:Q155)*0.085+SUM($D169:Q169)*1.15</f>
        <v>1.8000000000000114</v>
      </c>
      <c r="R183" s="23">
        <f>R18+SUM($D76:R76)*0.46+SUM($D105:R105)*1+SUM($D130:R130)*1+SUM($D155:R155)*0.085+SUM($D169:R169)*1.15</f>
        <v>1.8000000000000114</v>
      </c>
      <c r="S183" s="23">
        <f>S18+SUM($D76:S76)*0.46+SUM($D105:S105)*1+SUM($D130:S130)*1+SUM($D155:S155)*0.085+SUM($D169:S169)*1.15</f>
        <v>1.8000000000000114</v>
      </c>
      <c r="T183" s="23">
        <f>T18+SUM($D76:T76)*0.46+SUM($D105:T105)*1+SUM($D130:T130)*1+SUM($D155:T155)*0.085+SUM($D169:T169)*1.15</f>
        <v>1.8000000000000114</v>
      </c>
      <c r="U183" s="23">
        <f>U18+SUM($D76:U76)*0.46+SUM($D105:U105)*1+SUM($D130:U130)*1+SUM($D155:U155)*0.085+SUM($D169:U169)*1.15</f>
        <v>1.8000000000000114</v>
      </c>
      <c r="V183" s="23">
        <f>V18+SUM($D76:V76)*0.46+SUM($D105:V105)*1+SUM($D130:V130)*1+SUM($D155:V155)*0.085+SUM($D169:V169)*1.15</f>
        <v>1.8000000000000114</v>
      </c>
      <c r="W183" s="23">
        <f>W18+SUM($D76:W76)*0.46+SUM($D105:W105)*1+SUM($D130:W130)*1+SUM($D155:W155)*0.085+SUM($D169:W169)*1.15</f>
        <v>1.8000000000000114</v>
      </c>
      <c r="X183" s="23">
        <f>X18+SUM($D76:X76)*0.46+SUM($D105:X105)*1+SUM($D130:X130)*1+SUM($D155:X155)*0.085+SUM($D169:X169)*1.15</f>
        <v>1.8000000000000114</v>
      </c>
      <c r="Y183" s="23">
        <f>Y18+SUM($D76:Y76)*0.46+SUM($D105:Y105)*1+SUM($D130:Y130)*1+SUM($D155:Y155)*0.085+SUM($D169:Y169)*1.15</f>
        <v>1.8000000000000114</v>
      </c>
      <c r="Z183" s="23">
        <f>Z18+SUM($D76:Z76)*0.46+SUM($D105:Z105)*1+SUM($D130:Z130)*1+SUM($D155:Z155)*0.085+SUM($D169:Z169)*1.15</f>
        <v>1.8000000000000114</v>
      </c>
      <c r="AA183" s="23">
        <f>AA18+SUM($D76:AA76)*0.46+SUM($D105:AA105)*1+SUM($D130:AA130)*1+SUM($D155:AA155)*0.085+SUM($D169:AA169)*1.15</f>
        <v>1.8000000000000114</v>
      </c>
      <c r="AB183" s="23">
        <f>AB18+SUM($D76:AB76)*0.46+SUM($D105:AB105)*1+SUM($D130:AB130)*1+SUM($D155:AB155)*0.085+SUM($D169:AB169)*1.15</f>
        <v>1.8000000000000114</v>
      </c>
      <c r="AC183" s="23">
        <f>AC18+SUM($D76:AC76)*0.46+SUM($D105:AC105)*1+SUM($D130:AC130)*1+SUM($D155:AC155)*0.085+SUM($D169:AC169)*1.15</f>
        <v>1.8000000000000114</v>
      </c>
      <c r="AD183" s="23">
        <f>AD18+SUM($D76:AD76)*0.46+SUM($D105:AD105)*1+SUM($D130:AD130)*1+SUM($D155:AD155)*0.085+SUM($D169:AD169)*1.15</f>
        <v>1.8000000000000114</v>
      </c>
      <c r="AE183" s="23">
        <f>AE18+SUM($D76:AE76)*0.46+SUM($D105:AE105)*1+SUM($D130:AE130)*1+SUM($D155:AE155)*0.085+SUM($D169:AE169)*1.15</f>
        <v>1.8000000000000114</v>
      </c>
      <c r="AF183" s="23">
        <f>AF18+SUM($D76:AF76)*0.46+SUM($D105:AF105)*1+SUM($D130:AF130)*1+SUM($D155:AF155)*0.085+SUM($D169:AF169)*1.15</f>
        <v>1.8000000000000114</v>
      </c>
      <c r="AG183" s="23">
        <f>AG18+SUM($D76:AG76)*0.46+SUM($D105:AG105)*1+SUM($D130:AG130)*1+SUM($D155:AG155)*0.085+SUM($D169:AG169)*1.15</f>
        <v>1.8000000000000114</v>
      </c>
      <c r="AH183" s="24">
        <f t="shared" si="188"/>
        <v>54.000000000000341</v>
      </c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</row>
    <row r="184" spans="1:51" ht="14.4" outlineLevel="2" x14ac:dyDescent="0.3">
      <c r="A184" s="21" t="s">
        <v>29</v>
      </c>
      <c r="B184" s="22" t="s">
        <v>30</v>
      </c>
      <c r="C184" s="22" t="s">
        <v>14</v>
      </c>
      <c r="D184" s="23">
        <f>D19+SUM($D77:D77)*0.46+SUM($D106:D106)*1+SUM($D131:D131)*1+SUM($D156:D156)*0.085+SUM($D170:D170)*1.15</f>
        <v>80.200000000000017</v>
      </c>
      <c r="E184" s="23">
        <f>E19+SUM($D77:E77)*0.46+SUM($D106:E106)*1+SUM($D131:E131)*1+SUM($D156:E156)*0.085+SUM($D170:E170)*1.15</f>
        <v>80.200000000000017</v>
      </c>
      <c r="F184" s="23">
        <f>F19+SUM($D77:F77)*0.46+SUM($D106:F106)*1+SUM($D131:F131)*1+SUM($D156:F156)*0.085+SUM($D170:F170)*1.15</f>
        <v>80.200000000000017</v>
      </c>
      <c r="G184" s="23">
        <f>G19+SUM($D77:G77)*0.46+SUM($D106:G106)*1+SUM($D131:G131)*1+SUM($D156:G156)*0.085+SUM($D170:G170)*1.15</f>
        <v>80.200000000000017</v>
      </c>
      <c r="H184" s="23">
        <f>H19+SUM($D77:H77)*0.46+SUM($D106:H106)*1+SUM($D131:H131)*1+SUM($D156:H156)*0.085+SUM($D170:H170)*1.15</f>
        <v>80.200000000000017</v>
      </c>
      <c r="I184" s="23">
        <f>I19+SUM($D77:I77)*0.46+SUM($D106:I106)*1+SUM($D131:I131)*1+SUM($D156:I156)*0.085+SUM($D170:I170)*1.15</f>
        <v>80.200000000000017</v>
      </c>
      <c r="J184" s="23">
        <f>J19+SUM($D77:J77)*0.46+SUM($D106:J106)*1+SUM($D131:J131)*1+SUM($D156:J156)*0.085+SUM($D170:J170)*1.15</f>
        <v>80.200000000000017</v>
      </c>
      <c r="K184" s="23">
        <f>K19+SUM($D77:K77)*0.46+SUM($D106:K106)*1+SUM($D131:K131)*1+SUM($D156:K156)*0.085+SUM($D170:K170)*1.15</f>
        <v>81.500000000000014</v>
      </c>
      <c r="L184" s="23">
        <f>L19+SUM($D77:L77)*0.46+SUM($D106:L106)*1+SUM($D131:L131)*1+SUM($D156:L156)*0.085+SUM($D170:L170)*1.15</f>
        <v>82.800000000000011</v>
      </c>
      <c r="M184" s="23">
        <f>M19+SUM($D77:M77)*0.46+SUM($D106:M106)*1+SUM($D131:M131)*1+SUM($D156:M156)*0.085+SUM($D170:M170)*1.15</f>
        <v>82.800000000000011</v>
      </c>
      <c r="N184" s="23">
        <f>N19+SUM($D77:N77)*0.46+SUM($D106:N106)*1+SUM($D131:N131)*1+SUM($D156:N156)*0.085+SUM($D170:N170)*1.15</f>
        <v>82.800000000000011</v>
      </c>
      <c r="O184" s="23">
        <f>O19+SUM($D77:O77)*0.46+SUM($D106:O106)*1+SUM($D131:O131)*1+SUM($D156:O156)*0.085+SUM($D170:O170)*1.15</f>
        <v>82.800000000000011</v>
      </c>
      <c r="P184" s="23">
        <f>P19+SUM($D77:P77)*0.46+SUM($D106:P106)*1+SUM($D131:P131)*1+SUM($D156:P156)*0.085+SUM($D170:P170)*1.15</f>
        <v>82.800000000000011</v>
      </c>
      <c r="Q184" s="23">
        <f>Q19+SUM($D77:Q77)*0.46+SUM($D106:Q106)*1+SUM($D131:Q131)*1+SUM($D156:Q156)*0.085+SUM($D170:Q170)*1.15</f>
        <v>82.800000000000011</v>
      </c>
      <c r="R184" s="23">
        <f>R19+SUM($D77:R77)*0.46+SUM($D106:R106)*1+SUM($D131:R131)*1+SUM($D156:R156)*0.085+SUM($D170:R170)*1.15</f>
        <v>82.800000000000011</v>
      </c>
      <c r="S184" s="23">
        <f>S19+SUM($D77:S77)*0.46+SUM($D106:S106)*1+SUM($D131:S131)*1+SUM($D156:S156)*0.085+SUM($D170:S170)*1.15</f>
        <v>82.800000000000011</v>
      </c>
      <c r="T184" s="23">
        <f>T19+SUM($D77:T77)*0.46+SUM($D106:T106)*1+SUM($D131:T131)*1+SUM($D156:T156)*0.085+SUM($D170:T170)*1.15</f>
        <v>82.800000000000011</v>
      </c>
      <c r="U184" s="23">
        <f>U19+SUM($D77:U77)*0.46+SUM($D106:U106)*1+SUM($D131:U131)*1+SUM($D156:U156)*0.085+SUM($D170:U170)*1.15</f>
        <v>82.800000000000011</v>
      </c>
      <c r="V184" s="23">
        <f>V19+SUM($D77:V77)*0.46+SUM($D106:V106)*1+SUM($D131:V131)*1+SUM($D156:V156)*0.085+SUM($D170:V170)*1.15</f>
        <v>82.800000000000011</v>
      </c>
      <c r="W184" s="23">
        <f>W19+SUM($D77:W77)*0.46+SUM($D106:W106)*1+SUM($D131:W131)*1+SUM($D156:W156)*0.085+SUM($D170:W170)*1.15</f>
        <v>82.800000000000011</v>
      </c>
      <c r="X184" s="23">
        <f>X19+SUM($D77:X77)*0.46+SUM($D106:X106)*1+SUM($D131:X131)*1+SUM($D156:X156)*0.085+SUM($D170:X170)*1.15</f>
        <v>82.800000000000011</v>
      </c>
      <c r="Y184" s="23">
        <f>Y19+SUM($D77:Y77)*0.46+SUM($D106:Y106)*1+SUM($D131:Y131)*1+SUM($D156:Y156)*0.085+SUM($D170:Y170)*1.15</f>
        <v>82.800000000000011</v>
      </c>
      <c r="Z184" s="23">
        <f>Z19+SUM($D77:Z77)*0.46+SUM($D106:Z106)*1+SUM($D131:Z131)*1+SUM($D156:Z156)*0.085+SUM($D170:Z170)*1.15</f>
        <v>82.800000000000011</v>
      </c>
      <c r="AA184" s="23">
        <f>AA19+SUM($D77:AA77)*0.46+SUM($D106:AA106)*1+SUM($D131:AA131)*1+SUM($D156:AA156)*0.085+SUM($D170:AA170)*1.15</f>
        <v>82.800000000000011</v>
      </c>
      <c r="AB184" s="23">
        <f>AB19+SUM($D77:AB77)*0.46+SUM($D106:AB106)*1+SUM($D131:AB131)*1+SUM($D156:AB156)*0.085+SUM($D170:AB170)*1.15</f>
        <v>82.800000000000011</v>
      </c>
      <c r="AC184" s="23">
        <f>AC19+SUM($D77:AC77)*0.46+SUM($D106:AC106)*1+SUM($D131:AC131)*1+SUM($D156:AC156)*0.085+SUM($D170:AC170)*1.15</f>
        <v>82.800000000000011</v>
      </c>
      <c r="AD184" s="23">
        <f>AD19+SUM($D77:AD77)*0.46+SUM($D106:AD106)*1+SUM($D131:AD131)*1+SUM($D156:AD156)*0.085+SUM($D170:AD170)*1.15</f>
        <v>82.800000000000011</v>
      </c>
      <c r="AE184" s="23">
        <f>AE19+SUM($D77:AE77)*0.46+SUM($D106:AE106)*1+SUM($D131:AE131)*1+SUM($D156:AE156)*0.085+SUM($D170:AE170)*1.15</f>
        <v>82.800000000000011</v>
      </c>
      <c r="AF184" s="23">
        <f>AF19+SUM($D77:AF77)*0.46+SUM($D106:AF106)*1+SUM($D131:AF131)*1+SUM($D156:AF156)*0.085+SUM($D170:AF170)*1.15</f>
        <v>82.800000000000011</v>
      </c>
      <c r="AG184" s="23">
        <f>AG19+SUM($D77:AG77)*0.46+SUM($D106:AG106)*1+SUM($D131:AG131)*1+SUM($D156:AG156)*0.085+SUM($D170:AG170)*1.15</f>
        <v>82.800000000000011</v>
      </c>
      <c r="AH184" s="24">
        <f t="shared" si="188"/>
        <v>2464.5000000000005</v>
      </c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</row>
    <row r="185" spans="1:51" ht="14.4" outlineLevel="2" x14ac:dyDescent="0.3">
      <c r="A185" s="21" t="s">
        <v>31</v>
      </c>
      <c r="B185" s="22" t="s">
        <v>32</v>
      </c>
      <c r="C185" s="22" t="s">
        <v>14</v>
      </c>
      <c r="D185" s="23">
        <f>D20+SUM($D78:D78)*0.46+SUM($D107:D107)*1+SUM($D136:D136)*1+SUM($D157:D157)*0.085+SUM($D171:D171)*1.15</f>
        <v>53</v>
      </c>
      <c r="E185" s="23">
        <f>E20+SUM($D78:E78)*0.46+SUM($D107:E107)*1+SUM($D136:E136)*1+SUM($D157:E157)*0.085+SUM($D171:E171)*1.15</f>
        <v>53</v>
      </c>
      <c r="F185" s="23">
        <f>F20+SUM($D78:F78)*0.46+SUM($D107:F107)*1+SUM($D136:F136)*1+SUM($D157:F157)*0.085+SUM($D171:F171)*1.15</f>
        <v>53</v>
      </c>
      <c r="G185" s="23">
        <f>G20+SUM($D78:G78)*0.46+SUM($D107:G107)*1+SUM($D136:G136)*1+SUM($D157:G157)*0.085+SUM($D171:G171)*1.15</f>
        <v>53</v>
      </c>
      <c r="H185" s="23">
        <f>H20+SUM($D78:H78)*0.46+SUM($D107:H107)*1+SUM($D136:H136)*1+SUM($D157:H157)*0.085+SUM($D171:H171)*1.15</f>
        <v>53</v>
      </c>
      <c r="I185" s="23">
        <f>I20+SUM($D78:I78)*0.46+SUM($D107:I107)*1+SUM($D136:I136)*1+SUM($D157:I157)*0.085+SUM($D171:I171)*1.15</f>
        <v>53</v>
      </c>
      <c r="J185" s="23">
        <f>J20+SUM($D78:J78)*0.46+SUM($D107:J107)*1+SUM($D136:J136)*1+SUM($D157:J157)*0.085+SUM($D171:J171)*1.15</f>
        <v>53</v>
      </c>
      <c r="K185" s="23">
        <f>K20+SUM($D78:K78)*0.46+SUM($D107:K107)*1+SUM($D136:K136)*1+SUM($D157:K157)*0.085+SUM($D171:K171)*1.15</f>
        <v>53</v>
      </c>
      <c r="L185" s="23">
        <f>L20+SUM($D78:L78)*0.46+SUM($D107:L107)*1+SUM($D136:L136)*1+SUM($D157:L157)*0.085+SUM($D171:L171)*1.15</f>
        <v>53</v>
      </c>
      <c r="M185" s="23">
        <f>M20+SUM($D78:M78)*0.46+SUM($D107:M107)*1+SUM($D136:M136)*1+SUM($D157:M157)*0.085+SUM($D171:M171)*1.15</f>
        <v>54.975500000000004</v>
      </c>
      <c r="N185" s="23">
        <f>N20+SUM($D78:N78)*0.46+SUM($D107:N107)*1+SUM($D136:N136)*1+SUM($D157:N157)*0.085+SUM($D171:N171)*1.15</f>
        <v>54.975500000000004</v>
      </c>
      <c r="O185" s="23">
        <f>O20+SUM($D78:O78)*0.46+SUM($D107:O107)*1+SUM($D136:O136)*1+SUM($D157:O157)*0.085+SUM($D171:O171)*1.15</f>
        <v>54.975500000000004</v>
      </c>
      <c r="P185" s="23">
        <f>P20+SUM($D78:P78)*0.46+SUM($D107:P107)*1+SUM($D136:P136)*1+SUM($D157:P157)*0.085+SUM($D171:P171)*1.15</f>
        <v>54.975500000000004</v>
      </c>
      <c r="Q185" s="23">
        <f>Q20+SUM($D78:Q78)*0.46+SUM($D107:Q107)*1+SUM($D136:Q136)*1+SUM($D157:Q157)*0.085+SUM($D171:Q171)*1.15</f>
        <v>54.975500000000004</v>
      </c>
      <c r="R185" s="23">
        <f>R20+SUM($D78:R78)*0.46+SUM($D107:R107)*1+SUM($D136:R136)*1+SUM($D157:R157)*0.085+SUM($D171:R171)*1.15</f>
        <v>54.975500000000004</v>
      </c>
      <c r="S185" s="23">
        <f>S20+SUM($D78:S78)*0.46+SUM($D107:S107)*1+SUM($D136:S136)*1+SUM($D157:S157)*0.085+SUM($D171:S171)*1.15</f>
        <v>54.975500000000004</v>
      </c>
      <c r="T185" s="23">
        <f>T20+SUM($D78:T78)*0.46+SUM($D107:T107)*1+SUM($D136:T136)*1+SUM($D157:T157)*0.085+SUM($D171:T171)*1.15</f>
        <v>54.975500000000004</v>
      </c>
      <c r="U185" s="23">
        <f>U20+SUM($D78:U78)*0.46+SUM($D107:U107)*1+SUM($D136:U136)*1+SUM($D157:U157)*0.085+SUM($D171:U171)*1.15</f>
        <v>54.975500000000004</v>
      </c>
      <c r="V185" s="23">
        <f>V20+SUM($D78:V78)*0.46+SUM($D107:V107)*1+SUM($D136:V136)*1+SUM($D157:V157)*0.085+SUM($D171:V171)*1.15</f>
        <v>54.975500000000004</v>
      </c>
      <c r="W185" s="23">
        <f>W20+SUM($D78:W78)*0.46+SUM($D107:W107)*1+SUM($D136:W136)*1+SUM($D157:W157)*0.085+SUM($D171:W171)*1.15</f>
        <v>54.975500000000004</v>
      </c>
      <c r="X185" s="23">
        <f>X20+SUM($D78:X78)*0.46+SUM($D107:X107)*1+SUM($D136:X136)*1+SUM($D157:X157)*0.085+SUM($D171:X171)*1.15</f>
        <v>54.975500000000004</v>
      </c>
      <c r="Y185" s="23">
        <f>Y20+SUM($D78:Y78)*0.46+SUM($D107:Y107)*1+SUM($D136:Y136)*1+SUM($D157:Y157)*0.085+SUM($D171:Y171)*1.15</f>
        <v>54.975500000000004</v>
      </c>
      <c r="Z185" s="23">
        <f>Z20+SUM($D78:Z78)*0.46+SUM($D107:Z107)*1+SUM($D136:Z136)*1+SUM($D157:Z157)*0.085+SUM($D171:Z171)*1.15</f>
        <v>54.975500000000004</v>
      </c>
      <c r="AA185" s="23">
        <f>AA20+SUM($D78:AA78)*0.46+SUM($D107:AA107)*1+SUM($D136:AA136)*1+SUM($D157:AA157)*0.085+SUM($D171:AA171)*1.15</f>
        <v>54.975500000000004</v>
      </c>
      <c r="AB185" s="23">
        <f>AB20+SUM($D78:AB78)*0.46+SUM($D107:AB107)*1+SUM($D136:AB136)*1+SUM($D157:AB157)*0.085+SUM($D171:AB171)*1.15</f>
        <v>54.975500000000004</v>
      </c>
      <c r="AC185" s="23">
        <f>AC20+SUM($D78:AC78)*0.46+SUM($D107:AC107)*1+SUM($D136:AC136)*1+SUM($D157:AC157)*0.085+SUM($D171:AC171)*1.15</f>
        <v>54.975500000000004</v>
      </c>
      <c r="AD185" s="23">
        <f>AD20+SUM($D78:AD78)*0.46+SUM($D107:AD107)*1+SUM($D136:AD136)*1+SUM($D157:AD157)*0.085+SUM($D171:AD171)*1.15</f>
        <v>54.975500000000004</v>
      </c>
      <c r="AE185" s="23">
        <f>AE20+SUM($D78:AE78)*0.46+SUM($D107:AE107)*1+SUM($D136:AE136)*1+SUM($D157:AE157)*0.085+SUM($D171:AE171)*1.15</f>
        <v>54.975500000000004</v>
      </c>
      <c r="AF185" s="23">
        <f>AF20+SUM($D78:AF78)*0.46+SUM($D107:AF107)*1+SUM($D136:AF136)*1+SUM($D157:AF157)*0.085+SUM($D171:AF171)*1.15</f>
        <v>54.975500000000004</v>
      </c>
      <c r="AG185" s="23">
        <f>AG20+SUM($D78:AG78)*0.46+SUM($D107:AG107)*1+SUM($D136:AG136)*1+SUM($D157:AG157)*0.085+SUM($D171:AG171)*1.15</f>
        <v>54.975500000000004</v>
      </c>
      <c r="AH185" s="24">
        <f t="shared" si="188"/>
        <v>1631.4855000000002</v>
      </c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</row>
    <row r="186" spans="1:51" ht="14.4" outlineLevel="2" x14ac:dyDescent="0.3">
      <c r="A186" s="21" t="s">
        <v>33</v>
      </c>
      <c r="B186" s="22" t="s">
        <v>34</v>
      </c>
      <c r="C186" s="22" t="s">
        <v>14</v>
      </c>
      <c r="D186" s="23">
        <f>D21+SUM($D79:D79)*0.46+SUM($D108:D108)*1+SUM($D140:D140)*1+SUM($D159:D159)*0.085+SUM($D172:D172)*1.15</f>
        <v>16.399999999999977</v>
      </c>
      <c r="E186" s="23">
        <f>E21+SUM($D79:E79)*0.46+SUM($D108:E108)*1+SUM($D140:E140)*1+SUM($D159:E159)*0.085+SUM($D172:E172)*1.15</f>
        <v>16.399999999999977</v>
      </c>
      <c r="F186" s="23">
        <f>F21+SUM($D79:F79)*0.46+SUM($D108:F108)*1+SUM($D140:F140)*1+SUM($D159:F159)*0.085+SUM($D172:F172)*1.15</f>
        <v>16.399999999999977</v>
      </c>
      <c r="G186" s="23">
        <f>G21+SUM($D79:G79)*0.46+SUM($D108:G108)*1+SUM($D140:G140)*1+SUM($D159:G159)*0.085+SUM($D172:G172)*1.15</f>
        <v>16.399999999999977</v>
      </c>
      <c r="H186" s="23">
        <f>H21+SUM($D79:H79)*0.46+SUM($D108:H108)*1+SUM($D140:H140)*1+SUM($D159:H159)*0.085+SUM($D172:H172)*1.15</f>
        <v>16.399999999999977</v>
      </c>
      <c r="I186" s="23">
        <f>I21+SUM($D79:I79)*0.46+SUM($D108:I108)*1+SUM($D140:I140)*1+SUM($D159:I159)*0.085+SUM($D172:I172)*1.15</f>
        <v>16.399999999999977</v>
      </c>
      <c r="J186" s="23">
        <f>J21+SUM($D79:J79)*0.46+SUM($D108:J108)*1+SUM($D140:J140)*1+SUM($D159:J159)*0.085+SUM($D172:J172)*1.15</f>
        <v>16.399999999999977</v>
      </c>
      <c r="K186" s="23">
        <f>K21+SUM($D79:K79)*0.46+SUM($D108:K108)*1+SUM($D140:K140)*1+SUM($D159:K159)*0.085+SUM($D172:K172)*1.15</f>
        <v>16.399999999999977</v>
      </c>
      <c r="L186" s="23">
        <f>L21+SUM($D79:L79)*0.46+SUM($D108:L108)*1+SUM($D140:L140)*1+SUM($D159:L159)*0.085+SUM($D172:L172)*1.15</f>
        <v>16.399999999999977</v>
      </c>
      <c r="M186" s="23">
        <f>M21+SUM($D79:M79)*0.46+SUM($D108:M108)*1+SUM($D140:M140)*1+SUM($D159:M159)*0.085+SUM($D172:M172)*1.15</f>
        <v>16.399999999999977</v>
      </c>
      <c r="N186" s="23">
        <f>N21+SUM($D79:N79)*0.46+SUM($D108:N108)*1+SUM($D140:N140)*1+SUM($D159:N159)*0.085+SUM($D172:N172)*1.15</f>
        <v>16.399999999999977</v>
      </c>
      <c r="O186" s="23">
        <f>O21+SUM($D79:O79)*0.46+SUM($D108:O108)*1+SUM($D140:O140)*1+SUM($D159:O159)*0.085+SUM($D172:O172)*1.15</f>
        <v>16.399999999999977</v>
      </c>
      <c r="P186" s="23">
        <f>P21+SUM($D79:P79)*0.46+SUM($D108:P108)*1+SUM($D140:P140)*1+SUM($D159:P159)*0.085+SUM($D172:P172)*1.15</f>
        <v>16.399999999999977</v>
      </c>
      <c r="Q186" s="23">
        <f>Q21+SUM($D79:Q79)*0.46+SUM($D108:Q108)*1+SUM($D140:Q140)*1+SUM($D159:Q159)*0.085+SUM($D172:Q172)*1.15</f>
        <v>16.399999999999977</v>
      </c>
      <c r="R186" s="23">
        <f>R21+SUM($D79:R79)*0.46+SUM($D108:R108)*1+SUM($D140:R140)*1+SUM($D159:R159)*0.085+SUM($D172:R172)*1.15</f>
        <v>16.399999999999977</v>
      </c>
      <c r="S186" s="23">
        <f>S21+SUM($D79:S79)*0.46+SUM($D108:S108)*1+SUM($D140:S140)*1+SUM($D159:S159)*0.085+SUM($D172:S172)*1.15</f>
        <v>16.399999999999977</v>
      </c>
      <c r="T186" s="23">
        <f>T21+SUM($D79:T79)*0.46+SUM($D108:T108)*1+SUM($D140:T140)*1+SUM($D159:T159)*0.085+SUM($D172:T172)*1.15</f>
        <v>16.399999999999977</v>
      </c>
      <c r="U186" s="23">
        <f>U21+SUM($D79:U79)*0.46+SUM($D108:U108)*1+SUM($D140:U140)*1+SUM($D159:U159)*0.085+SUM($D172:U172)*1.15</f>
        <v>16.399999999999977</v>
      </c>
      <c r="V186" s="23">
        <f>V21+SUM($D79:V79)*0.46+SUM($D108:V108)*1+SUM($D140:V140)*1+SUM($D159:V159)*0.085+SUM($D172:V172)*1.15</f>
        <v>16.399999999999977</v>
      </c>
      <c r="W186" s="23">
        <f>W21+SUM($D79:W79)*0.46+SUM($D108:W108)*1+SUM($D140:W140)*1+SUM($D159:W159)*0.085+SUM($D172:W172)*1.15</f>
        <v>16.399999999999977</v>
      </c>
      <c r="X186" s="23">
        <f>X21+SUM($D79:X79)*0.46+SUM($D108:X108)*1+SUM($D140:X140)*1+SUM($D159:X159)*0.085+SUM($D172:X172)*1.15</f>
        <v>16.399999999999977</v>
      </c>
      <c r="Y186" s="23">
        <f>Y21+SUM($D79:Y79)*0.46+SUM($D108:Y108)*1+SUM($D140:Y140)*1+SUM($D159:Y159)*0.085+SUM($D172:Y172)*1.15</f>
        <v>16.399999999999977</v>
      </c>
      <c r="Z186" s="23">
        <f>Z21+SUM($D79:Z79)*0.46+SUM($D108:Z108)*1+SUM($D140:Z140)*1+SUM($D159:Z159)*0.085+SUM($D172:Z172)*1.15</f>
        <v>16.399999999999977</v>
      </c>
      <c r="AA186" s="23">
        <f>AA21+SUM($D79:AA79)*0.46+SUM($D108:AA108)*1+SUM($D140:AA140)*1+SUM($D159:AA159)*0.085+SUM($D172:AA172)*1.15</f>
        <v>16.399999999999977</v>
      </c>
      <c r="AB186" s="23">
        <f>AB21+SUM($D79:AB79)*0.46+SUM($D108:AB108)*1+SUM($D140:AB140)*1+SUM($D159:AB159)*0.085+SUM($D172:AB172)*1.15</f>
        <v>16.399999999999977</v>
      </c>
      <c r="AC186" s="23">
        <f>AC21+SUM($D79:AC79)*0.46+SUM($D108:AC108)*1+SUM($D140:AC140)*1+SUM($D159:AC159)*0.085+SUM($D172:AC172)*1.15</f>
        <v>16.399999999999977</v>
      </c>
      <c r="AD186" s="23">
        <f>AD21+SUM($D79:AD79)*0.46+SUM($D108:AD108)*1+SUM($D140:AD140)*1+SUM($D159:AD159)*0.085+SUM($D172:AD172)*1.15</f>
        <v>16.399999999999977</v>
      </c>
      <c r="AE186" s="23">
        <f>AE21+SUM($D79:AE79)*0.46+SUM($D108:AE108)*1+SUM($D140:AE140)*1+SUM($D159:AE159)*0.085+SUM($D172:AE172)*1.15</f>
        <v>16.399999999999977</v>
      </c>
      <c r="AF186" s="23">
        <f>AF21+SUM($D79:AF79)*0.46+SUM($D108:AF108)*1+SUM($D140:AF140)*1+SUM($D159:AF159)*0.085+SUM($D172:AF172)*1.15</f>
        <v>16.399999999999977</v>
      </c>
      <c r="AG186" s="23">
        <f>AG21+SUM($D79:AG79)*0.46+SUM($D108:AG108)*1+SUM($D140:AG140)*1+SUM($D159:AG159)*0.085+SUM($D172:AG172)*1.15</f>
        <v>16.399999999999977</v>
      </c>
      <c r="AH186" s="24">
        <f t="shared" si="188"/>
        <v>491.99999999999932</v>
      </c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</row>
    <row r="187" spans="1:51" ht="14.4" outlineLevel="2" x14ac:dyDescent="0.3">
      <c r="A187" s="21" t="s">
        <v>35</v>
      </c>
      <c r="B187" s="22" t="s">
        <v>36</v>
      </c>
      <c r="C187" s="22" t="s">
        <v>14</v>
      </c>
      <c r="D187" s="23">
        <f>D22+SUM($D80:D80)*0.46+SUM($D109:D109)*1+SUM($D141:D141)*1+SUM($D160:D160)*0.085+SUM($D173:D173)*1.15</f>
        <v>23</v>
      </c>
      <c r="E187" s="23">
        <f>E22+SUM($D80:E80)*0.46+SUM($D109:E109)*1+SUM($D141:E141)*1+SUM($D160:E160)*0.085+SUM($D173:E173)*1.15</f>
        <v>23</v>
      </c>
      <c r="F187" s="23">
        <f>F22+SUM($D80:F80)*0.46+SUM($D109:F109)*1+SUM($D141:F141)*1+SUM($D160:F160)*0.085+SUM($D173:F173)*1.15</f>
        <v>23</v>
      </c>
      <c r="G187" s="23">
        <f>G22+SUM($D80:G80)*0.46+SUM($D109:G109)*1+SUM($D141:G141)*1+SUM($D160:G160)*0.085+SUM($D173:G173)*1.15</f>
        <v>23</v>
      </c>
      <c r="H187" s="23">
        <f>H22+SUM($D80:H80)*0.46+SUM($D109:H109)*1+SUM($D141:H141)*1+SUM($D160:H160)*0.085+SUM($D173:H173)*1.15</f>
        <v>20.5</v>
      </c>
      <c r="I187" s="23">
        <f>I22+SUM($D80:I80)*0.46+SUM($D109:I109)*1+SUM($D141:I141)*1+SUM($D160:I160)*0.085+SUM($D173:I173)*1.15</f>
        <v>20.5</v>
      </c>
      <c r="J187" s="23">
        <f>J22+SUM($D80:J80)*0.46+SUM($D109:J109)*1+SUM($D141:J141)*1+SUM($D160:J160)*0.085+SUM($D173:J173)*1.15</f>
        <v>20.5</v>
      </c>
      <c r="K187" s="23">
        <f>K22+SUM($D80:K80)*0.46+SUM($D109:K109)*1+SUM($D141:K141)*1+SUM($D160:K160)*0.085+SUM($D173:K173)*1.15</f>
        <v>21.15</v>
      </c>
      <c r="L187" s="23">
        <f>L22+SUM($D80:L80)*0.46+SUM($D109:L109)*1+SUM($D141:L141)*1+SUM($D160:L160)*0.085+SUM($D173:L173)*1.15</f>
        <v>21.8</v>
      </c>
      <c r="M187" s="23">
        <f>M22+SUM($D80:M80)*0.46+SUM($D109:M109)*1+SUM($D141:M141)*1+SUM($D160:M160)*0.085+SUM($D173:M173)*1.15</f>
        <v>21.8</v>
      </c>
      <c r="N187" s="23">
        <f>N22+SUM($D80:N80)*0.46+SUM($D109:N109)*1+SUM($D141:N141)*1+SUM($D160:N160)*0.085+SUM($D173:N173)*1.15</f>
        <v>21.8</v>
      </c>
      <c r="O187" s="23">
        <f>O22+SUM($D80:O80)*0.46+SUM($D109:O109)*1+SUM($D141:O141)*1+SUM($D160:O160)*0.085+SUM($D173:O173)*1.15</f>
        <v>21.8</v>
      </c>
      <c r="P187" s="23">
        <f>P22+SUM($D80:P80)*0.46+SUM($D109:P109)*1+SUM($D141:P141)*1+SUM($D160:P160)*0.085+SUM($D173:P173)*1.15</f>
        <v>21.8</v>
      </c>
      <c r="Q187" s="23">
        <f>Q22+SUM($D80:Q80)*0.46+SUM($D109:Q109)*1+SUM($D141:Q141)*1+SUM($D160:Q160)*0.085+SUM($D173:Q173)*1.15</f>
        <v>21.8</v>
      </c>
      <c r="R187" s="23">
        <f>R22+SUM($D80:R80)*0.46+SUM($D109:R109)*1+SUM($D141:R141)*1+SUM($D160:R160)*0.085+SUM($D173:R173)*1.15</f>
        <v>21.8</v>
      </c>
      <c r="S187" s="23">
        <f>S22+SUM($D80:S80)*0.46+SUM($D109:S109)*1+SUM($D141:S141)*1+SUM($D160:S160)*0.085+SUM($D173:S173)*1.15</f>
        <v>21.8</v>
      </c>
      <c r="T187" s="23">
        <f>T22+SUM($D80:T80)*0.46+SUM($D109:T109)*1+SUM($D141:T141)*1+SUM($D160:T160)*0.085+SUM($D173:T173)*1.15</f>
        <v>21.8</v>
      </c>
      <c r="U187" s="23">
        <f>U22+SUM($D80:U80)*0.46+SUM($D109:U109)*1+SUM($D141:U141)*1+SUM($D160:U160)*0.085+SUM($D173:U173)*1.15</f>
        <v>21.8</v>
      </c>
      <c r="V187" s="23">
        <f>V22+SUM($D80:V80)*0.46+SUM($D109:V109)*1+SUM($D141:V141)*1+SUM($D160:V160)*0.085+SUM($D173:V173)*1.15</f>
        <v>21.8</v>
      </c>
      <c r="W187" s="23">
        <f>W22+SUM($D80:W80)*0.46+SUM($D109:W109)*1+SUM($D141:W141)*1+SUM($D160:W160)*0.085+SUM($D173:W173)*1.15</f>
        <v>24.075291428571429</v>
      </c>
      <c r="X187" s="23">
        <f>X22+SUM($D80:X80)*0.46+SUM($D109:X109)*1+SUM($D141:X141)*1+SUM($D160:X160)*0.085+SUM($D173:X173)*1.15</f>
        <v>24.075291428571429</v>
      </c>
      <c r="Y187" s="23">
        <f>Y22+SUM($D80:Y80)*0.46+SUM($D109:Y109)*1+SUM($D141:Y141)*1+SUM($D160:Y160)*0.085+SUM($D173:Y173)*1.15</f>
        <v>24.075291428571429</v>
      </c>
      <c r="Z187" s="23">
        <f>Z22+SUM($D80:Z80)*0.46+SUM($D109:Z109)*1+SUM($D141:Z141)*1+SUM($D160:Z160)*0.085+SUM($D173:Z173)*1.15</f>
        <v>24.075291428571429</v>
      </c>
      <c r="AA187" s="23">
        <f>AA22+SUM($D80:AA80)*0.46+SUM($D109:AA109)*1+SUM($D141:AA141)*1+SUM($D160:AA160)*0.085+SUM($D173:AA173)*1.15</f>
        <v>24.075291428571429</v>
      </c>
      <c r="AB187" s="23">
        <f>AB22+SUM($D80:AB80)*0.46+SUM($D109:AB109)*1+SUM($D141:AB141)*1+SUM($D160:AB160)*0.085+SUM($D173:AB173)*1.15</f>
        <v>24.075291428571429</v>
      </c>
      <c r="AC187" s="23">
        <f>AC22+SUM($D80:AC80)*0.46+SUM($D109:AC109)*1+SUM($D141:AC141)*1+SUM($D160:AC160)*0.085+SUM($D173:AC173)*1.15</f>
        <v>24.075291428571429</v>
      </c>
      <c r="AD187" s="23">
        <f>AD22+SUM($D80:AD80)*0.46+SUM($D109:AD109)*1+SUM($D141:AD141)*1+SUM($D160:AD160)*0.085+SUM($D173:AD173)*1.15</f>
        <v>24.075291428571429</v>
      </c>
      <c r="AE187" s="23">
        <f>AE22+SUM($D80:AE80)*0.46+SUM($D109:AE109)*1+SUM($D141:AE141)*1+SUM($D160:AE160)*0.085+SUM($D173:AE173)*1.15</f>
        <v>24.075291428571429</v>
      </c>
      <c r="AF187" s="23">
        <f>AF22+SUM($D80:AF80)*0.46+SUM($D109:AF109)*1+SUM($D141:AF141)*1+SUM($D160:AF160)*0.085+SUM($D173:AF173)*1.15</f>
        <v>24.075291428571429</v>
      </c>
      <c r="AG187" s="23">
        <f>AG22+SUM($D80:AG80)*0.46+SUM($D109:AG109)*1+SUM($D141:AG141)*1+SUM($D160:AG160)*0.085+SUM($D173:AG173)*1.15</f>
        <v>24.075291428571429</v>
      </c>
      <c r="AH187" s="24">
        <f t="shared" si="188"/>
        <v>679.2782057142856</v>
      </c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</row>
    <row r="188" spans="1:51" ht="14.4" x14ac:dyDescent="0.25">
      <c r="A188" s="385" t="s">
        <v>37</v>
      </c>
      <c r="B188" s="386"/>
      <c r="C188" s="11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13" t="s">
        <v>9</v>
      </c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</row>
    <row r="189" spans="1:51" ht="14.4" x14ac:dyDescent="0.3">
      <c r="A189" s="15">
        <v>2</v>
      </c>
      <c r="B189" s="16" t="s">
        <v>110</v>
      </c>
      <c r="C189" s="16" t="s">
        <v>14</v>
      </c>
      <c r="D189" s="17">
        <f t="shared" ref="D189:AH189" si="189">SUM(D190:D201)</f>
        <v>0</v>
      </c>
      <c r="E189" s="17">
        <f t="shared" si="189"/>
        <v>0</v>
      </c>
      <c r="F189" s="17">
        <f t="shared" si="189"/>
        <v>0</v>
      </c>
      <c r="G189" s="17">
        <f t="shared" si="189"/>
        <v>0</v>
      </c>
      <c r="H189" s="17">
        <f t="shared" si="189"/>
        <v>0</v>
      </c>
      <c r="I189" s="17">
        <f t="shared" si="189"/>
        <v>0</v>
      </c>
      <c r="J189" s="17">
        <f t="shared" si="189"/>
        <v>98.1</v>
      </c>
      <c r="K189" s="17">
        <f t="shared" si="189"/>
        <v>199.05</v>
      </c>
      <c r="L189" s="17">
        <f t="shared" si="189"/>
        <v>285.40000000000003</v>
      </c>
      <c r="M189" s="17">
        <f t="shared" si="189"/>
        <v>361.79000000000008</v>
      </c>
      <c r="N189" s="17">
        <f t="shared" si="189"/>
        <v>361.79000000000008</v>
      </c>
      <c r="O189" s="17">
        <f t="shared" si="189"/>
        <v>361.79000000000008</v>
      </c>
      <c r="P189" s="17">
        <f t="shared" si="189"/>
        <v>361.79000000000008</v>
      </c>
      <c r="Q189" s="17">
        <f t="shared" si="189"/>
        <v>361.79000000000008</v>
      </c>
      <c r="R189" s="17">
        <f t="shared" si="189"/>
        <v>361.79000000000008</v>
      </c>
      <c r="S189" s="17">
        <f t="shared" si="189"/>
        <v>361.79000000000008</v>
      </c>
      <c r="T189" s="17">
        <f t="shared" si="189"/>
        <v>361.79000000000008</v>
      </c>
      <c r="U189" s="17">
        <f t="shared" si="189"/>
        <v>361.79000000000008</v>
      </c>
      <c r="V189" s="17">
        <f t="shared" si="189"/>
        <v>361.79000000000008</v>
      </c>
      <c r="W189" s="17">
        <f t="shared" si="189"/>
        <v>364.16421714285718</v>
      </c>
      <c r="X189" s="17">
        <f t="shared" si="189"/>
        <v>364.16421714285718</v>
      </c>
      <c r="Y189" s="17">
        <f t="shared" si="189"/>
        <v>364.16421714285718</v>
      </c>
      <c r="Z189" s="17">
        <f t="shared" si="189"/>
        <v>364.16421714285718</v>
      </c>
      <c r="AA189" s="17">
        <f t="shared" si="189"/>
        <v>364.16421714285718</v>
      </c>
      <c r="AB189" s="17">
        <f t="shared" si="189"/>
        <v>364.16421714285718</v>
      </c>
      <c r="AC189" s="17">
        <f t="shared" si="189"/>
        <v>364.16421714285718</v>
      </c>
      <c r="AD189" s="17">
        <f t="shared" si="189"/>
        <v>364.16421714285718</v>
      </c>
      <c r="AE189" s="17">
        <f t="shared" si="189"/>
        <v>364.16421714285718</v>
      </c>
      <c r="AF189" s="17">
        <f t="shared" si="189"/>
        <v>364.16421714285718</v>
      </c>
      <c r="AG189" s="17">
        <f t="shared" si="189"/>
        <v>364.16421714285718</v>
      </c>
      <c r="AH189" s="17">
        <f t="shared" si="189"/>
        <v>8206.2563885714262</v>
      </c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</row>
    <row r="190" spans="1:51" ht="14.4" outlineLevel="1" x14ac:dyDescent="0.3">
      <c r="A190" s="21" t="s">
        <v>39</v>
      </c>
      <c r="B190" s="22" t="s">
        <v>13</v>
      </c>
      <c r="C190" s="22" t="s">
        <v>14</v>
      </c>
      <c r="D190" s="23">
        <f>D25+SUM($D85:D85)</f>
        <v>0</v>
      </c>
      <c r="E190" s="23">
        <f>E25+SUM($D85:E85)</f>
        <v>0</v>
      </c>
      <c r="F190" s="23">
        <f>F25+SUM($D85:F85)</f>
        <v>0</v>
      </c>
      <c r="G190" s="23">
        <f>G25+SUM($D85:G85)</f>
        <v>0</v>
      </c>
      <c r="H190" s="23">
        <f>H25+SUM($D85:H85)</f>
        <v>0</v>
      </c>
      <c r="I190" s="23">
        <f>I25+SUM($D85:I85)</f>
        <v>0</v>
      </c>
      <c r="J190" s="23">
        <f>J25+SUM($D85:J85)</f>
        <v>40.799999999999997</v>
      </c>
      <c r="K190" s="23">
        <f>K25+SUM($D85:K85)</f>
        <v>40.799999999999997</v>
      </c>
      <c r="L190" s="23">
        <f>L25+SUM($D85:L85)</f>
        <v>40.799999999999997</v>
      </c>
      <c r="M190" s="23">
        <f>M25+SUM($D85:M85)</f>
        <v>40.799999999999997</v>
      </c>
      <c r="N190" s="23">
        <f>N25+SUM($D85:N85)</f>
        <v>40.799999999999997</v>
      </c>
      <c r="O190" s="23">
        <f>O25+SUM($D85:O85)</f>
        <v>40.799999999999997</v>
      </c>
      <c r="P190" s="23">
        <f>P25+SUM($D85:P85)</f>
        <v>40.799999999999997</v>
      </c>
      <c r="Q190" s="23">
        <f>Q25+SUM($D85:Q85)</f>
        <v>40.799999999999997</v>
      </c>
      <c r="R190" s="23">
        <f>R25+SUM($D85:R85)</f>
        <v>40.799999999999997</v>
      </c>
      <c r="S190" s="23">
        <f>S25+SUM($D85:S85)</f>
        <v>40.799999999999997</v>
      </c>
      <c r="T190" s="23">
        <f>T25+SUM($D85:T85)</f>
        <v>40.799999999999997</v>
      </c>
      <c r="U190" s="23">
        <f>U25+SUM($D85:U85)</f>
        <v>40.799999999999997</v>
      </c>
      <c r="V190" s="23">
        <f>V25+SUM($D85:V85)</f>
        <v>40.799999999999997</v>
      </c>
      <c r="W190" s="23">
        <f>W25+SUM($D85:W85)</f>
        <v>40.799999999999997</v>
      </c>
      <c r="X190" s="23">
        <f>X25+SUM($D85:X85)</f>
        <v>40.799999999999997</v>
      </c>
      <c r="Y190" s="23">
        <f>Y25+SUM($D85:Y85)</f>
        <v>40.799999999999997</v>
      </c>
      <c r="Z190" s="23">
        <f>Z25+SUM($D85:Z85)</f>
        <v>40.799999999999997</v>
      </c>
      <c r="AA190" s="23">
        <f>AA25+SUM($D85:AA85)</f>
        <v>40.799999999999997</v>
      </c>
      <c r="AB190" s="23">
        <f>AB25+SUM($D85:AB85)</f>
        <v>40.799999999999997</v>
      </c>
      <c r="AC190" s="23">
        <f>AC25+SUM($D85:AC85)</f>
        <v>40.799999999999997</v>
      </c>
      <c r="AD190" s="23">
        <f>AD25+SUM($D85:AD85)</f>
        <v>40.799999999999997</v>
      </c>
      <c r="AE190" s="23">
        <f>AE25+SUM($D85:AE85)</f>
        <v>40.799999999999997</v>
      </c>
      <c r="AF190" s="23">
        <f>AF25+SUM($D85:AF85)</f>
        <v>40.799999999999997</v>
      </c>
      <c r="AG190" s="23">
        <f>AG25+SUM($D85:AG85)</f>
        <v>40.799999999999997</v>
      </c>
      <c r="AH190" s="23">
        <f t="shared" ref="AH190:AH201" si="190">SUM(D190:AG190)</f>
        <v>979.19999999999959</v>
      </c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</row>
    <row r="191" spans="1:51" outlineLevel="2" x14ac:dyDescent="0.25">
      <c r="A191" s="21" t="s">
        <v>40</v>
      </c>
      <c r="B191" s="22" t="s">
        <v>16</v>
      </c>
      <c r="C191" s="22" t="s">
        <v>14</v>
      </c>
      <c r="D191" s="24">
        <f>D26+SUM($D86:D86)</f>
        <v>0</v>
      </c>
      <c r="E191" s="24">
        <f>E26+SUM($D86:E86)</f>
        <v>0</v>
      </c>
      <c r="F191" s="24">
        <f>F26+SUM($D86:F86)</f>
        <v>0</v>
      </c>
      <c r="G191" s="24">
        <f>G26+SUM($D86:G86)</f>
        <v>0</v>
      </c>
      <c r="H191" s="24">
        <f>H26+SUM($D86:H86)</f>
        <v>0</v>
      </c>
      <c r="I191" s="24">
        <f>I26+SUM($D86:I86)</f>
        <v>0</v>
      </c>
      <c r="J191" s="24">
        <f>J26+SUM($D86:J86)</f>
        <v>57.3</v>
      </c>
      <c r="K191" s="24">
        <f>K26+SUM($D86:K86)</f>
        <v>57.3</v>
      </c>
      <c r="L191" s="24">
        <f>L26+SUM($D86:L86)</f>
        <v>57.3</v>
      </c>
      <c r="M191" s="24">
        <f>M26+SUM($D86:M86)</f>
        <v>57.3</v>
      </c>
      <c r="N191" s="24">
        <f>N26+SUM($D86:N86)</f>
        <v>57.3</v>
      </c>
      <c r="O191" s="24">
        <f>O26+SUM($D86:O86)</f>
        <v>57.3</v>
      </c>
      <c r="P191" s="24">
        <f>P26+SUM($D86:P86)</f>
        <v>57.3</v>
      </c>
      <c r="Q191" s="24">
        <f>Q26+SUM($D86:Q86)</f>
        <v>57.3</v>
      </c>
      <c r="R191" s="24">
        <f>R26+SUM($D86:R86)</f>
        <v>57.3</v>
      </c>
      <c r="S191" s="24">
        <f>S26+SUM($D86:S86)</f>
        <v>57.3</v>
      </c>
      <c r="T191" s="24">
        <f>T26+SUM($D86:T86)</f>
        <v>57.3</v>
      </c>
      <c r="U191" s="24">
        <f>U26+SUM($D86:U86)</f>
        <v>57.3</v>
      </c>
      <c r="V191" s="24">
        <f>V26+SUM($D86:V86)</f>
        <v>57.3</v>
      </c>
      <c r="W191" s="24">
        <f>W26+SUM($D86:W86)</f>
        <v>57.3</v>
      </c>
      <c r="X191" s="24">
        <f>X26+SUM($D86:X86)</f>
        <v>57.3</v>
      </c>
      <c r="Y191" s="24">
        <f>Y26+SUM($D86:Y86)</f>
        <v>57.3</v>
      </c>
      <c r="Z191" s="24">
        <f>Z26+SUM($D86:Z86)</f>
        <v>57.3</v>
      </c>
      <c r="AA191" s="24">
        <f>AA26+SUM($D86:AA86)</f>
        <v>57.3</v>
      </c>
      <c r="AB191" s="24">
        <f>AB26+SUM($D86:AB86)</f>
        <v>57.3</v>
      </c>
      <c r="AC191" s="24">
        <f>AC26+SUM($D86:AC86)</f>
        <v>57.3</v>
      </c>
      <c r="AD191" s="24">
        <f>AD26+SUM($D86:AD86)</f>
        <v>57.3</v>
      </c>
      <c r="AE191" s="24">
        <f>AE26+SUM($D86:AE86)</f>
        <v>57.3</v>
      </c>
      <c r="AF191" s="24">
        <f>AF26+SUM($D86:AF86)</f>
        <v>57.3</v>
      </c>
      <c r="AG191" s="24">
        <f>AG26+SUM($D86:AG86)</f>
        <v>57.3</v>
      </c>
      <c r="AH191" s="24">
        <f t="shared" si="190"/>
        <v>1375.1999999999994</v>
      </c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</row>
    <row r="192" spans="1:51" outlineLevel="2" x14ac:dyDescent="0.25">
      <c r="A192" s="21" t="s">
        <v>41</v>
      </c>
      <c r="B192" s="22" t="s">
        <v>18</v>
      </c>
      <c r="C192" s="22" t="s">
        <v>14</v>
      </c>
      <c r="D192" s="24">
        <f>D27+SUM($D87:D87)</f>
        <v>0</v>
      </c>
      <c r="E192" s="24">
        <f>E27+SUM($D87:E87)</f>
        <v>0</v>
      </c>
      <c r="F192" s="24">
        <f>F27+SUM($D87:F87)</f>
        <v>0</v>
      </c>
      <c r="G192" s="24">
        <f>G27+SUM($D87:G87)</f>
        <v>0</v>
      </c>
      <c r="H192" s="24">
        <f>H27+SUM($D87:H87)</f>
        <v>0</v>
      </c>
      <c r="I192" s="24">
        <f>I27+SUM($D87:I87)</f>
        <v>0</v>
      </c>
      <c r="J192" s="24">
        <f>J27+SUM($D87:J87)</f>
        <v>0</v>
      </c>
      <c r="K192" s="24">
        <f>K27+SUM($D87:K87)</f>
        <v>40.5</v>
      </c>
      <c r="L192" s="24">
        <f>L27+SUM($D87:L87)</f>
        <v>40.5</v>
      </c>
      <c r="M192" s="24">
        <f>M27+SUM($D87:M87)</f>
        <v>40.5</v>
      </c>
      <c r="N192" s="24">
        <f>N27+SUM($D87:N87)</f>
        <v>40.5</v>
      </c>
      <c r="O192" s="24">
        <f>O27+SUM($D87:O87)</f>
        <v>40.5</v>
      </c>
      <c r="P192" s="24">
        <f>P27+SUM($D87:P87)</f>
        <v>40.5</v>
      </c>
      <c r="Q192" s="24">
        <f>Q27+SUM($D87:Q87)</f>
        <v>40.5</v>
      </c>
      <c r="R192" s="24">
        <f>R27+SUM($D87:R87)</f>
        <v>40.5</v>
      </c>
      <c r="S192" s="24">
        <f>S27+SUM($D87:S87)</f>
        <v>40.5</v>
      </c>
      <c r="T192" s="24">
        <f>T27+SUM($D87:T87)</f>
        <v>40.5</v>
      </c>
      <c r="U192" s="24">
        <f>U27+SUM($D87:U87)</f>
        <v>40.5</v>
      </c>
      <c r="V192" s="24">
        <f>V27+SUM($D87:V87)</f>
        <v>40.5</v>
      </c>
      <c r="W192" s="24">
        <f>W27+SUM($D87:W87)</f>
        <v>40.5</v>
      </c>
      <c r="X192" s="24">
        <f>X27+SUM($D87:X87)</f>
        <v>40.5</v>
      </c>
      <c r="Y192" s="24">
        <f>Y27+SUM($D87:Y87)</f>
        <v>40.5</v>
      </c>
      <c r="Z192" s="24">
        <f>Z27+SUM($D87:Z87)</f>
        <v>40.5</v>
      </c>
      <c r="AA192" s="24">
        <f>AA27+SUM($D87:AA87)</f>
        <v>40.5</v>
      </c>
      <c r="AB192" s="24">
        <f>AB27+SUM($D87:AB87)</f>
        <v>40.5</v>
      </c>
      <c r="AC192" s="24">
        <f>AC27+SUM($D87:AC87)</f>
        <v>40.5</v>
      </c>
      <c r="AD192" s="24">
        <f>AD27+SUM($D87:AD87)</f>
        <v>40.5</v>
      </c>
      <c r="AE192" s="24">
        <f>AE27+SUM($D87:AE87)</f>
        <v>40.5</v>
      </c>
      <c r="AF192" s="24">
        <f>AF27+SUM($D87:AF87)</f>
        <v>40.5</v>
      </c>
      <c r="AG192" s="24">
        <f>AG27+SUM($D87:AG87)</f>
        <v>40.5</v>
      </c>
      <c r="AH192" s="24">
        <f t="shared" si="190"/>
        <v>931.5</v>
      </c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</row>
    <row r="193" spans="1:51" outlineLevel="2" x14ac:dyDescent="0.25">
      <c r="A193" s="21" t="s">
        <v>42</v>
      </c>
      <c r="B193" s="22" t="s">
        <v>20</v>
      </c>
      <c r="C193" s="22" t="s">
        <v>14</v>
      </c>
      <c r="D193" s="24">
        <f>D28+SUM($D88:D88)</f>
        <v>0</v>
      </c>
      <c r="E193" s="24">
        <f>E28+SUM($D88:E88)</f>
        <v>0</v>
      </c>
      <c r="F193" s="24">
        <f>F28+SUM($D88:F88)</f>
        <v>0</v>
      </c>
      <c r="G193" s="24">
        <f>G28+SUM($D88:G88)</f>
        <v>0</v>
      </c>
      <c r="H193" s="24">
        <f>H28+SUM($D88:H88)</f>
        <v>0</v>
      </c>
      <c r="I193" s="24">
        <f>I28+SUM($D88:I88)</f>
        <v>0</v>
      </c>
      <c r="J193" s="24">
        <f>J28+SUM($D88:J88)</f>
        <v>0</v>
      </c>
      <c r="K193" s="24">
        <f>K28+SUM($D88:K88)</f>
        <v>27.4</v>
      </c>
      <c r="L193" s="24">
        <f>L28+SUM($D88:L88)</f>
        <v>27.4</v>
      </c>
      <c r="M193" s="24">
        <f>M28+SUM($D88:M88)</f>
        <v>27.4</v>
      </c>
      <c r="N193" s="24">
        <f>N28+SUM($D88:N88)</f>
        <v>27.4</v>
      </c>
      <c r="O193" s="24">
        <f>O28+SUM($D88:O88)</f>
        <v>27.4</v>
      </c>
      <c r="P193" s="24">
        <f>P28+SUM($D88:P88)</f>
        <v>27.4</v>
      </c>
      <c r="Q193" s="24">
        <f>Q28+SUM($D88:Q88)</f>
        <v>27.4</v>
      </c>
      <c r="R193" s="24">
        <f>R28+SUM($D88:R88)</f>
        <v>27.4</v>
      </c>
      <c r="S193" s="24">
        <f>S28+SUM($D88:S88)</f>
        <v>27.4</v>
      </c>
      <c r="T193" s="24">
        <f>T28+SUM($D88:T88)</f>
        <v>27.4</v>
      </c>
      <c r="U193" s="24">
        <f>U28+SUM($D88:U88)</f>
        <v>27.4</v>
      </c>
      <c r="V193" s="24">
        <f>V28+SUM($D88:V88)</f>
        <v>27.4</v>
      </c>
      <c r="W193" s="24">
        <f>W28+SUM($D88:W88)</f>
        <v>27.4</v>
      </c>
      <c r="X193" s="24">
        <f>X28+SUM($D88:X88)</f>
        <v>27.4</v>
      </c>
      <c r="Y193" s="24">
        <f>Y28+SUM($D88:Y88)</f>
        <v>27.4</v>
      </c>
      <c r="Z193" s="24">
        <f>Z28+SUM($D88:Z88)</f>
        <v>27.4</v>
      </c>
      <c r="AA193" s="24">
        <f>AA28+SUM($D88:AA88)</f>
        <v>27.4</v>
      </c>
      <c r="AB193" s="24">
        <f>AB28+SUM($D88:AB88)</f>
        <v>27.4</v>
      </c>
      <c r="AC193" s="24">
        <f>AC28+SUM($D88:AC88)</f>
        <v>27.4</v>
      </c>
      <c r="AD193" s="24">
        <f>AD28+SUM($D88:AD88)</f>
        <v>27.4</v>
      </c>
      <c r="AE193" s="24">
        <f>AE28+SUM($D88:AE88)</f>
        <v>27.4</v>
      </c>
      <c r="AF193" s="24">
        <f>AF28+SUM($D88:AF88)</f>
        <v>27.4</v>
      </c>
      <c r="AG193" s="24">
        <f>AG28+SUM($D88:AG88)</f>
        <v>27.4</v>
      </c>
      <c r="AH193" s="24">
        <f t="shared" si="190"/>
        <v>630.1999999999997</v>
      </c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</row>
    <row r="194" spans="1:51" outlineLevel="2" x14ac:dyDescent="0.25">
      <c r="A194" s="21" t="s">
        <v>43</v>
      </c>
      <c r="B194" s="22" t="s">
        <v>22</v>
      </c>
      <c r="C194" s="22" t="s">
        <v>14</v>
      </c>
      <c r="D194" s="24">
        <f>D29+SUM($D89:D89)</f>
        <v>0</v>
      </c>
      <c r="E194" s="24">
        <f>E29+SUM($D89:E89)</f>
        <v>0</v>
      </c>
      <c r="F194" s="24">
        <f>F29+SUM($D89:F89)</f>
        <v>0</v>
      </c>
      <c r="G194" s="24">
        <f>G29+SUM($D89:G89)</f>
        <v>0</v>
      </c>
      <c r="H194" s="24">
        <f>H29+SUM($D89:H89)</f>
        <v>0</v>
      </c>
      <c r="I194" s="24">
        <f>I29+SUM($D89:I89)</f>
        <v>0</v>
      </c>
      <c r="J194" s="24">
        <f>J29+SUM($D89:J89)</f>
        <v>0</v>
      </c>
      <c r="K194" s="24">
        <f>K29+SUM($D89:K89)</f>
        <v>0.5</v>
      </c>
      <c r="L194" s="24">
        <f>L29+SUM($D89:L89)</f>
        <v>0.5</v>
      </c>
      <c r="M194" s="24">
        <f>M29+SUM($D89:M89)</f>
        <v>0.5</v>
      </c>
      <c r="N194" s="24">
        <f>N29+SUM($D89:N89)</f>
        <v>0.5</v>
      </c>
      <c r="O194" s="24">
        <f>O29+SUM($D89:O89)</f>
        <v>0.5</v>
      </c>
      <c r="P194" s="24">
        <f>P29+SUM($D89:P89)</f>
        <v>0.5</v>
      </c>
      <c r="Q194" s="24">
        <f>Q29+SUM($D89:Q89)</f>
        <v>0.5</v>
      </c>
      <c r="R194" s="24">
        <f>R29+SUM($D89:R89)</f>
        <v>0.5</v>
      </c>
      <c r="S194" s="24">
        <f>S29+SUM($D89:S89)</f>
        <v>0.5</v>
      </c>
      <c r="T194" s="24">
        <f>T29+SUM($D89:T89)</f>
        <v>0.5</v>
      </c>
      <c r="U194" s="24">
        <f>U29+SUM($D89:U89)</f>
        <v>0.5</v>
      </c>
      <c r="V194" s="24">
        <f>V29+SUM($D89:V89)</f>
        <v>0.5</v>
      </c>
      <c r="W194" s="24">
        <f>W29+SUM($D89:W89)</f>
        <v>0.5</v>
      </c>
      <c r="X194" s="24">
        <f>X29+SUM($D89:X89)</f>
        <v>0.5</v>
      </c>
      <c r="Y194" s="24">
        <f>Y29+SUM($D89:Y89)</f>
        <v>0.5</v>
      </c>
      <c r="Z194" s="24">
        <f>Z29+SUM($D89:Z89)</f>
        <v>0.5</v>
      </c>
      <c r="AA194" s="24">
        <f>AA29+SUM($D89:AA89)</f>
        <v>0.5</v>
      </c>
      <c r="AB194" s="24">
        <f>AB29+SUM($D89:AB89)</f>
        <v>0.5</v>
      </c>
      <c r="AC194" s="24">
        <f>AC29+SUM($D89:AC89)</f>
        <v>0.5</v>
      </c>
      <c r="AD194" s="24">
        <f>AD29+SUM($D89:AD89)</f>
        <v>0.5</v>
      </c>
      <c r="AE194" s="24">
        <f>AE29+SUM($D89:AE89)</f>
        <v>0.5</v>
      </c>
      <c r="AF194" s="24">
        <f>AF29+SUM($D89:AF89)</f>
        <v>0.5</v>
      </c>
      <c r="AG194" s="24">
        <f>AG29+SUM($D89:AG89)</f>
        <v>0.5</v>
      </c>
      <c r="AH194" s="24">
        <f t="shared" si="190"/>
        <v>11.5</v>
      </c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</row>
    <row r="195" spans="1:51" outlineLevel="2" x14ac:dyDescent="0.25">
      <c r="A195" s="21" t="s">
        <v>44</v>
      </c>
      <c r="B195" s="22" t="s">
        <v>24</v>
      </c>
      <c r="C195" s="22" t="s">
        <v>14</v>
      </c>
      <c r="D195" s="24">
        <f>D30+SUM($D90:D90)</f>
        <v>0</v>
      </c>
      <c r="E195" s="24">
        <f>E30+SUM($D90:E90)</f>
        <v>0</v>
      </c>
      <c r="F195" s="24">
        <f>F30+SUM($D90:F90)</f>
        <v>0</v>
      </c>
      <c r="G195" s="24">
        <f>G30+SUM($D90:G90)</f>
        <v>0</v>
      </c>
      <c r="H195" s="24">
        <f>H30+SUM($D90:H90)</f>
        <v>0</v>
      </c>
      <c r="I195" s="24">
        <f>I30+SUM($D90:I90)</f>
        <v>0</v>
      </c>
      <c r="J195" s="24">
        <f>J30+SUM($D90:J90)</f>
        <v>0</v>
      </c>
      <c r="K195" s="24">
        <f>K30+SUM($D90:K90)</f>
        <v>32.549999999999997</v>
      </c>
      <c r="L195" s="24">
        <f>L30+SUM($D90:L90)</f>
        <v>32.549999999999997</v>
      </c>
      <c r="M195" s="24">
        <f>M30+SUM($D90:M90)</f>
        <v>32.549999999999997</v>
      </c>
      <c r="N195" s="24">
        <f>N30+SUM($D90:N90)</f>
        <v>32.549999999999997</v>
      </c>
      <c r="O195" s="24">
        <f>O30+SUM($D90:O90)</f>
        <v>32.549999999999997</v>
      </c>
      <c r="P195" s="24">
        <f>P30+SUM($D90:P90)</f>
        <v>32.549999999999997</v>
      </c>
      <c r="Q195" s="24">
        <f>Q30+SUM($D90:Q90)</f>
        <v>32.549999999999997</v>
      </c>
      <c r="R195" s="24">
        <f>R30+SUM($D90:R90)</f>
        <v>32.549999999999997</v>
      </c>
      <c r="S195" s="24">
        <f>S30+SUM($D90:S90)</f>
        <v>32.549999999999997</v>
      </c>
      <c r="T195" s="24">
        <f>T30+SUM($D90:T90)</f>
        <v>32.549999999999997</v>
      </c>
      <c r="U195" s="24">
        <f>U30+SUM($D90:U90)</f>
        <v>32.549999999999997</v>
      </c>
      <c r="V195" s="24">
        <f>V30+SUM($D90:V90)</f>
        <v>32.549999999999997</v>
      </c>
      <c r="W195" s="24">
        <f>W30+SUM($D90:W90)</f>
        <v>32.549999999999997</v>
      </c>
      <c r="X195" s="24">
        <f>X30+SUM($D90:X90)</f>
        <v>32.549999999999997</v>
      </c>
      <c r="Y195" s="24">
        <f>Y30+SUM($D90:Y90)</f>
        <v>32.549999999999997</v>
      </c>
      <c r="Z195" s="24">
        <f>Z30+SUM($D90:Z90)</f>
        <v>32.549999999999997</v>
      </c>
      <c r="AA195" s="24">
        <f>AA30+SUM($D90:AA90)</f>
        <v>32.549999999999997</v>
      </c>
      <c r="AB195" s="24">
        <f>AB30+SUM($D90:AB90)</f>
        <v>32.549999999999997</v>
      </c>
      <c r="AC195" s="24">
        <f>AC30+SUM($D90:AC90)</f>
        <v>32.549999999999997</v>
      </c>
      <c r="AD195" s="24">
        <f>AD30+SUM($D90:AD90)</f>
        <v>32.549999999999997</v>
      </c>
      <c r="AE195" s="24">
        <f>AE30+SUM($D90:AE90)</f>
        <v>32.549999999999997</v>
      </c>
      <c r="AF195" s="24">
        <f>AF30+SUM($D90:AF90)</f>
        <v>32.549999999999997</v>
      </c>
      <c r="AG195" s="24">
        <f>AG30+SUM($D90:AG90)</f>
        <v>32.549999999999997</v>
      </c>
      <c r="AH195" s="24">
        <f t="shared" si="190"/>
        <v>748.64999999999975</v>
      </c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</row>
    <row r="196" spans="1:51" outlineLevel="2" x14ac:dyDescent="0.25">
      <c r="A196" s="21" t="s">
        <v>45</v>
      </c>
      <c r="B196" s="22" t="s">
        <v>26</v>
      </c>
      <c r="C196" s="22" t="s">
        <v>14</v>
      </c>
      <c r="D196" s="24">
        <f>D31+SUM($D91:D91)</f>
        <v>0</v>
      </c>
      <c r="E196" s="24">
        <f>E31+SUM($D91:E91)</f>
        <v>0</v>
      </c>
      <c r="F196" s="24">
        <f>F31+SUM($D91:F91)</f>
        <v>0</v>
      </c>
      <c r="G196" s="24">
        <f>G31+SUM($D91:G91)</f>
        <v>0</v>
      </c>
      <c r="H196" s="24">
        <f>H31+SUM($D91:H91)</f>
        <v>0</v>
      </c>
      <c r="I196" s="24">
        <f>I31+SUM($D91:I91)</f>
        <v>0</v>
      </c>
      <c r="J196" s="24">
        <f>J31+SUM($D91:J91)</f>
        <v>0</v>
      </c>
      <c r="K196" s="24">
        <f>K31+SUM($D91:K91)</f>
        <v>0</v>
      </c>
      <c r="L196" s="24">
        <f>L31+SUM($D91:L91)</f>
        <v>9.5500000000000007</v>
      </c>
      <c r="M196" s="24">
        <f>M31+SUM($D91:M91)</f>
        <v>9.5500000000000007</v>
      </c>
      <c r="N196" s="24">
        <f>N31+SUM($D91:N91)</f>
        <v>9.5500000000000007</v>
      </c>
      <c r="O196" s="24">
        <f>O31+SUM($D91:O91)</f>
        <v>9.5500000000000007</v>
      </c>
      <c r="P196" s="24">
        <f>P31+SUM($D91:P91)</f>
        <v>9.5500000000000007</v>
      </c>
      <c r="Q196" s="24">
        <f>Q31+SUM($D91:Q91)</f>
        <v>9.5500000000000007</v>
      </c>
      <c r="R196" s="24">
        <f>R31+SUM($D91:R91)</f>
        <v>9.5500000000000007</v>
      </c>
      <c r="S196" s="24">
        <f>S31+SUM($D91:S91)</f>
        <v>9.5500000000000007</v>
      </c>
      <c r="T196" s="24">
        <f>T31+SUM($D91:T91)</f>
        <v>9.5500000000000007</v>
      </c>
      <c r="U196" s="24">
        <f>U31+SUM($D91:U91)</f>
        <v>9.5500000000000007</v>
      </c>
      <c r="V196" s="24">
        <f>V31+SUM($D91:V91)</f>
        <v>9.5500000000000007</v>
      </c>
      <c r="W196" s="24">
        <f>W31+SUM($D91:W91)</f>
        <v>9.5500000000000007</v>
      </c>
      <c r="X196" s="24">
        <f>X31+SUM($D91:X91)</f>
        <v>9.5500000000000007</v>
      </c>
      <c r="Y196" s="24">
        <f>Y31+SUM($D91:Y91)</f>
        <v>9.5500000000000007</v>
      </c>
      <c r="Z196" s="24">
        <f>Z31+SUM($D91:Z91)</f>
        <v>9.5500000000000007</v>
      </c>
      <c r="AA196" s="24">
        <f>AA31+SUM($D91:AA91)</f>
        <v>9.5500000000000007</v>
      </c>
      <c r="AB196" s="24">
        <f>AB31+SUM($D91:AB91)</f>
        <v>9.5500000000000007</v>
      </c>
      <c r="AC196" s="24">
        <f>AC31+SUM($D91:AC91)</f>
        <v>9.5500000000000007</v>
      </c>
      <c r="AD196" s="24">
        <f>AD31+SUM($D91:AD91)</f>
        <v>9.5500000000000007</v>
      </c>
      <c r="AE196" s="24">
        <f>AE31+SUM($D91:AE91)</f>
        <v>9.5500000000000007</v>
      </c>
      <c r="AF196" s="24">
        <f>AF31+SUM($D91:AF91)</f>
        <v>9.5500000000000007</v>
      </c>
      <c r="AG196" s="24">
        <f>AG31+SUM($D91:AG91)</f>
        <v>9.5500000000000007</v>
      </c>
      <c r="AH196" s="24">
        <f t="shared" si="190"/>
        <v>210.10000000000008</v>
      </c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</row>
    <row r="197" spans="1:51" outlineLevel="2" x14ac:dyDescent="0.25">
      <c r="A197" s="21" t="s">
        <v>46</v>
      </c>
      <c r="B197" s="22" t="s">
        <v>28</v>
      </c>
      <c r="C197" s="22" t="s">
        <v>14</v>
      </c>
      <c r="D197" s="24">
        <f>D32+SUM($D92:D92)</f>
        <v>0</v>
      </c>
      <c r="E197" s="24">
        <f>E32+SUM($D92:E92)</f>
        <v>0</v>
      </c>
      <c r="F197" s="24">
        <f>F32+SUM($D92:F92)</f>
        <v>0</v>
      </c>
      <c r="G197" s="24">
        <f>G32+SUM($D92:G92)</f>
        <v>0</v>
      </c>
      <c r="H197" s="24">
        <f>H32+SUM($D92:H92)</f>
        <v>0</v>
      </c>
      <c r="I197" s="24">
        <f>I32+SUM($D92:I92)</f>
        <v>0</v>
      </c>
      <c r="J197" s="24">
        <f>J32+SUM($D92:J92)</f>
        <v>0</v>
      </c>
      <c r="K197" s="24">
        <f>K32+SUM($D92:K92)</f>
        <v>0</v>
      </c>
      <c r="L197" s="24">
        <f>L32+SUM($D92:L92)</f>
        <v>1.8</v>
      </c>
      <c r="M197" s="24">
        <f>M32+SUM($D92:M92)</f>
        <v>1.8</v>
      </c>
      <c r="N197" s="24">
        <f>N32+SUM($D92:N92)</f>
        <v>1.8</v>
      </c>
      <c r="O197" s="24">
        <f>O32+SUM($D92:O92)</f>
        <v>1.8</v>
      </c>
      <c r="P197" s="24">
        <f>P32+SUM($D92:P92)</f>
        <v>1.8</v>
      </c>
      <c r="Q197" s="24">
        <f>Q32+SUM($D92:Q92)</f>
        <v>1.8</v>
      </c>
      <c r="R197" s="24">
        <f>R32+SUM($D92:R92)</f>
        <v>1.8</v>
      </c>
      <c r="S197" s="24">
        <f>S32+SUM($D92:S92)</f>
        <v>1.8</v>
      </c>
      <c r="T197" s="24">
        <f>T32+SUM($D92:T92)</f>
        <v>1.8</v>
      </c>
      <c r="U197" s="24">
        <f>U32+SUM($D92:U92)</f>
        <v>1.8</v>
      </c>
      <c r="V197" s="24">
        <f>V32+SUM($D92:V92)</f>
        <v>1.8</v>
      </c>
      <c r="W197" s="24">
        <f>W32+SUM($D92:W92)</f>
        <v>1.8</v>
      </c>
      <c r="X197" s="24">
        <f>X32+SUM($D92:X92)</f>
        <v>1.8</v>
      </c>
      <c r="Y197" s="24">
        <f>Y32+SUM($D92:Y92)</f>
        <v>1.8</v>
      </c>
      <c r="Z197" s="24">
        <f>Z32+SUM($D92:Z92)</f>
        <v>1.8</v>
      </c>
      <c r="AA197" s="24">
        <f>AA32+SUM($D92:AA92)</f>
        <v>1.8</v>
      </c>
      <c r="AB197" s="24">
        <f>AB32+SUM($D92:AB92)</f>
        <v>1.8</v>
      </c>
      <c r="AC197" s="24">
        <f>AC32+SUM($D92:AC92)</f>
        <v>1.8</v>
      </c>
      <c r="AD197" s="24">
        <f>AD32+SUM($D92:AD92)</f>
        <v>1.8</v>
      </c>
      <c r="AE197" s="24">
        <f>AE32+SUM($D92:AE92)</f>
        <v>1.8</v>
      </c>
      <c r="AF197" s="24">
        <f>AF32+SUM($D92:AF92)</f>
        <v>1.8</v>
      </c>
      <c r="AG197" s="24">
        <f>AG32+SUM($D92:AG92)</f>
        <v>1.8</v>
      </c>
      <c r="AH197" s="24">
        <f t="shared" si="190"/>
        <v>39.599999999999994</v>
      </c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</row>
    <row r="198" spans="1:51" outlineLevel="2" x14ac:dyDescent="0.25">
      <c r="A198" s="21" t="s">
        <v>47</v>
      </c>
      <c r="B198" s="22" t="s">
        <v>30</v>
      </c>
      <c r="C198" s="22" t="s">
        <v>14</v>
      </c>
      <c r="D198" s="24">
        <f>D33+SUM($D93:D93)</f>
        <v>0</v>
      </c>
      <c r="E198" s="24">
        <f>E33+SUM($D93:E93)</f>
        <v>0</v>
      </c>
      <c r="F198" s="24">
        <f>F33+SUM($D93:F93)</f>
        <v>0</v>
      </c>
      <c r="G198" s="24">
        <f>G33+SUM($D93:G93)</f>
        <v>0</v>
      </c>
      <c r="H198" s="24">
        <f>H33+SUM($D93:H93)</f>
        <v>0</v>
      </c>
      <c r="I198" s="24">
        <f>I33+SUM($D93:I93)</f>
        <v>0</v>
      </c>
      <c r="J198" s="24">
        <f>J33+SUM($D93:J93)</f>
        <v>0</v>
      </c>
      <c r="K198" s="24">
        <f>K33+SUM($D93:K93)</f>
        <v>0</v>
      </c>
      <c r="L198" s="24">
        <f>L33+SUM($D93:L93)</f>
        <v>75</v>
      </c>
      <c r="M198" s="24">
        <f>M33+SUM($D93:M93)</f>
        <v>75</v>
      </c>
      <c r="N198" s="24">
        <f>N33+SUM($D93:N93)</f>
        <v>75</v>
      </c>
      <c r="O198" s="24">
        <f>O33+SUM($D93:O93)</f>
        <v>75</v>
      </c>
      <c r="P198" s="24">
        <f>P33+SUM($D93:P93)</f>
        <v>75</v>
      </c>
      <c r="Q198" s="24">
        <f>Q33+SUM($D93:Q93)</f>
        <v>75</v>
      </c>
      <c r="R198" s="24">
        <f>R33+SUM($D93:R93)</f>
        <v>75</v>
      </c>
      <c r="S198" s="24">
        <f>S33+SUM($D93:S93)</f>
        <v>75</v>
      </c>
      <c r="T198" s="24">
        <f>T33+SUM($D93:T93)</f>
        <v>75</v>
      </c>
      <c r="U198" s="24">
        <f>U33+SUM($D93:U93)</f>
        <v>75</v>
      </c>
      <c r="V198" s="24">
        <f>V33+SUM($D93:V93)</f>
        <v>75</v>
      </c>
      <c r="W198" s="24">
        <f>W33+SUM($D93:W93)</f>
        <v>75</v>
      </c>
      <c r="X198" s="24">
        <f>X33+SUM($D93:X93)</f>
        <v>75</v>
      </c>
      <c r="Y198" s="24">
        <f>Y33+SUM($D93:Y93)</f>
        <v>75</v>
      </c>
      <c r="Z198" s="24">
        <f>Z33+SUM($D93:Z93)</f>
        <v>75</v>
      </c>
      <c r="AA198" s="24">
        <f>AA33+SUM($D93:AA93)</f>
        <v>75</v>
      </c>
      <c r="AB198" s="24">
        <f>AB33+SUM($D93:AB93)</f>
        <v>75</v>
      </c>
      <c r="AC198" s="24">
        <f>AC33+SUM($D93:AC93)</f>
        <v>75</v>
      </c>
      <c r="AD198" s="24">
        <f>AD33+SUM($D93:AD93)</f>
        <v>75</v>
      </c>
      <c r="AE198" s="24">
        <f>AE33+SUM($D93:AE93)</f>
        <v>75</v>
      </c>
      <c r="AF198" s="24">
        <f>AF33+SUM($D93:AF93)</f>
        <v>75</v>
      </c>
      <c r="AG198" s="24">
        <f>AG33+SUM($D93:AG93)</f>
        <v>75</v>
      </c>
      <c r="AH198" s="24">
        <f t="shared" si="190"/>
        <v>1650</v>
      </c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</row>
    <row r="199" spans="1:51" outlineLevel="2" x14ac:dyDescent="0.25">
      <c r="A199" s="21" t="s">
        <v>48</v>
      </c>
      <c r="B199" s="22" t="s">
        <v>32</v>
      </c>
      <c r="C199" s="22" t="s">
        <v>14</v>
      </c>
      <c r="D199" s="24">
        <f>D34+SUM($D94:D94)</f>
        <v>0</v>
      </c>
      <c r="E199" s="24">
        <f>E34+SUM($D94:E94)</f>
        <v>0</v>
      </c>
      <c r="F199" s="24">
        <f>F34+SUM($D94:F94)</f>
        <v>0</v>
      </c>
      <c r="G199" s="24">
        <f>G34+SUM($D94:G94)</f>
        <v>0</v>
      </c>
      <c r="H199" s="24">
        <f>H34+SUM($D94:H94)</f>
        <v>0</v>
      </c>
      <c r="I199" s="24">
        <f>I34+SUM($D94:I94)</f>
        <v>0</v>
      </c>
      <c r="J199" s="24">
        <f>J34+SUM($D94:J94)</f>
        <v>0</v>
      </c>
      <c r="K199" s="24">
        <f>K34+SUM($D94:K94)</f>
        <v>0</v>
      </c>
      <c r="L199" s="24">
        <f>L34+SUM($D94:L94)</f>
        <v>0</v>
      </c>
      <c r="M199" s="24">
        <f>M34+SUM($D94:M94)</f>
        <v>48.8</v>
      </c>
      <c r="N199" s="24">
        <f>N34+SUM($D94:N94)</f>
        <v>48.8</v>
      </c>
      <c r="O199" s="24">
        <f>O34+SUM($D94:O94)</f>
        <v>48.8</v>
      </c>
      <c r="P199" s="24">
        <f>P34+SUM($D94:P94)</f>
        <v>48.8</v>
      </c>
      <c r="Q199" s="24">
        <f>Q34+SUM($D94:Q94)</f>
        <v>48.8</v>
      </c>
      <c r="R199" s="24">
        <f>R34+SUM($D94:R94)</f>
        <v>48.8</v>
      </c>
      <c r="S199" s="24">
        <f>S34+SUM($D94:S94)</f>
        <v>48.8</v>
      </c>
      <c r="T199" s="24">
        <f>T34+SUM($D94:T94)</f>
        <v>48.8</v>
      </c>
      <c r="U199" s="24">
        <f>U34+SUM($D94:U94)</f>
        <v>48.8</v>
      </c>
      <c r="V199" s="24">
        <f>V34+SUM($D94:V94)</f>
        <v>48.8</v>
      </c>
      <c r="W199" s="24">
        <f>W34+SUM($D94:W94)</f>
        <v>48.8</v>
      </c>
      <c r="X199" s="24">
        <f>X34+SUM($D94:X94)</f>
        <v>48.8</v>
      </c>
      <c r="Y199" s="24">
        <f>Y34+SUM($D94:Y94)</f>
        <v>48.8</v>
      </c>
      <c r="Z199" s="24">
        <f>Z34+SUM($D94:Z94)</f>
        <v>48.8</v>
      </c>
      <c r="AA199" s="24">
        <f>AA34+SUM($D94:AA94)</f>
        <v>48.8</v>
      </c>
      <c r="AB199" s="24">
        <f>AB34+SUM($D94:AB94)</f>
        <v>48.8</v>
      </c>
      <c r="AC199" s="24">
        <f>AC34+SUM($D94:AC94)</f>
        <v>48.8</v>
      </c>
      <c r="AD199" s="24">
        <f>AD34+SUM($D94:AD94)</f>
        <v>48.8</v>
      </c>
      <c r="AE199" s="24">
        <f>AE34+SUM($D94:AE94)</f>
        <v>48.8</v>
      </c>
      <c r="AF199" s="24">
        <f>AF34+SUM($D94:AF94)</f>
        <v>48.8</v>
      </c>
      <c r="AG199" s="24">
        <f>AG34+SUM($D94:AG94)</f>
        <v>48.8</v>
      </c>
      <c r="AH199" s="24">
        <f t="shared" si="190"/>
        <v>1024.7999999999997</v>
      </c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</row>
    <row r="200" spans="1:51" outlineLevel="2" x14ac:dyDescent="0.25">
      <c r="A200" s="21" t="s">
        <v>49</v>
      </c>
      <c r="B200" s="22" t="s">
        <v>34</v>
      </c>
      <c r="C200" s="22" t="s">
        <v>14</v>
      </c>
      <c r="D200" s="24">
        <f>D35+SUM($D95:D95)</f>
        <v>0</v>
      </c>
      <c r="E200" s="24">
        <f>E35+SUM($D95:E95)</f>
        <v>0</v>
      </c>
      <c r="F200" s="24">
        <f>F35+SUM($D95:F95)</f>
        <v>0</v>
      </c>
      <c r="G200" s="24">
        <f>G35+SUM($D95:G95)</f>
        <v>0</v>
      </c>
      <c r="H200" s="24">
        <f>H35+SUM($D95:H95)</f>
        <v>0</v>
      </c>
      <c r="I200" s="24">
        <f>I35+SUM($D95:I95)</f>
        <v>0</v>
      </c>
      <c r="J200" s="24">
        <f>J35+SUM($D95:J95)</f>
        <v>0</v>
      </c>
      <c r="K200" s="24">
        <f>K35+SUM($D95:K95)</f>
        <v>0</v>
      </c>
      <c r="L200" s="24">
        <f>L35+SUM($D95:L95)</f>
        <v>0</v>
      </c>
      <c r="M200" s="24">
        <f>M35+SUM($D95:M95)</f>
        <v>13.8</v>
      </c>
      <c r="N200" s="24">
        <f>N35+SUM($D95:N95)</f>
        <v>13.8</v>
      </c>
      <c r="O200" s="24">
        <f>O35+SUM($D95:O95)</f>
        <v>13.8</v>
      </c>
      <c r="P200" s="24">
        <f>P35+SUM($D95:P95)</f>
        <v>13.8</v>
      </c>
      <c r="Q200" s="24">
        <f>Q35+SUM($D95:Q95)</f>
        <v>13.8</v>
      </c>
      <c r="R200" s="24">
        <f>R35+SUM($D95:R95)</f>
        <v>13.8</v>
      </c>
      <c r="S200" s="24">
        <f>S35+SUM($D95:S95)</f>
        <v>13.8</v>
      </c>
      <c r="T200" s="24">
        <f>T35+SUM($D95:T95)</f>
        <v>13.8</v>
      </c>
      <c r="U200" s="24">
        <f>U35+SUM($D95:U95)</f>
        <v>13.8</v>
      </c>
      <c r="V200" s="24">
        <f>V35+SUM($D95:V95)</f>
        <v>13.8</v>
      </c>
      <c r="W200" s="24">
        <f>W35+SUM($D95:W95)</f>
        <v>13.8</v>
      </c>
      <c r="X200" s="24">
        <f>X35+SUM($D95:X95)</f>
        <v>13.8</v>
      </c>
      <c r="Y200" s="24">
        <f>Y35+SUM($D95:Y95)</f>
        <v>13.8</v>
      </c>
      <c r="Z200" s="24">
        <f>Z35+SUM($D95:Z95)</f>
        <v>13.8</v>
      </c>
      <c r="AA200" s="24">
        <f>AA35+SUM($D95:AA95)</f>
        <v>13.8</v>
      </c>
      <c r="AB200" s="24">
        <f>AB35+SUM($D95:AB95)</f>
        <v>13.8</v>
      </c>
      <c r="AC200" s="24">
        <f>AC35+SUM($D95:AC95)</f>
        <v>13.8</v>
      </c>
      <c r="AD200" s="24">
        <f>AD35+SUM($D95:AD95)</f>
        <v>13.8</v>
      </c>
      <c r="AE200" s="24">
        <f>AE35+SUM($D95:AE95)</f>
        <v>13.8</v>
      </c>
      <c r="AF200" s="24">
        <f>AF35+SUM($D95:AF95)</f>
        <v>13.8</v>
      </c>
      <c r="AG200" s="24">
        <f>AG35+SUM($D95:AG95)</f>
        <v>13.8</v>
      </c>
      <c r="AH200" s="24">
        <f t="shared" si="190"/>
        <v>289.80000000000013</v>
      </c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</row>
    <row r="201" spans="1:51" outlineLevel="2" x14ac:dyDescent="0.25">
      <c r="A201" s="21" t="s">
        <v>50</v>
      </c>
      <c r="B201" s="22" t="s">
        <v>36</v>
      </c>
      <c r="C201" s="22" t="s">
        <v>14</v>
      </c>
      <c r="D201" s="24">
        <f>D36+SUM($D96:D96)</f>
        <v>0</v>
      </c>
      <c r="E201" s="24">
        <f>E36+SUM($D96:E96)</f>
        <v>0</v>
      </c>
      <c r="F201" s="24">
        <f>F36+SUM($D96:F96)</f>
        <v>0</v>
      </c>
      <c r="G201" s="24">
        <f>G36+SUM($D96:G96)</f>
        <v>0</v>
      </c>
      <c r="H201" s="24">
        <f>H36+SUM($D96:H96)</f>
        <v>0</v>
      </c>
      <c r="I201" s="24">
        <f>I36+SUM($D96:I96)</f>
        <v>0</v>
      </c>
      <c r="J201" s="24">
        <f>J36+SUM($D96:J96)</f>
        <v>0</v>
      </c>
      <c r="K201" s="24">
        <f>K36+SUM($D96:K96)</f>
        <v>0</v>
      </c>
      <c r="L201" s="24">
        <f>L36+SUM($D96:L96)</f>
        <v>0</v>
      </c>
      <c r="M201" s="24">
        <f>M36+SUM($D96:M96)</f>
        <v>13.79</v>
      </c>
      <c r="N201" s="24">
        <f>N36+SUM($D96:N96)</f>
        <v>13.79</v>
      </c>
      <c r="O201" s="24">
        <f>O36+SUM($D96:O96)</f>
        <v>13.79</v>
      </c>
      <c r="P201" s="24">
        <f>P36+SUM($D96:P96)</f>
        <v>13.79</v>
      </c>
      <c r="Q201" s="24">
        <f>Q36+SUM($D96:Q96)</f>
        <v>13.79</v>
      </c>
      <c r="R201" s="24">
        <f>R36+SUM($D96:R96)</f>
        <v>13.79</v>
      </c>
      <c r="S201" s="24">
        <f>S36+SUM($D96:S96)</f>
        <v>13.79</v>
      </c>
      <c r="T201" s="24">
        <f>T36+SUM($D96:T96)</f>
        <v>13.79</v>
      </c>
      <c r="U201" s="24">
        <f>U36+SUM($D96:U96)</f>
        <v>13.79</v>
      </c>
      <c r="V201" s="24">
        <f>V36+SUM($D96:V96)</f>
        <v>13.79</v>
      </c>
      <c r="W201" s="24">
        <f>W36+SUM($D96:W96)</f>
        <v>16.16421714285714</v>
      </c>
      <c r="X201" s="24">
        <f>X36+SUM($D96:X96)</f>
        <v>16.16421714285714</v>
      </c>
      <c r="Y201" s="24">
        <f>Y36+SUM($D96:Y96)</f>
        <v>16.16421714285714</v>
      </c>
      <c r="Z201" s="24">
        <f>Z36+SUM($D96:Z96)</f>
        <v>16.16421714285714</v>
      </c>
      <c r="AA201" s="24">
        <f>AA36+SUM($D96:AA96)</f>
        <v>16.16421714285714</v>
      </c>
      <c r="AB201" s="24">
        <f>AB36+SUM($D96:AB96)</f>
        <v>16.16421714285714</v>
      </c>
      <c r="AC201" s="24">
        <f>AC36+SUM($D96:AC96)</f>
        <v>16.16421714285714</v>
      </c>
      <c r="AD201" s="24">
        <f>AD36+SUM($D96:AD96)</f>
        <v>16.16421714285714</v>
      </c>
      <c r="AE201" s="24">
        <f>AE36+SUM($D96:AE96)</f>
        <v>16.16421714285714</v>
      </c>
      <c r="AF201" s="24">
        <f>AF36+SUM($D96:AF96)</f>
        <v>16.16421714285714</v>
      </c>
      <c r="AG201" s="24">
        <f>AG36+SUM($D96:AG96)</f>
        <v>16.16421714285714</v>
      </c>
      <c r="AH201" s="24">
        <f t="shared" si="190"/>
        <v>315.70638857142836</v>
      </c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</row>
    <row r="202" spans="1:51" ht="14.4" x14ac:dyDescent="0.25">
      <c r="A202" s="385" t="s">
        <v>111</v>
      </c>
      <c r="B202" s="386"/>
      <c r="C202" s="11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3" t="s">
        <v>9</v>
      </c>
      <c r="AJ202" s="20"/>
    </row>
    <row r="203" spans="1:51" ht="14.4" x14ac:dyDescent="0.3">
      <c r="A203" s="15">
        <v>1</v>
      </c>
      <c r="B203" s="16" t="s">
        <v>112</v>
      </c>
      <c r="C203" s="16" t="s">
        <v>54</v>
      </c>
      <c r="D203" s="17">
        <f t="shared" ref="D203:AH203" si="191">SUM(D204:D215)</f>
        <v>1403500</v>
      </c>
      <c r="E203" s="17">
        <f t="shared" si="191"/>
        <v>1403500</v>
      </c>
      <c r="F203" s="17">
        <f t="shared" si="191"/>
        <v>1403500</v>
      </c>
      <c r="G203" s="17">
        <f t="shared" si="191"/>
        <v>1403500</v>
      </c>
      <c r="H203" s="17">
        <f t="shared" si="191"/>
        <v>1394750</v>
      </c>
      <c r="I203" s="17">
        <f t="shared" si="191"/>
        <v>1394750</v>
      </c>
      <c r="J203" s="17">
        <f t="shared" si="191"/>
        <v>1404028.5</v>
      </c>
      <c r="K203" s="17">
        <f t="shared" si="191"/>
        <v>1417767.75</v>
      </c>
      <c r="L203" s="17">
        <f t="shared" si="191"/>
        <v>1433307.75</v>
      </c>
      <c r="M203" s="17">
        <f t="shared" si="191"/>
        <v>1440222</v>
      </c>
      <c r="N203" s="17">
        <f t="shared" si="191"/>
        <v>1440222</v>
      </c>
      <c r="O203" s="17">
        <f t="shared" si="191"/>
        <v>1440222</v>
      </c>
      <c r="P203" s="17">
        <f t="shared" si="191"/>
        <v>1440222</v>
      </c>
      <c r="Q203" s="17">
        <f t="shared" si="191"/>
        <v>1440222</v>
      </c>
      <c r="R203" s="17">
        <f t="shared" si="191"/>
        <v>1440222</v>
      </c>
      <c r="S203" s="17">
        <f t="shared" si="191"/>
        <v>1440222</v>
      </c>
      <c r="T203" s="17">
        <f t="shared" si="191"/>
        <v>1440222</v>
      </c>
      <c r="U203" s="17">
        <f t="shared" si="191"/>
        <v>1440222</v>
      </c>
      <c r="V203" s="17">
        <f t="shared" si="191"/>
        <v>1440222</v>
      </c>
      <c r="W203" s="17">
        <f t="shared" si="191"/>
        <v>1448185.52</v>
      </c>
      <c r="X203" s="17">
        <f t="shared" si="191"/>
        <v>1448185.52</v>
      </c>
      <c r="Y203" s="17">
        <f t="shared" si="191"/>
        <v>1448185.52</v>
      </c>
      <c r="Z203" s="17">
        <f t="shared" si="191"/>
        <v>1448185.52</v>
      </c>
      <c r="AA203" s="17">
        <f t="shared" si="191"/>
        <v>1448185.52</v>
      </c>
      <c r="AB203" s="17">
        <f t="shared" si="191"/>
        <v>1448185.52</v>
      </c>
      <c r="AC203" s="17">
        <f t="shared" si="191"/>
        <v>1448185.52</v>
      </c>
      <c r="AD203" s="17">
        <f t="shared" si="191"/>
        <v>1448185.52</v>
      </c>
      <c r="AE203" s="17">
        <f t="shared" si="191"/>
        <v>1448185.52</v>
      </c>
      <c r="AF203" s="17">
        <f t="shared" si="191"/>
        <v>1448185.52</v>
      </c>
      <c r="AG203" s="17">
        <f t="shared" si="191"/>
        <v>1448185.52</v>
      </c>
      <c r="AH203" s="17">
        <f t="shared" si="191"/>
        <v>42990864.719999999</v>
      </c>
      <c r="AI203" s="20"/>
      <c r="AJ203" s="35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</row>
    <row r="204" spans="1:51" ht="14.4" outlineLevel="1" x14ac:dyDescent="0.3">
      <c r="A204" s="21" t="s">
        <v>12</v>
      </c>
      <c r="B204" s="22" t="s">
        <v>13</v>
      </c>
      <c r="C204" s="22" t="s">
        <v>54</v>
      </c>
      <c r="D204" s="23">
        <f t="shared" ref="D204:AG204" si="192">D176*3.5*1000</f>
        <v>151900</v>
      </c>
      <c r="E204" s="23">
        <f t="shared" si="192"/>
        <v>151900</v>
      </c>
      <c r="F204" s="23">
        <f t="shared" si="192"/>
        <v>151900</v>
      </c>
      <c r="G204" s="23">
        <f t="shared" si="192"/>
        <v>151900</v>
      </c>
      <c r="H204" s="23">
        <f t="shared" si="192"/>
        <v>151900</v>
      </c>
      <c r="I204" s="23">
        <f t="shared" si="192"/>
        <v>151900</v>
      </c>
      <c r="J204" s="23">
        <f t="shared" si="192"/>
        <v>156450</v>
      </c>
      <c r="K204" s="23">
        <f t="shared" si="192"/>
        <v>156450</v>
      </c>
      <c r="L204" s="23">
        <f t="shared" si="192"/>
        <v>156450</v>
      </c>
      <c r="M204" s="23">
        <f t="shared" si="192"/>
        <v>156450</v>
      </c>
      <c r="N204" s="23">
        <f t="shared" si="192"/>
        <v>156450</v>
      </c>
      <c r="O204" s="23">
        <f t="shared" si="192"/>
        <v>156450</v>
      </c>
      <c r="P204" s="23">
        <f t="shared" si="192"/>
        <v>156450</v>
      </c>
      <c r="Q204" s="23">
        <f t="shared" si="192"/>
        <v>156450</v>
      </c>
      <c r="R204" s="23">
        <f t="shared" si="192"/>
        <v>156450</v>
      </c>
      <c r="S204" s="23">
        <f t="shared" si="192"/>
        <v>156450</v>
      </c>
      <c r="T204" s="23">
        <f t="shared" si="192"/>
        <v>156450</v>
      </c>
      <c r="U204" s="23">
        <f t="shared" si="192"/>
        <v>156450</v>
      </c>
      <c r="V204" s="23">
        <f t="shared" si="192"/>
        <v>156450</v>
      </c>
      <c r="W204" s="23">
        <f t="shared" si="192"/>
        <v>156450</v>
      </c>
      <c r="X204" s="23">
        <f t="shared" si="192"/>
        <v>156450</v>
      </c>
      <c r="Y204" s="23">
        <f t="shared" si="192"/>
        <v>156450</v>
      </c>
      <c r="Z204" s="23">
        <f t="shared" si="192"/>
        <v>156450</v>
      </c>
      <c r="AA204" s="23">
        <f t="shared" si="192"/>
        <v>156450</v>
      </c>
      <c r="AB204" s="23">
        <f t="shared" si="192"/>
        <v>156450</v>
      </c>
      <c r="AC204" s="23">
        <f t="shared" si="192"/>
        <v>156450</v>
      </c>
      <c r="AD204" s="23">
        <f t="shared" si="192"/>
        <v>156450</v>
      </c>
      <c r="AE204" s="23">
        <f t="shared" si="192"/>
        <v>156450</v>
      </c>
      <c r="AF204" s="23">
        <f t="shared" si="192"/>
        <v>156450</v>
      </c>
      <c r="AG204" s="23">
        <f t="shared" si="192"/>
        <v>156450</v>
      </c>
      <c r="AH204" s="23">
        <f t="shared" ref="AH204:AH215" si="193">SUM(D204:AG204)</f>
        <v>4666200</v>
      </c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</row>
    <row r="205" spans="1:51" outlineLevel="2" x14ac:dyDescent="0.25">
      <c r="A205" s="21" t="s">
        <v>15</v>
      </c>
      <c r="B205" s="22" t="s">
        <v>16</v>
      </c>
      <c r="C205" s="22" t="s">
        <v>54</v>
      </c>
      <c r="D205" s="24">
        <f t="shared" ref="D205:AG205" si="194">D177*3.5*1000</f>
        <v>218400</v>
      </c>
      <c r="E205" s="24">
        <f t="shared" si="194"/>
        <v>218400</v>
      </c>
      <c r="F205" s="24">
        <f t="shared" si="194"/>
        <v>218400</v>
      </c>
      <c r="G205" s="24">
        <f t="shared" si="194"/>
        <v>218400</v>
      </c>
      <c r="H205" s="24">
        <f t="shared" si="194"/>
        <v>218400</v>
      </c>
      <c r="I205" s="24">
        <f t="shared" si="194"/>
        <v>218400</v>
      </c>
      <c r="J205" s="24">
        <f t="shared" si="194"/>
        <v>218578.5</v>
      </c>
      <c r="K205" s="24">
        <f t="shared" si="194"/>
        <v>225403.49999999997</v>
      </c>
      <c r="L205" s="24">
        <f t="shared" si="194"/>
        <v>225403.49999999997</v>
      </c>
      <c r="M205" s="24">
        <f t="shared" si="194"/>
        <v>225403.49999999997</v>
      </c>
      <c r="N205" s="24">
        <f t="shared" si="194"/>
        <v>225403.49999999997</v>
      </c>
      <c r="O205" s="24">
        <f t="shared" si="194"/>
        <v>225403.49999999997</v>
      </c>
      <c r="P205" s="24">
        <f t="shared" si="194"/>
        <v>225403.49999999997</v>
      </c>
      <c r="Q205" s="24">
        <f t="shared" si="194"/>
        <v>225403.49999999997</v>
      </c>
      <c r="R205" s="24">
        <f t="shared" si="194"/>
        <v>225403.49999999997</v>
      </c>
      <c r="S205" s="24">
        <f t="shared" si="194"/>
        <v>225403.49999999997</v>
      </c>
      <c r="T205" s="24">
        <f t="shared" si="194"/>
        <v>225403.49999999997</v>
      </c>
      <c r="U205" s="24">
        <f t="shared" si="194"/>
        <v>225403.49999999997</v>
      </c>
      <c r="V205" s="24">
        <f t="shared" si="194"/>
        <v>225403.49999999997</v>
      </c>
      <c r="W205" s="24">
        <f t="shared" si="194"/>
        <v>225403.49999999997</v>
      </c>
      <c r="X205" s="24">
        <f t="shared" si="194"/>
        <v>225403.49999999997</v>
      </c>
      <c r="Y205" s="24">
        <f t="shared" si="194"/>
        <v>225403.49999999997</v>
      </c>
      <c r="Z205" s="24">
        <f t="shared" si="194"/>
        <v>225403.49999999997</v>
      </c>
      <c r="AA205" s="24">
        <f t="shared" si="194"/>
        <v>225403.49999999997</v>
      </c>
      <c r="AB205" s="24">
        <f t="shared" si="194"/>
        <v>225403.49999999997</v>
      </c>
      <c r="AC205" s="24">
        <f t="shared" si="194"/>
        <v>225403.49999999997</v>
      </c>
      <c r="AD205" s="24">
        <f t="shared" si="194"/>
        <v>225403.49999999997</v>
      </c>
      <c r="AE205" s="24">
        <f t="shared" si="194"/>
        <v>225403.49999999997</v>
      </c>
      <c r="AF205" s="24">
        <f t="shared" si="194"/>
        <v>225403.49999999997</v>
      </c>
      <c r="AG205" s="24">
        <f t="shared" si="194"/>
        <v>225403.49999999997</v>
      </c>
      <c r="AH205" s="24">
        <f t="shared" si="193"/>
        <v>6713259</v>
      </c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</row>
    <row r="206" spans="1:51" outlineLevel="2" x14ac:dyDescent="0.25">
      <c r="A206" s="21" t="s">
        <v>17</v>
      </c>
      <c r="B206" s="22" t="s">
        <v>18</v>
      </c>
      <c r="C206" s="22" t="s">
        <v>54</v>
      </c>
      <c r="D206" s="24">
        <f t="shared" ref="D206:AG206" si="195">D178*3.5*1000</f>
        <v>155399.99999999997</v>
      </c>
      <c r="E206" s="24">
        <f t="shared" si="195"/>
        <v>155399.99999999997</v>
      </c>
      <c r="F206" s="24">
        <f t="shared" si="195"/>
        <v>155399.99999999997</v>
      </c>
      <c r="G206" s="24">
        <f t="shared" si="195"/>
        <v>155399.99999999997</v>
      </c>
      <c r="H206" s="24">
        <f t="shared" si="195"/>
        <v>155399.99999999997</v>
      </c>
      <c r="I206" s="24">
        <f t="shared" si="195"/>
        <v>155399.99999999997</v>
      </c>
      <c r="J206" s="24">
        <f t="shared" si="195"/>
        <v>155399.99999999997</v>
      </c>
      <c r="K206" s="24">
        <f t="shared" si="195"/>
        <v>155399.99999999997</v>
      </c>
      <c r="L206" s="24">
        <f t="shared" si="195"/>
        <v>162224.99999999997</v>
      </c>
      <c r="M206" s="24">
        <f t="shared" si="195"/>
        <v>162224.99999999997</v>
      </c>
      <c r="N206" s="24">
        <f t="shared" si="195"/>
        <v>162224.99999999997</v>
      </c>
      <c r="O206" s="24">
        <f t="shared" si="195"/>
        <v>162224.99999999997</v>
      </c>
      <c r="P206" s="24">
        <f t="shared" si="195"/>
        <v>162224.99999999997</v>
      </c>
      <c r="Q206" s="24">
        <f t="shared" si="195"/>
        <v>162224.99999999997</v>
      </c>
      <c r="R206" s="24">
        <f t="shared" si="195"/>
        <v>162224.99999999997</v>
      </c>
      <c r="S206" s="24">
        <f t="shared" si="195"/>
        <v>162224.99999999997</v>
      </c>
      <c r="T206" s="24">
        <f t="shared" si="195"/>
        <v>162224.99999999997</v>
      </c>
      <c r="U206" s="24">
        <f t="shared" si="195"/>
        <v>162224.99999999997</v>
      </c>
      <c r="V206" s="24">
        <f t="shared" si="195"/>
        <v>162224.99999999997</v>
      </c>
      <c r="W206" s="24">
        <f t="shared" si="195"/>
        <v>162224.99999999997</v>
      </c>
      <c r="X206" s="24">
        <f t="shared" si="195"/>
        <v>162224.99999999997</v>
      </c>
      <c r="Y206" s="24">
        <f t="shared" si="195"/>
        <v>162224.99999999997</v>
      </c>
      <c r="Z206" s="24">
        <f t="shared" si="195"/>
        <v>162224.99999999997</v>
      </c>
      <c r="AA206" s="24">
        <f t="shared" si="195"/>
        <v>162224.99999999997</v>
      </c>
      <c r="AB206" s="24">
        <f t="shared" si="195"/>
        <v>162224.99999999997</v>
      </c>
      <c r="AC206" s="24">
        <f t="shared" si="195"/>
        <v>162224.99999999997</v>
      </c>
      <c r="AD206" s="24">
        <f t="shared" si="195"/>
        <v>162224.99999999997</v>
      </c>
      <c r="AE206" s="24">
        <f t="shared" si="195"/>
        <v>162224.99999999997</v>
      </c>
      <c r="AF206" s="24">
        <f t="shared" si="195"/>
        <v>162224.99999999997</v>
      </c>
      <c r="AG206" s="24">
        <f t="shared" si="195"/>
        <v>162224.99999999997</v>
      </c>
      <c r="AH206" s="24">
        <f t="shared" si="193"/>
        <v>4812149.9999999991</v>
      </c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</row>
    <row r="207" spans="1:51" outlineLevel="2" x14ac:dyDescent="0.25">
      <c r="A207" s="21" t="s">
        <v>19</v>
      </c>
      <c r="B207" s="22" t="s">
        <v>20</v>
      </c>
      <c r="C207" s="22" t="s">
        <v>54</v>
      </c>
      <c r="D207" s="24">
        <f t="shared" ref="D207:AG207" si="196">D179*3.5*1000</f>
        <v>103600.00000000007</v>
      </c>
      <c r="E207" s="24">
        <f t="shared" si="196"/>
        <v>103600.00000000007</v>
      </c>
      <c r="F207" s="24">
        <f t="shared" si="196"/>
        <v>103600.00000000007</v>
      </c>
      <c r="G207" s="24">
        <f t="shared" si="196"/>
        <v>103600.00000000007</v>
      </c>
      <c r="H207" s="24">
        <f t="shared" si="196"/>
        <v>103600.00000000007</v>
      </c>
      <c r="I207" s="24">
        <f t="shared" si="196"/>
        <v>103600.00000000007</v>
      </c>
      <c r="J207" s="24">
        <f t="shared" si="196"/>
        <v>105875.00000000007</v>
      </c>
      <c r="K207" s="24">
        <f t="shared" si="196"/>
        <v>105964.25000000007</v>
      </c>
      <c r="L207" s="24">
        <f t="shared" si="196"/>
        <v>106909.25000000009</v>
      </c>
      <c r="M207" s="24">
        <f t="shared" si="196"/>
        <v>106909.25000000009</v>
      </c>
      <c r="N207" s="24">
        <f t="shared" si="196"/>
        <v>106909.25000000009</v>
      </c>
      <c r="O207" s="24">
        <f t="shared" si="196"/>
        <v>106909.25000000009</v>
      </c>
      <c r="P207" s="24">
        <f t="shared" si="196"/>
        <v>106909.25000000009</v>
      </c>
      <c r="Q207" s="24">
        <f t="shared" si="196"/>
        <v>106909.25000000009</v>
      </c>
      <c r="R207" s="24">
        <f t="shared" si="196"/>
        <v>106909.25000000009</v>
      </c>
      <c r="S207" s="24">
        <f t="shared" si="196"/>
        <v>106909.25000000009</v>
      </c>
      <c r="T207" s="24">
        <f t="shared" si="196"/>
        <v>106909.25000000009</v>
      </c>
      <c r="U207" s="24">
        <f t="shared" si="196"/>
        <v>106909.25000000009</v>
      </c>
      <c r="V207" s="24">
        <f t="shared" si="196"/>
        <v>106909.25000000009</v>
      </c>
      <c r="W207" s="24">
        <f t="shared" si="196"/>
        <v>106909.25000000009</v>
      </c>
      <c r="X207" s="24">
        <f t="shared" si="196"/>
        <v>106909.25000000009</v>
      </c>
      <c r="Y207" s="24">
        <f t="shared" si="196"/>
        <v>106909.25000000009</v>
      </c>
      <c r="Z207" s="24">
        <f t="shared" si="196"/>
        <v>106909.25000000009</v>
      </c>
      <c r="AA207" s="24">
        <f t="shared" si="196"/>
        <v>106909.25000000009</v>
      </c>
      <c r="AB207" s="24">
        <f t="shared" si="196"/>
        <v>106909.25000000009</v>
      </c>
      <c r="AC207" s="24">
        <f t="shared" si="196"/>
        <v>106909.25000000009</v>
      </c>
      <c r="AD207" s="24">
        <f t="shared" si="196"/>
        <v>106909.25000000009</v>
      </c>
      <c r="AE207" s="24">
        <f t="shared" si="196"/>
        <v>106909.25000000009</v>
      </c>
      <c r="AF207" s="24">
        <f t="shared" si="196"/>
        <v>106909.25000000009</v>
      </c>
      <c r="AG207" s="24">
        <f t="shared" si="196"/>
        <v>106909.25000000009</v>
      </c>
      <c r="AH207" s="24">
        <f t="shared" si="193"/>
        <v>3185442.7500000009</v>
      </c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</row>
    <row r="208" spans="1:51" outlineLevel="2" x14ac:dyDescent="0.25">
      <c r="A208" s="21" t="s">
        <v>21</v>
      </c>
      <c r="B208" s="22" t="s">
        <v>22</v>
      </c>
      <c r="C208" s="22" t="s">
        <v>54</v>
      </c>
      <c r="D208" s="24">
        <f t="shared" ref="D208:AG208" si="197">D180*3.5*1000</f>
        <v>6299.99999999994</v>
      </c>
      <c r="E208" s="24">
        <f t="shared" si="197"/>
        <v>6299.99999999994</v>
      </c>
      <c r="F208" s="24">
        <f t="shared" si="197"/>
        <v>6299.99999999994</v>
      </c>
      <c r="G208" s="24">
        <f t="shared" si="197"/>
        <v>6299.99999999994</v>
      </c>
      <c r="H208" s="24">
        <f t="shared" si="197"/>
        <v>6299.99999999994</v>
      </c>
      <c r="I208" s="24">
        <f t="shared" si="197"/>
        <v>6299.99999999994</v>
      </c>
      <c r="J208" s="24">
        <f t="shared" si="197"/>
        <v>6299.99999999994</v>
      </c>
      <c r="K208" s="24">
        <f t="shared" si="197"/>
        <v>6299.99999999994</v>
      </c>
      <c r="L208" s="24">
        <f t="shared" si="197"/>
        <v>6299.99999999994</v>
      </c>
      <c r="M208" s="24">
        <f t="shared" si="197"/>
        <v>6299.99999999994</v>
      </c>
      <c r="N208" s="24">
        <f t="shared" si="197"/>
        <v>6299.99999999994</v>
      </c>
      <c r="O208" s="24">
        <f t="shared" si="197"/>
        <v>6299.99999999994</v>
      </c>
      <c r="P208" s="24">
        <f t="shared" si="197"/>
        <v>6299.99999999994</v>
      </c>
      <c r="Q208" s="24">
        <f t="shared" si="197"/>
        <v>6299.99999999994</v>
      </c>
      <c r="R208" s="24">
        <f t="shared" si="197"/>
        <v>6299.99999999994</v>
      </c>
      <c r="S208" s="24">
        <f t="shared" si="197"/>
        <v>6299.99999999994</v>
      </c>
      <c r="T208" s="24">
        <f t="shared" si="197"/>
        <v>6299.99999999994</v>
      </c>
      <c r="U208" s="24">
        <f t="shared" si="197"/>
        <v>6299.99999999994</v>
      </c>
      <c r="V208" s="24">
        <f t="shared" si="197"/>
        <v>6299.99999999994</v>
      </c>
      <c r="W208" s="24">
        <f t="shared" si="197"/>
        <v>6299.99999999994</v>
      </c>
      <c r="X208" s="24">
        <f t="shared" si="197"/>
        <v>6299.99999999994</v>
      </c>
      <c r="Y208" s="24">
        <f t="shared" si="197"/>
        <v>6299.99999999994</v>
      </c>
      <c r="Z208" s="24">
        <f t="shared" si="197"/>
        <v>6299.99999999994</v>
      </c>
      <c r="AA208" s="24">
        <f t="shared" si="197"/>
        <v>6299.99999999994</v>
      </c>
      <c r="AB208" s="24">
        <f t="shared" si="197"/>
        <v>6299.99999999994</v>
      </c>
      <c r="AC208" s="24">
        <f t="shared" si="197"/>
        <v>6299.99999999994</v>
      </c>
      <c r="AD208" s="24">
        <f t="shared" si="197"/>
        <v>6299.99999999994</v>
      </c>
      <c r="AE208" s="24">
        <f t="shared" si="197"/>
        <v>6299.99999999994</v>
      </c>
      <c r="AF208" s="24">
        <f t="shared" si="197"/>
        <v>6299.99999999994</v>
      </c>
      <c r="AG208" s="24">
        <f t="shared" si="197"/>
        <v>6299.99999999994</v>
      </c>
      <c r="AH208" s="24">
        <f t="shared" si="193"/>
        <v>188999.99999999822</v>
      </c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</row>
    <row r="209" spans="1:51" outlineLevel="2" x14ac:dyDescent="0.25">
      <c r="A209" s="21" t="s">
        <v>23</v>
      </c>
      <c r="B209" s="22" t="s">
        <v>24</v>
      </c>
      <c r="C209" s="22" t="s">
        <v>54</v>
      </c>
      <c r="D209" s="24">
        <f t="shared" ref="D209:AG209" si="198">D181*3.5*1000</f>
        <v>121800.00000000004</v>
      </c>
      <c r="E209" s="24">
        <f t="shared" si="198"/>
        <v>121800.00000000004</v>
      </c>
      <c r="F209" s="24">
        <f t="shared" si="198"/>
        <v>121800.00000000004</v>
      </c>
      <c r="G209" s="24">
        <f t="shared" si="198"/>
        <v>121800.00000000004</v>
      </c>
      <c r="H209" s="24">
        <f t="shared" si="198"/>
        <v>121800.00000000004</v>
      </c>
      <c r="I209" s="24">
        <f t="shared" si="198"/>
        <v>121800.00000000004</v>
      </c>
      <c r="J209" s="24">
        <f t="shared" si="198"/>
        <v>121800.00000000004</v>
      </c>
      <c r="K209" s="24">
        <f t="shared" si="198"/>
        <v>121800.00000000004</v>
      </c>
      <c r="L209" s="24">
        <f t="shared" si="198"/>
        <v>122745.00000000004</v>
      </c>
      <c r="M209" s="24">
        <f t="shared" si="198"/>
        <v>122745.00000000004</v>
      </c>
      <c r="N209" s="24">
        <f t="shared" si="198"/>
        <v>122745.00000000004</v>
      </c>
      <c r="O209" s="24">
        <f t="shared" si="198"/>
        <v>122745.00000000004</v>
      </c>
      <c r="P209" s="24">
        <f t="shared" si="198"/>
        <v>122745.00000000004</v>
      </c>
      <c r="Q209" s="24">
        <f t="shared" si="198"/>
        <v>122745.00000000004</v>
      </c>
      <c r="R209" s="24">
        <f t="shared" si="198"/>
        <v>122745.00000000004</v>
      </c>
      <c r="S209" s="24">
        <f t="shared" si="198"/>
        <v>122745.00000000004</v>
      </c>
      <c r="T209" s="24">
        <f t="shared" si="198"/>
        <v>122745.00000000004</v>
      </c>
      <c r="U209" s="24">
        <f t="shared" si="198"/>
        <v>122745.00000000004</v>
      </c>
      <c r="V209" s="24">
        <f t="shared" si="198"/>
        <v>122745.00000000004</v>
      </c>
      <c r="W209" s="24">
        <f t="shared" si="198"/>
        <v>122745.00000000004</v>
      </c>
      <c r="X209" s="24">
        <f t="shared" si="198"/>
        <v>122745.00000000004</v>
      </c>
      <c r="Y209" s="24">
        <f t="shared" si="198"/>
        <v>122745.00000000004</v>
      </c>
      <c r="Z209" s="24">
        <f t="shared" si="198"/>
        <v>122745.00000000004</v>
      </c>
      <c r="AA209" s="24">
        <f t="shared" si="198"/>
        <v>122745.00000000004</v>
      </c>
      <c r="AB209" s="24">
        <f t="shared" si="198"/>
        <v>122745.00000000004</v>
      </c>
      <c r="AC209" s="24">
        <f t="shared" si="198"/>
        <v>122745.00000000004</v>
      </c>
      <c r="AD209" s="24">
        <f t="shared" si="198"/>
        <v>122745.00000000004</v>
      </c>
      <c r="AE209" s="24">
        <f t="shared" si="198"/>
        <v>122745.00000000004</v>
      </c>
      <c r="AF209" s="24">
        <f t="shared" si="198"/>
        <v>122745.00000000004</v>
      </c>
      <c r="AG209" s="24">
        <f t="shared" si="198"/>
        <v>122745.00000000004</v>
      </c>
      <c r="AH209" s="24">
        <f t="shared" si="193"/>
        <v>3674790.0000000005</v>
      </c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</row>
    <row r="210" spans="1:51" outlineLevel="2" x14ac:dyDescent="0.25">
      <c r="A210" s="21" t="s">
        <v>25</v>
      </c>
      <c r="B210" s="22" t="s">
        <v>26</v>
      </c>
      <c r="C210" s="22" t="s">
        <v>54</v>
      </c>
      <c r="D210" s="24">
        <f t="shared" ref="D210:AG210" si="199">D182*3.5*1000</f>
        <v>35699.999999999964</v>
      </c>
      <c r="E210" s="24">
        <f t="shared" si="199"/>
        <v>35699.999999999964</v>
      </c>
      <c r="F210" s="24">
        <f t="shared" si="199"/>
        <v>35699.999999999964</v>
      </c>
      <c r="G210" s="24">
        <f t="shared" si="199"/>
        <v>35699.999999999964</v>
      </c>
      <c r="H210" s="24">
        <f t="shared" si="199"/>
        <v>35699.999999999964</v>
      </c>
      <c r="I210" s="24">
        <f t="shared" si="199"/>
        <v>35699.999999999964</v>
      </c>
      <c r="J210" s="24">
        <f t="shared" si="199"/>
        <v>37974.999999999956</v>
      </c>
      <c r="K210" s="24">
        <f t="shared" si="199"/>
        <v>37974.999999999956</v>
      </c>
      <c r="L210" s="24">
        <f t="shared" si="199"/>
        <v>37974.999999999956</v>
      </c>
      <c r="M210" s="24">
        <f t="shared" si="199"/>
        <v>37974.999999999956</v>
      </c>
      <c r="N210" s="24">
        <f t="shared" si="199"/>
        <v>37974.999999999956</v>
      </c>
      <c r="O210" s="24">
        <f t="shared" si="199"/>
        <v>37974.999999999956</v>
      </c>
      <c r="P210" s="24">
        <f t="shared" si="199"/>
        <v>37974.999999999956</v>
      </c>
      <c r="Q210" s="24">
        <f t="shared" si="199"/>
        <v>37974.999999999956</v>
      </c>
      <c r="R210" s="24">
        <f t="shared" si="199"/>
        <v>37974.999999999956</v>
      </c>
      <c r="S210" s="24">
        <f t="shared" si="199"/>
        <v>37974.999999999956</v>
      </c>
      <c r="T210" s="24">
        <f t="shared" si="199"/>
        <v>37974.999999999956</v>
      </c>
      <c r="U210" s="24">
        <f t="shared" si="199"/>
        <v>37974.999999999956</v>
      </c>
      <c r="V210" s="24">
        <f t="shared" si="199"/>
        <v>37974.999999999956</v>
      </c>
      <c r="W210" s="24">
        <f t="shared" si="199"/>
        <v>37974.999999999956</v>
      </c>
      <c r="X210" s="24">
        <f t="shared" si="199"/>
        <v>37974.999999999956</v>
      </c>
      <c r="Y210" s="24">
        <f t="shared" si="199"/>
        <v>37974.999999999956</v>
      </c>
      <c r="Z210" s="24">
        <f t="shared" si="199"/>
        <v>37974.999999999956</v>
      </c>
      <c r="AA210" s="24">
        <f t="shared" si="199"/>
        <v>37974.999999999956</v>
      </c>
      <c r="AB210" s="24">
        <f t="shared" si="199"/>
        <v>37974.999999999956</v>
      </c>
      <c r="AC210" s="24">
        <f t="shared" si="199"/>
        <v>37974.999999999956</v>
      </c>
      <c r="AD210" s="24">
        <f t="shared" si="199"/>
        <v>37974.999999999956</v>
      </c>
      <c r="AE210" s="24">
        <f t="shared" si="199"/>
        <v>37974.999999999956</v>
      </c>
      <c r="AF210" s="24">
        <f t="shared" si="199"/>
        <v>37974.999999999956</v>
      </c>
      <c r="AG210" s="24">
        <f t="shared" si="199"/>
        <v>37974.999999999956</v>
      </c>
      <c r="AH210" s="24">
        <f t="shared" si="193"/>
        <v>1125599.9999999993</v>
      </c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</row>
    <row r="211" spans="1:51" outlineLevel="2" x14ac:dyDescent="0.25">
      <c r="A211" s="21" t="s">
        <v>27</v>
      </c>
      <c r="B211" s="22" t="s">
        <v>28</v>
      </c>
      <c r="C211" s="22" t="s">
        <v>54</v>
      </c>
      <c r="D211" s="24">
        <f t="shared" ref="D211:AG211" si="200">D183*3.5*1000</f>
        <v>6300.00000000004</v>
      </c>
      <c r="E211" s="24">
        <f t="shared" si="200"/>
        <v>6300.00000000004</v>
      </c>
      <c r="F211" s="24">
        <f t="shared" si="200"/>
        <v>6300.00000000004</v>
      </c>
      <c r="G211" s="24">
        <f t="shared" si="200"/>
        <v>6300.00000000004</v>
      </c>
      <c r="H211" s="24">
        <f t="shared" si="200"/>
        <v>6300.00000000004</v>
      </c>
      <c r="I211" s="24">
        <f t="shared" si="200"/>
        <v>6300.00000000004</v>
      </c>
      <c r="J211" s="24">
        <f t="shared" si="200"/>
        <v>6300.00000000004</v>
      </c>
      <c r="K211" s="24">
        <f t="shared" si="200"/>
        <v>6300.00000000004</v>
      </c>
      <c r="L211" s="24">
        <f t="shared" si="200"/>
        <v>6300.00000000004</v>
      </c>
      <c r="M211" s="24">
        <f t="shared" si="200"/>
        <v>6300.00000000004</v>
      </c>
      <c r="N211" s="24">
        <f t="shared" si="200"/>
        <v>6300.00000000004</v>
      </c>
      <c r="O211" s="24">
        <f t="shared" si="200"/>
        <v>6300.00000000004</v>
      </c>
      <c r="P211" s="24">
        <f t="shared" si="200"/>
        <v>6300.00000000004</v>
      </c>
      <c r="Q211" s="24">
        <f t="shared" si="200"/>
        <v>6300.00000000004</v>
      </c>
      <c r="R211" s="24">
        <f t="shared" si="200"/>
        <v>6300.00000000004</v>
      </c>
      <c r="S211" s="24">
        <f t="shared" si="200"/>
        <v>6300.00000000004</v>
      </c>
      <c r="T211" s="24">
        <f t="shared" si="200"/>
        <v>6300.00000000004</v>
      </c>
      <c r="U211" s="24">
        <f t="shared" si="200"/>
        <v>6300.00000000004</v>
      </c>
      <c r="V211" s="24">
        <f t="shared" si="200"/>
        <v>6300.00000000004</v>
      </c>
      <c r="W211" s="24">
        <f t="shared" si="200"/>
        <v>6300.00000000004</v>
      </c>
      <c r="X211" s="24">
        <f t="shared" si="200"/>
        <v>6300.00000000004</v>
      </c>
      <c r="Y211" s="24">
        <f t="shared" si="200"/>
        <v>6300.00000000004</v>
      </c>
      <c r="Z211" s="24">
        <f t="shared" si="200"/>
        <v>6300.00000000004</v>
      </c>
      <c r="AA211" s="24">
        <f t="shared" si="200"/>
        <v>6300.00000000004</v>
      </c>
      <c r="AB211" s="24">
        <f t="shared" si="200"/>
        <v>6300.00000000004</v>
      </c>
      <c r="AC211" s="24">
        <f t="shared" si="200"/>
        <v>6300.00000000004</v>
      </c>
      <c r="AD211" s="24">
        <f t="shared" si="200"/>
        <v>6300.00000000004</v>
      </c>
      <c r="AE211" s="24">
        <f t="shared" si="200"/>
        <v>6300.00000000004</v>
      </c>
      <c r="AF211" s="24">
        <f t="shared" si="200"/>
        <v>6300.00000000004</v>
      </c>
      <c r="AG211" s="24">
        <f t="shared" si="200"/>
        <v>6300.00000000004</v>
      </c>
      <c r="AH211" s="24">
        <f t="shared" si="193"/>
        <v>189000.00000000114</v>
      </c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</row>
    <row r="212" spans="1:51" outlineLevel="2" x14ac:dyDescent="0.25">
      <c r="A212" s="21" t="s">
        <v>29</v>
      </c>
      <c r="B212" s="22" t="s">
        <v>30</v>
      </c>
      <c r="C212" s="22" t="s">
        <v>54</v>
      </c>
      <c r="D212" s="24">
        <f t="shared" ref="D212:AG212" si="201">D184*3.5*1000</f>
        <v>280700.00000000006</v>
      </c>
      <c r="E212" s="24">
        <f t="shared" si="201"/>
        <v>280700.00000000006</v>
      </c>
      <c r="F212" s="24">
        <f t="shared" si="201"/>
        <v>280700.00000000006</v>
      </c>
      <c r="G212" s="24">
        <f t="shared" si="201"/>
        <v>280700.00000000006</v>
      </c>
      <c r="H212" s="24">
        <f t="shared" si="201"/>
        <v>280700.00000000006</v>
      </c>
      <c r="I212" s="24">
        <f t="shared" si="201"/>
        <v>280700.00000000006</v>
      </c>
      <c r="J212" s="24">
        <f t="shared" si="201"/>
        <v>280700.00000000006</v>
      </c>
      <c r="K212" s="24">
        <f t="shared" si="201"/>
        <v>285250.00000000006</v>
      </c>
      <c r="L212" s="24">
        <f t="shared" si="201"/>
        <v>289800.00000000006</v>
      </c>
      <c r="M212" s="24">
        <f t="shared" si="201"/>
        <v>289800.00000000006</v>
      </c>
      <c r="N212" s="24">
        <f t="shared" si="201"/>
        <v>289800.00000000006</v>
      </c>
      <c r="O212" s="24">
        <f t="shared" si="201"/>
        <v>289800.00000000006</v>
      </c>
      <c r="P212" s="24">
        <f t="shared" si="201"/>
        <v>289800.00000000006</v>
      </c>
      <c r="Q212" s="24">
        <f t="shared" si="201"/>
        <v>289800.00000000006</v>
      </c>
      <c r="R212" s="24">
        <f t="shared" si="201"/>
        <v>289800.00000000006</v>
      </c>
      <c r="S212" s="24">
        <f t="shared" si="201"/>
        <v>289800.00000000006</v>
      </c>
      <c r="T212" s="24">
        <f t="shared" si="201"/>
        <v>289800.00000000006</v>
      </c>
      <c r="U212" s="24">
        <f t="shared" si="201"/>
        <v>289800.00000000006</v>
      </c>
      <c r="V212" s="24">
        <f t="shared" si="201"/>
        <v>289800.00000000006</v>
      </c>
      <c r="W212" s="24">
        <f t="shared" si="201"/>
        <v>289800.00000000006</v>
      </c>
      <c r="X212" s="24">
        <f t="shared" si="201"/>
        <v>289800.00000000006</v>
      </c>
      <c r="Y212" s="24">
        <f t="shared" si="201"/>
        <v>289800.00000000006</v>
      </c>
      <c r="Z212" s="24">
        <f t="shared" si="201"/>
        <v>289800.00000000006</v>
      </c>
      <c r="AA212" s="24">
        <f t="shared" si="201"/>
        <v>289800.00000000006</v>
      </c>
      <c r="AB212" s="24">
        <f t="shared" si="201"/>
        <v>289800.00000000006</v>
      </c>
      <c r="AC212" s="24">
        <f t="shared" si="201"/>
        <v>289800.00000000006</v>
      </c>
      <c r="AD212" s="24">
        <f t="shared" si="201"/>
        <v>289800.00000000006</v>
      </c>
      <c r="AE212" s="24">
        <f t="shared" si="201"/>
        <v>289800.00000000006</v>
      </c>
      <c r="AF212" s="24">
        <f t="shared" si="201"/>
        <v>289800.00000000006</v>
      </c>
      <c r="AG212" s="24">
        <f t="shared" si="201"/>
        <v>289800.00000000006</v>
      </c>
      <c r="AH212" s="24">
        <f t="shared" si="193"/>
        <v>8625750.0000000019</v>
      </c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</row>
    <row r="213" spans="1:51" outlineLevel="2" x14ac:dyDescent="0.25">
      <c r="A213" s="21" t="s">
        <v>31</v>
      </c>
      <c r="B213" s="22" t="s">
        <v>32</v>
      </c>
      <c r="C213" s="22" t="s">
        <v>54</v>
      </c>
      <c r="D213" s="24">
        <f t="shared" ref="D213:AG213" si="202">D185*3.5*1000</f>
        <v>185500</v>
      </c>
      <c r="E213" s="24">
        <f t="shared" si="202"/>
        <v>185500</v>
      </c>
      <c r="F213" s="24">
        <f t="shared" si="202"/>
        <v>185500</v>
      </c>
      <c r="G213" s="24">
        <f t="shared" si="202"/>
        <v>185500</v>
      </c>
      <c r="H213" s="24">
        <f t="shared" si="202"/>
        <v>185500</v>
      </c>
      <c r="I213" s="24">
        <f t="shared" si="202"/>
        <v>185500</v>
      </c>
      <c r="J213" s="24">
        <f t="shared" si="202"/>
        <v>185500</v>
      </c>
      <c r="K213" s="24">
        <f t="shared" si="202"/>
        <v>185500</v>
      </c>
      <c r="L213" s="24">
        <f t="shared" si="202"/>
        <v>185500</v>
      </c>
      <c r="M213" s="24">
        <f t="shared" si="202"/>
        <v>192414.25</v>
      </c>
      <c r="N213" s="24">
        <f t="shared" si="202"/>
        <v>192414.25</v>
      </c>
      <c r="O213" s="24">
        <f t="shared" si="202"/>
        <v>192414.25</v>
      </c>
      <c r="P213" s="24">
        <f t="shared" si="202"/>
        <v>192414.25</v>
      </c>
      <c r="Q213" s="24">
        <f t="shared" si="202"/>
        <v>192414.25</v>
      </c>
      <c r="R213" s="24">
        <f t="shared" si="202"/>
        <v>192414.25</v>
      </c>
      <c r="S213" s="24">
        <f t="shared" si="202"/>
        <v>192414.25</v>
      </c>
      <c r="T213" s="24">
        <f t="shared" si="202"/>
        <v>192414.25</v>
      </c>
      <c r="U213" s="24">
        <f t="shared" si="202"/>
        <v>192414.25</v>
      </c>
      <c r="V213" s="24">
        <f t="shared" si="202"/>
        <v>192414.25</v>
      </c>
      <c r="W213" s="24">
        <f t="shared" si="202"/>
        <v>192414.25</v>
      </c>
      <c r="X213" s="24">
        <f t="shared" si="202"/>
        <v>192414.25</v>
      </c>
      <c r="Y213" s="24">
        <f t="shared" si="202"/>
        <v>192414.25</v>
      </c>
      <c r="Z213" s="24">
        <f t="shared" si="202"/>
        <v>192414.25</v>
      </c>
      <c r="AA213" s="24">
        <f t="shared" si="202"/>
        <v>192414.25</v>
      </c>
      <c r="AB213" s="24">
        <f t="shared" si="202"/>
        <v>192414.25</v>
      </c>
      <c r="AC213" s="24">
        <f t="shared" si="202"/>
        <v>192414.25</v>
      </c>
      <c r="AD213" s="24">
        <f t="shared" si="202"/>
        <v>192414.25</v>
      </c>
      <c r="AE213" s="24">
        <f t="shared" si="202"/>
        <v>192414.25</v>
      </c>
      <c r="AF213" s="24">
        <f t="shared" si="202"/>
        <v>192414.25</v>
      </c>
      <c r="AG213" s="24">
        <f t="shared" si="202"/>
        <v>192414.25</v>
      </c>
      <c r="AH213" s="24">
        <f t="shared" si="193"/>
        <v>5710199.25</v>
      </c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</row>
    <row r="214" spans="1:51" outlineLevel="2" x14ac:dyDescent="0.25">
      <c r="A214" s="21" t="s">
        <v>33</v>
      </c>
      <c r="B214" s="22" t="s">
        <v>34</v>
      </c>
      <c r="C214" s="22" t="s">
        <v>54</v>
      </c>
      <c r="D214" s="24">
        <f t="shared" ref="D214:AG214" si="203">D186*3.5*1000</f>
        <v>57399.99999999992</v>
      </c>
      <c r="E214" s="24">
        <f t="shared" si="203"/>
        <v>57399.99999999992</v>
      </c>
      <c r="F214" s="24">
        <f t="shared" si="203"/>
        <v>57399.99999999992</v>
      </c>
      <c r="G214" s="24">
        <f t="shared" si="203"/>
        <v>57399.99999999992</v>
      </c>
      <c r="H214" s="24">
        <f t="shared" si="203"/>
        <v>57399.99999999992</v>
      </c>
      <c r="I214" s="24">
        <f t="shared" si="203"/>
        <v>57399.99999999992</v>
      </c>
      <c r="J214" s="24">
        <f t="shared" si="203"/>
        <v>57399.99999999992</v>
      </c>
      <c r="K214" s="24">
        <f t="shared" si="203"/>
        <v>57399.99999999992</v>
      </c>
      <c r="L214" s="24">
        <f t="shared" si="203"/>
        <v>57399.99999999992</v>
      </c>
      <c r="M214" s="24">
        <f t="shared" si="203"/>
        <v>57399.99999999992</v>
      </c>
      <c r="N214" s="24">
        <f t="shared" si="203"/>
        <v>57399.99999999992</v>
      </c>
      <c r="O214" s="24">
        <f t="shared" si="203"/>
        <v>57399.99999999992</v>
      </c>
      <c r="P214" s="24">
        <f t="shared" si="203"/>
        <v>57399.99999999992</v>
      </c>
      <c r="Q214" s="24">
        <f t="shared" si="203"/>
        <v>57399.99999999992</v>
      </c>
      <c r="R214" s="24">
        <f t="shared" si="203"/>
        <v>57399.99999999992</v>
      </c>
      <c r="S214" s="24">
        <f t="shared" si="203"/>
        <v>57399.99999999992</v>
      </c>
      <c r="T214" s="24">
        <f t="shared" si="203"/>
        <v>57399.99999999992</v>
      </c>
      <c r="U214" s="24">
        <f t="shared" si="203"/>
        <v>57399.99999999992</v>
      </c>
      <c r="V214" s="24">
        <f t="shared" si="203"/>
        <v>57399.99999999992</v>
      </c>
      <c r="W214" s="24">
        <f t="shared" si="203"/>
        <v>57399.99999999992</v>
      </c>
      <c r="X214" s="24">
        <f t="shared" si="203"/>
        <v>57399.99999999992</v>
      </c>
      <c r="Y214" s="24">
        <f t="shared" si="203"/>
        <v>57399.99999999992</v>
      </c>
      <c r="Z214" s="24">
        <f t="shared" si="203"/>
        <v>57399.99999999992</v>
      </c>
      <c r="AA214" s="24">
        <f t="shared" si="203"/>
        <v>57399.99999999992</v>
      </c>
      <c r="AB214" s="24">
        <f t="shared" si="203"/>
        <v>57399.99999999992</v>
      </c>
      <c r="AC214" s="24">
        <f t="shared" si="203"/>
        <v>57399.99999999992</v>
      </c>
      <c r="AD214" s="24">
        <f t="shared" si="203"/>
        <v>57399.99999999992</v>
      </c>
      <c r="AE214" s="24">
        <f t="shared" si="203"/>
        <v>57399.99999999992</v>
      </c>
      <c r="AF214" s="24">
        <f t="shared" si="203"/>
        <v>57399.99999999992</v>
      </c>
      <c r="AG214" s="24">
        <f t="shared" si="203"/>
        <v>57399.99999999992</v>
      </c>
      <c r="AH214" s="24">
        <f t="shared" si="193"/>
        <v>1721999.9999999984</v>
      </c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</row>
    <row r="215" spans="1:51" outlineLevel="2" x14ac:dyDescent="0.25">
      <c r="A215" s="21" t="s">
        <v>35</v>
      </c>
      <c r="B215" s="22" t="s">
        <v>36</v>
      </c>
      <c r="C215" s="22" t="s">
        <v>54</v>
      </c>
      <c r="D215" s="24">
        <f t="shared" ref="D215:AG215" si="204">D187*3.5*1000</f>
        <v>80500</v>
      </c>
      <c r="E215" s="24">
        <f t="shared" si="204"/>
        <v>80500</v>
      </c>
      <c r="F215" s="24">
        <f t="shared" si="204"/>
        <v>80500</v>
      </c>
      <c r="G215" s="24">
        <f t="shared" si="204"/>
        <v>80500</v>
      </c>
      <c r="H215" s="24">
        <f t="shared" si="204"/>
        <v>71750</v>
      </c>
      <c r="I215" s="24">
        <f t="shared" si="204"/>
        <v>71750</v>
      </c>
      <c r="J215" s="24">
        <f t="shared" si="204"/>
        <v>71750</v>
      </c>
      <c r="K215" s="24">
        <f t="shared" si="204"/>
        <v>74024.999999999985</v>
      </c>
      <c r="L215" s="24">
        <f t="shared" si="204"/>
        <v>76300</v>
      </c>
      <c r="M215" s="24">
        <f t="shared" si="204"/>
        <v>76300</v>
      </c>
      <c r="N215" s="24">
        <f t="shared" si="204"/>
        <v>76300</v>
      </c>
      <c r="O215" s="24">
        <f t="shared" si="204"/>
        <v>76300</v>
      </c>
      <c r="P215" s="24">
        <f t="shared" si="204"/>
        <v>76300</v>
      </c>
      <c r="Q215" s="24">
        <f t="shared" si="204"/>
        <v>76300</v>
      </c>
      <c r="R215" s="24">
        <f t="shared" si="204"/>
        <v>76300</v>
      </c>
      <c r="S215" s="24">
        <f t="shared" si="204"/>
        <v>76300</v>
      </c>
      <c r="T215" s="24">
        <f t="shared" si="204"/>
        <v>76300</v>
      </c>
      <c r="U215" s="24">
        <f t="shared" si="204"/>
        <v>76300</v>
      </c>
      <c r="V215" s="24">
        <f t="shared" si="204"/>
        <v>76300</v>
      </c>
      <c r="W215" s="24">
        <f t="shared" si="204"/>
        <v>84263.52</v>
      </c>
      <c r="X215" s="24">
        <f t="shared" si="204"/>
        <v>84263.52</v>
      </c>
      <c r="Y215" s="24">
        <f t="shared" si="204"/>
        <v>84263.52</v>
      </c>
      <c r="Z215" s="24">
        <f t="shared" si="204"/>
        <v>84263.52</v>
      </c>
      <c r="AA215" s="24">
        <f t="shared" si="204"/>
        <v>84263.52</v>
      </c>
      <c r="AB215" s="24">
        <f t="shared" si="204"/>
        <v>84263.52</v>
      </c>
      <c r="AC215" s="24">
        <f t="shared" si="204"/>
        <v>84263.52</v>
      </c>
      <c r="AD215" s="24">
        <f t="shared" si="204"/>
        <v>84263.52</v>
      </c>
      <c r="AE215" s="24">
        <f t="shared" si="204"/>
        <v>84263.52</v>
      </c>
      <c r="AF215" s="24">
        <f t="shared" si="204"/>
        <v>84263.52</v>
      </c>
      <c r="AG215" s="24">
        <f t="shared" si="204"/>
        <v>84263.52</v>
      </c>
      <c r="AH215" s="24">
        <f t="shared" si="193"/>
        <v>2377473.7200000002</v>
      </c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</row>
    <row r="216" spans="1:51" ht="14.4" x14ac:dyDescent="0.25">
      <c r="A216" s="385" t="s">
        <v>113</v>
      </c>
      <c r="B216" s="386"/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3" t="s">
        <v>9</v>
      </c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</row>
    <row r="217" spans="1:51" ht="14.4" x14ac:dyDescent="0.3">
      <c r="A217" s="15">
        <v>2</v>
      </c>
      <c r="B217" s="16" t="s">
        <v>114</v>
      </c>
      <c r="C217" s="16" t="s">
        <v>54</v>
      </c>
      <c r="D217" s="17">
        <f t="shared" ref="D217:AH217" si="205">SUM(D218:D229)</f>
        <v>0</v>
      </c>
      <c r="E217" s="17">
        <f t="shared" si="205"/>
        <v>0</v>
      </c>
      <c r="F217" s="17">
        <f t="shared" si="205"/>
        <v>0</v>
      </c>
      <c r="G217" s="17">
        <f t="shared" si="205"/>
        <v>0</v>
      </c>
      <c r="H217" s="17">
        <f t="shared" si="205"/>
        <v>0</v>
      </c>
      <c r="I217" s="17">
        <f t="shared" si="205"/>
        <v>0</v>
      </c>
      <c r="J217" s="17">
        <f t="shared" si="205"/>
        <v>245250</v>
      </c>
      <c r="K217" s="17">
        <f t="shared" si="205"/>
        <v>497625</v>
      </c>
      <c r="L217" s="17">
        <f t="shared" si="205"/>
        <v>713500</v>
      </c>
      <c r="M217" s="17">
        <f t="shared" si="205"/>
        <v>904475</v>
      </c>
      <c r="N217" s="17">
        <f t="shared" si="205"/>
        <v>904475</v>
      </c>
      <c r="O217" s="17">
        <f t="shared" si="205"/>
        <v>904475</v>
      </c>
      <c r="P217" s="17">
        <f t="shared" si="205"/>
        <v>904475</v>
      </c>
      <c r="Q217" s="17">
        <f t="shared" si="205"/>
        <v>904475</v>
      </c>
      <c r="R217" s="17">
        <f t="shared" si="205"/>
        <v>904475</v>
      </c>
      <c r="S217" s="17">
        <f t="shared" si="205"/>
        <v>904475</v>
      </c>
      <c r="T217" s="17">
        <f t="shared" si="205"/>
        <v>904475</v>
      </c>
      <c r="U217" s="17">
        <f t="shared" si="205"/>
        <v>904475</v>
      </c>
      <c r="V217" s="17">
        <f t="shared" si="205"/>
        <v>904475</v>
      </c>
      <c r="W217" s="17">
        <f t="shared" si="205"/>
        <v>910410.54285714286</v>
      </c>
      <c r="X217" s="17">
        <f t="shared" si="205"/>
        <v>910410.54285714286</v>
      </c>
      <c r="Y217" s="17">
        <f t="shared" si="205"/>
        <v>910410.54285714286</v>
      </c>
      <c r="Z217" s="17">
        <f t="shared" si="205"/>
        <v>910410.54285714286</v>
      </c>
      <c r="AA217" s="17">
        <f t="shared" si="205"/>
        <v>910410.54285714286</v>
      </c>
      <c r="AB217" s="17">
        <f t="shared" si="205"/>
        <v>910410.54285714286</v>
      </c>
      <c r="AC217" s="17">
        <f t="shared" si="205"/>
        <v>910410.54285714286</v>
      </c>
      <c r="AD217" s="17">
        <f t="shared" si="205"/>
        <v>910410.54285714286</v>
      </c>
      <c r="AE217" s="17">
        <f t="shared" si="205"/>
        <v>910410.54285714286</v>
      </c>
      <c r="AF217" s="17">
        <f t="shared" si="205"/>
        <v>910410.54285714286</v>
      </c>
      <c r="AG217" s="17">
        <f t="shared" si="205"/>
        <v>910410.54285714286</v>
      </c>
      <c r="AH217" s="17">
        <f t="shared" si="205"/>
        <v>20515640.971428573</v>
      </c>
      <c r="AI217" s="20"/>
      <c r="AJ217" s="35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</row>
    <row r="218" spans="1:51" ht="14.4" outlineLevel="1" x14ac:dyDescent="0.3">
      <c r="A218" s="21" t="s">
        <v>39</v>
      </c>
      <c r="B218" s="22" t="s">
        <v>13</v>
      </c>
      <c r="C218" s="22" t="s">
        <v>54</v>
      </c>
      <c r="D218" s="23">
        <f t="shared" ref="D218:AG218" si="206">D190*2.5*1000</f>
        <v>0</v>
      </c>
      <c r="E218" s="23">
        <f t="shared" si="206"/>
        <v>0</v>
      </c>
      <c r="F218" s="23">
        <f t="shared" si="206"/>
        <v>0</v>
      </c>
      <c r="G218" s="23">
        <f t="shared" si="206"/>
        <v>0</v>
      </c>
      <c r="H218" s="23">
        <f t="shared" si="206"/>
        <v>0</v>
      </c>
      <c r="I218" s="23">
        <f t="shared" si="206"/>
        <v>0</v>
      </c>
      <c r="J218" s="23">
        <f t="shared" si="206"/>
        <v>102000</v>
      </c>
      <c r="K218" s="23">
        <f t="shared" si="206"/>
        <v>102000</v>
      </c>
      <c r="L218" s="23">
        <f t="shared" si="206"/>
        <v>102000</v>
      </c>
      <c r="M218" s="23">
        <f t="shared" si="206"/>
        <v>102000</v>
      </c>
      <c r="N218" s="23">
        <f t="shared" si="206"/>
        <v>102000</v>
      </c>
      <c r="O218" s="23">
        <f t="shared" si="206"/>
        <v>102000</v>
      </c>
      <c r="P218" s="23">
        <f t="shared" si="206"/>
        <v>102000</v>
      </c>
      <c r="Q218" s="23">
        <f t="shared" si="206"/>
        <v>102000</v>
      </c>
      <c r="R218" s="23">
        <f t="shared" si="206"/>
        <v>102000</v>
      </c>
      <c r="S218" s="23">
        <f t="shared" si="206"/>
        <v>102000</v>
      </c>
      <c r="T218" s="23">
        <f t="shared" si="206"/>
        <v>102000</v>
      </c>
      <c r="U218" s="23">
        <f t="shared" si="206"/>
        <v>102000</v>
      </c>
      <c r="V218" s="23">
        <f t="shared" si="206"/>
        <v>102000</v>
      </c>
      <c r="W218" s="23">
        <f t="shared" si="206"/>
        <v>102000</v>
      </c>
      <c r="X218" s="23">
        <f t="shared" si="206"/>
        <v>102000</v>
      </c>
      <c r="Y218" s="23">
        <f t="shared" si="206"/>
        <v>102000</v>
      </c>
      <c r="Z218" s="23">
        <f t="shared" si="206"/>
        <v>102000</v>
      </c>
      <c r="AA218" s="23">
        <f t="shared" si="206"/>
        <v>102000</v>
      </c>
      <c r="AB218" s="23">
        <f t="shared" si="206"/>
        <v>102000</v>
      </c>
      <c r="AC218" s="23">
        <f t="shared" si="206"/>
        <v>102000</v>
      </c>
      <c r="AD218" s="23">
        <f t="shared" si="206"/>
        <v>102000</v>
      </c>
      <c r="AE218" s="23">
        <f t="shared" si="206"/>
        <v>102000</v>
      </c>
      <c r="AF218" s="23">
        <f t="shared" si="206"/>
        <v>102000</v>
      </c>
      <c r="AG218" s="23">
        <f t="shared" si="206"/>
        <v>102000</v>
      </c>
      <c r="AH218" s="23">
        <f t="shared" ref="AH218:AH229" si="207">SUM(D218:AG218)</f>
        <v>2448000</v>
      </c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</row>
    <row r="219" spans="1:51" outlineLevel="2" x14ac:dyDescent="0.25">
      <c r="A219" s="21" t="s">
        <v>40</v>
      </c>
      <c r="B219" s="22" t="s">
        <v>16</v>
      </c>
      <c r="C219" s="22" t="s">
        <v>54</v>
      </c>
      <c r="D219" s="24">
        <f t="shared" ref="D219:AG219" si="208">D191*2.5*1000</f>
        <v>0</v>
      </c>
      <c r="E219" s="24">
        <f t="shared" si="208"/>
        <v>0</v>
      </c>
      <c r="F219" s="24">
        <f t="shared" si="208"/>
        <v>0</v>
      </c>
      <c r="G219" s="24">
        <f t="shared" si="208"/>
        <v>0</v>
      </c>
      <c r="H219" s="24">
        <f t="shared" si="208"/>
        <v>0</v>
      </c>
      <c r="I219" s="24">
        <f t="shared" si="208"/>
        <v>0</v>
      </c>
      <c r="J219" s="24">
        <f t="shared" si="208"/>
        <v>143250</v>
      </c>
      <c r="K219" s="24">
        <f t="shared" si="208"/>
        <v>143250</v>
      </c>
      <c r="L219" s="24">
        <f t="shared" si="208"/>
        <v>143250</v>
      </c>
      <c r="M219" s="24">
        <f t="shared" si="208"/>
        <v>143250</v>
      </c>
      <c r="N219" s="24">
        <f t="shared" si="208"/>
        <v>143250</v>
      </c>
      <c r="O219" s="24">
        <f t="shared" si="208"/>
        <v>143250</v>
      </c>
      <c r="P219" s="24">
        <f t="shared" si="208"/>
        <v>143250</v>
      </c>
      <c r="Q219" s="24">
        <f t="shared" si="208"/>
        <v>143250</v>
      </c>
      <c r="R219" s="24">
        <f t="shared" si="208"/>
        <v>143250</v>
      </c>
      <c r="S219" s="24">
        <f t="shared" si="208"/>
        <v>143250</v>
      </c>
      <c r="T219" s="24">
        <f t="shared" si="208"/>
        <v>143250</v>
      </c>
      <c r="U219" s="24">
        <f t="shared" si="208"/>
        <v>143250</v>
      </c>
      <c r="V219" s="24">
        <f t="shared" si="208"/>
        <v>143250</v>
      </c>
      <c r="W219" s="24">
        <f t="shared" si="208"/>
        <v>143250</v>
      </c>
      <c r="X219" s="24">
        <f t="shared" si="208"/>
        <v>143250</v>
      </c>
      <c r="Y219" s="24">
        <f t="shared" si="208"/>
        <v>143250</v>
      </c>
      <c r="Z219" s="24">
        <f t="shared" si="208"/>
        <v>143250</v>
      </c>
      <c r="AA219" s="24">
        <f t="shared" si="208"/>
        <v>143250</v>
      </c>
      <c r="AB219" s="24">
        <f t="shared" si="208"/>
        <v>143250</v>
      </c>
      <c r="AC219" s="24">
        <f t="shared" si="208"/>
        <v>143250</v>
      </c>
      <c r="AD219" s="24">
        <f t="shared" si="208"/>
        <v>143250</v>
      </c>
      <c r="AE219" s="24">
        <f t="shared" si="208"/>
        <v>143250</v>
      </c>
      <c r="AF219" s="24">
        <f t="shared" si="208"/>
        <v>143250</v>
      </c>
      <c r="AG219" s="24">
        <f t="shared" si="208"/>
        <v>143250</v>
      </c>
      <c r="AH219" s="24">
        <f t="shared" si="207"/>
        <v>3438000</v>
      </c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</row>
    <row r="220" spans="1:51" outlineLevel="2" x14ac:dyDescent="0.25">
      <c r="A220" s="21" t="s">
        <v>41</v>
      </c>
      <c r="B220" s="22" t="s">
        <v>18</v>
      </c>
      <c r="C220" s="22" t="s">
        <v>54</v>
      </c>
      <c r="D220" s="24">
        <f t="shared" ref="D220:AG220" si="209">D192*2.5*1000</f>
        <v>0</v>
      </c>
      <c r="E220" s="24">
        <f t="shared" si="209"/>
        <v>0</v>
      </c>
      <c r="F220" s="24">
        <f t="shared" si="209"/>
        <v>0</v>
      </c>
      <c r="G220" s="24">
        <f t="shared" si="209"/>
        <v>0</v>
      </c>
      <c r="H220" s="24">
        <f t="shared" si="209"/>
        <v>0</v>
      </c>
      <c r="I220" s="24">
        <f t="shared" si="209"/>
        <v>0</v>
      </c>
      <c r="J220" s="24">
        <f t="shared" si="209"/>
        <v>0</v>
      </c>
      <c r="K220" s="24">
        <f t="shared" si="209"/>
        <v>101250</v>
      </c>
      <c r="L220" s="24">
        <f t="shared" si="209"/>
        <v>101250</v>
      </c>
      <c r="M220" s="24">
        <f t="shared" si="209"/>
        <v>101250</v>
      </c>
      <c r="N220" s="24">
        <f t="shared" si="209"/>
        <v>101250</v>
      </c>
      <c r="O220" s="24">
        <f t="shared" si="209"/>
        <v>101250</v>
      </c>
      <c r="P220" s="24">
        <f t="shared" si="209"/>
        <v>101250</v>
      </c>
      <c r="Q220" s="24">
        <f t="shared" si="209"/>
        <v>101250</v>
      </c>
      <c r="R220" s="24">
        <f t="shared" si="209"/>
        <v>101250</v>
      </c>
      <c r="S220" s="24">
        <f t="shared" si="209"/>
        <v>101250</v>
      </c>
      <c r="T220" s="24">
        <f t="shared" si="209"/>
        <v>101250</v>
      </c>
      <c r="U220" s="24">
        <f t="shared" si="209"/>
        <v>101250</v>
      </c>
      <c r="V220" s="24">
        <f t="shared" si="209"/>
        <v>101250</v>
      </c>
      <c r="W220" s="24">
        <f t="shared" si="209"/>
        <v>101250</v>
      </c>
      <c r="X220" s="24">
        <f t="shared" si="209"/>
        <v>101250</v>
      </c>
      <c r="Y220" s="24">
        <f t="shared" si="209"/>
        <v>101250</v>
      </c>
      <c r="Z220" s="24">
        <f t="shared" si="209"/>
        <v>101250</v>
      </c>
      <c r="AA220" s="24">
        <f t="shared" si="209"/>
        <v>101250</v>
      </c>
      <c r="AB220" s="24">
        <f t="shared" si="209"/>
        <v>101250</v>
      </c>
      <c r="AC220" s="24">
        <f t="shared" si="209"/>
        <v>101250</v>
      </c>
      <c r="AD220" s="24">
        <f t="shared" si="209"/>
        <v>101250</v>
      </c>
      <c r="AE220" s="24">
        <f t="shared" si="209"/>
        <v>101250</v>
      </c>
      <c r="AF220" s="24">
        <f t="shared" si="209"/>
        <v>101250</v>
      </c>
      <c r="AG220" s="24">
        <f t="shared" si="209"/>
        <v>101250</v>
      </c>
      <c r="AH220" s="24">
        <f t="shared" si="207"/>
        <v>2328750</v>
      </c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</row>
    <row r="221" spans="1:51" outlineLevel="2" x14ac:dyDescent="0.25">
      <c r="A221" s="21" t="s">
        <v>42</v>
      </c>
      <c r="B221" s="22" t="s">
        <v>20</v>
      </c>
      <c r="C221" s="22" t="s">
        <v>54</v>
      </c>
      <c r="D221" s="24">
        <f t="shared" ref="D221:AG221" si="210">D193*2.5*1000</f>
        <v>0</v>
      </c>
      <c r="E221" s="24">
        <f t="shared" si="210"/>
        <v>0</v>
      </c>
      <c r="F221" s="24">
        <f t="shared" si="210"/>
        <v>0</v>
      </c>
      <c r="G221" s="24">
        <f t="shared" si="210"/>
        <v>0</v>
      </c>
      <c r="H221" s="24">
        <f t="shared" si="210"/>
        <v>0</v>
      </c>
      <c r="I221" s="24">
        <f t="shared" si="210"/>
        <v>0</v>
      </c>
      <c r="J221" s="24">
        <f t="shared" si="210"/>
        <v>0</v>
      </c>
      <c r="K221" s="24">
        <f t="shared" si="210"/>
        <v>68500</v>
      </c>
      <c r="L221" s="24">
        <f t="shared" si="210"/>
        <v>68500</v>
      </c>
      <c r="M221" s="24">
        <f t="shared" si="210"/>
        <v>68500</v>
      </c>
      <c r="N221" s="24">
        <f t="shared" si="210"/>
        <v>68500</v>
      </c>
      <c r="O221" s="24">
        <f t="shared" si="210"/>
        <v>68500</v>
      </c>
      <c r="P221" s="24">
        <f t="shared" si="210"/>
        <v>68500</v>
      </c>
      <c r="Q221" s="24">
        <f t="shared" si="210"/>
        <v>68500</v>
      </c>
      <c r="R221" s="24">
        <f t="shared" si="210"/>
        <v>68500</v>
      </c>
      <c r="S221" s="24">
        <f t="shared" si="210"/>
        <v>68500</v>
      </c>
      <c r="T221" s="24">
        <f t="shared" si="210"/>
        <v>68500</v>
      </c>
      <c r="U221" s="24">
        <f t="shared" si="210"/>
        <v>68500</v>
      </c>
      <c r="V221" s="24">
        <f t="shared" si="210"/>
        <v>68500</v>
      </c>
      <c r="W221" s="24">
        <f t="shared" si="210"/>
        <v>68500</v>
      </c>
      <c r="X221" s="24">
        <f t="shared" si="210"/>
        <v>68500</v>
      </c>
      <c r="Y221" s="24">
        <f t="shared" si="210"/>
        <v>68500</v>
      </c>
      <c r="Z221" s="24">
        <f t="shared" si="210"/>
        <v>68500</v>
      </c>
      <c r="AA221" s="24">
        <f t="shared" si="210"/>
        <v>68500</v>
      </c>
      <c r="AB221" s="24">
        <f t="shared" si="210"/>
        <v>68500</v>
      </c>
      <c r="AC221" s="24">
        <f t="shared" si="210"/>
        <v>68500</v>
      </c>
      <c r="AD221" s="24">
        <f t="shared" si="210"/>
        <v>68500</v>
      </c>
      <c r="AE221" s="24">
        <f t="shared" si="210"/>
        <v>68500</v>
      </c>
      <c r="AF221" s="24">
        <f t="shared" si="210"/>
        <v>68500</v>
      </c>
      <c r="AG221" s="24">
        <f t="shared" si="210"/>
        <v>68500</v>
      </c>
      <c r="AH221" s="24">
        <f t="shared" si="207"/>
        <v>1575500</v>
      </c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</row>
    <row r="222" spans="1:51" outlineLevel="2" x14ac:dyDescent="0.25">
      <c r="A222" s="21" t="s">
        <v>43</v>
      </c>
      <c r="B222" s="22" t="s">
        <v>22</v>
      </c>
      <c r="C222" s="22" t="s">
        <v>54</v>
      </c>
      <c r="D222" s="24">
        <f t="shared" ref="D222:AG222" si="211">D194*2.5*1000</f>
        <v>0</v>
      </c>
      <c r="E222" s="24">
        <f t="shared" si="211"/>
        <v>0</v>
      </c>
      <c r="F222" s="24">
        <f t="shared" si="211"/>
        <v>0</v>
      </c>
      <c r="G222" s="24">
        <f t="shared" si="211"/>
        <v>0</v>
      </c>
      <c r="H222" s="24">
        <f t="shared" si="211"/>
        <v>0</v>
      </c>
      <c r="I222" s="24">
        <f t="shared" si="211"/>
        <v>0</v>
      </c>
      <c r="J222" s="24">
        <f t="shared" si="211"/>
        <v>0</v>
      </c>
      <c r="K222" s="24">
        <f t="shared" si="211"/>
        <v>1250</v>
      </c>
      <c r="L222" s="24">
        <f t="shared" si="211"/>
        <v>1250</v>
      </c>
      <c r="M222" s="24">
        <f t="shared" si="211"/>
        <v>1250</v>
      </c>
      <c r="N222" s="24">
        <f t="shared" si="211"/>
        <v>1250</v>
      </c>
      <c r="O222" s="24">
        <f t="shared" si="211"/>
        <v>1250</v>
      </c>
      <c r="P222" s="24">
        <f t="shared" si="211"/>
        <v>1250</v>
      </c>
      <c r="Q222" s="24">
        <f t="shared" si="211"/>
        <v>1250</v>
      </c>
      <c r="R222" s="24">
        <f t="shared" si="211"/>
        <v>1250</v>
      </c>
      <c r="S222" s="24">
        <f t="shared" si="211"/>
        <v>1250</v>
      </c>
      <c r="T222" s="24">
        <f t="shared" si="211"/>
        <v>1250</v>
      </c>
      <c r="U222" s="24">
        <f t="shared" si="211"/>
        <v>1250</v>
      </c>
      <c r="V222" s="24">
        <f t="shared" si="211"/>
        <v>1250</v>
      </c>
      <c r="W222" s="24">
        <f t="shared" si="211"/>
        <v>1250</v>
      </c>
      <c r="X222" s="24">
        <f t="shared" si="211"/>
        <v>1250</v>
      </c>
      <c r="Y222" s="24">
        <f t="shared" si="211"/>
        <v>1250</v>
      </c>
      <c r="Z222" s="24">
        <f t="shared" si="211"/>
        <v>1250</v>
      </c>
      <c r="AA222" s="24">
        <f t="shared" si="211"/>
        <v>1250</v>
      </c>
      <c r="AB222" s="24">
        <f t="shared" si="211"/>
        <v>1250</v>
      </c>
      <c r="AC222" s="24">
        <f t="shared" si="211"/>
        <v>1250</v>
      </c>
      <c r="AD222" s="24">
        <f t="shared" si="211"/>
        <v>1250</v>
      </c>
      <c r="AE222" s="24">
        <f t="shared" si="211"/>
        <v>1250</v>
      </c>
      <c r="AF222" s="24">
        <f t="shared" si="211"/>
        <v>1250</v>
      </c>
      <c r="AG222" s="24">
        <f t="shared" si="211"/>
        <v>1250</v>
      </c>
      <c r="AH222" s="24">
        <f t="shared" si="207"/>
        <v>28750</v>
      </c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</row>
    <row r="223" spans="1:51" outlineLevel="2" x14ac:dyDescent="0.25">
      <c r="A223" s="21" t="s">
        <v>44</v>
      </c>
      <c r="B223" s="22" t="s">
        <v>24</v>
      </c>
      <c r="C223" s="22" t="s">
        <v>54</v>
      </c>
      <c r="D223" s="24">
        <f t="shared" ref="D223:AG223" si="212">D195*2.5*1000</f>
        <v>0</v>
      </c>
      <c r="E223" s="24">
        <f t="shared" si="212"/>
        <v>0</v>
      </c>
      <c r="F223" s="24">
        <f t="shared" si="212"/>
        <v>0</v>
      </c>
      <c r="G223" s="24">
        <f t="shared" si="212"/>
        <v>0</v>
      </c>
      <c r="H223" s="24">
        <f t="shared" si="212"/>
        <v>0</v>
      </c>
      <c r="I223" s="24">
        <f t="shared" si="212"/>
        <v>0</v>
      </c>
      <c r="J223" s="24">
        <f t="shared" si="212"/>
        <v>0</v>
      </c>
      <c r="K223" s="24">
        <f t="shared" si="212"/>
        <v>81375</v>
      </c>
      <c r="L223" s="24">
        <f t="shared" si="212"/>
        <v>81375</v>
      </c>
      <c r="M223" s="24">
        <f t="shared" si="212"/>
        <v>81375</v>
      </c>
      <c r="N223" s="24">
        <f t="shared" si="212"/>
        <v>81375</v>
      </c>
      <c r="O223" s="24">
        <f t="shared" si="212"/>
        <v>81375</v>
      </c>
      <c r="P223" s="24">
        <f t="shared" si="212"/>
        <v>81375</v>
      </c>
      <c r="Q223" s="24">
        <f t="shared" si="212"/>
        <v>81375</v>
      </c>
      <c r="R223" s="24">
        <f t="shared" si="212"/>
        <v>81375</v>
      </c>
      <c r="S223" s="24">
        <f t="shared" si="212"/>
        <v>81375</v>
      </c>
      <c r="T223" s="24">
        <f t="shared" si="212"/>
        <v>81375</v>
      </c>
      <c r="U223" s="24">
        <f t="shared" si="212"/>
        <v>81375</v>
      </c>
      <c r="V223" s="24">
        <f t="shared" si="212"/>
        <v>81375</v>
      </c>
      <c r="W223" s="24">
        <f t="shared" si="212"/>
        <v>81375</v>
      </c>
      <c r="X223" s="24">
        <f t="shared" si="212"/>
        <v>81375</v>
      </c>
      <c r="Y223" s="24">
        <f t="shared" si="212"/>
        <v>81375</v>
      </c>
      <c r="Z223" s="24">
        <f t="shared" si="212"/>
        <v>81375</v>
      </c>
      <c r="AA223" s="24">
        <f t="shared" si="212"/>
        <v>81375</v>
      </c>
      <c r="AB223" s="24">
        <f t="shared" si="212"/>
        <v>81375</v>
      </c>
      <c r="AC223" s="24">
        <f t="shared" si="212"/>
        <v>81375</v>
      </c>
      <c r="AD223" s="24">
        <f t="shared" si="212"/>
        <v>81375</v>
      </c>
      <c r="AE223" s="24">
        <f t="shared" si="212"/>
        <v>81375</v>
      </c>
      <c r="AF223" s="24">
        <f t="shared" si="212"/>
        <v>81375</v>
      </c>
      <c r="AG223" s="24">
        <f t="shared" si="212"/>
        <v>81375</v>
      </c>
      <c r="AH223" s="24">
        <f t="shared" si="207"/>
        <v>1871625</v>
      </c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</row>
    <row r="224" spans="1:51" outlineLevel="2" x14ac:dyDescent="0.25">
      <c r="A224" s="21" t="s">
        <v>45</v>
      </c>
      <c r="B224" s="22" t="s">
        <v>26</v>
      </c>
      <c r="C224" s="22" t="s">
        <v>54</v>
      </c>
      <c r="D224" s="24">
        <f t="shared" ref="D224:AG224" si="213">D196*2.5*1000</f>
        <v>0</v>
      </c>
      <c r="E224" s="24">
        <f t="shared" si="213"/>
        <v>0</v>
      </c>
      <c r="F224" s="24">
        <f t="shared" si="213"/>
        <v>0</v>
      </c>
      <c r="G224" s="24">
        <f t="shared" si="213"/>
        <v>0</v>
      </c>
      <c r="H224" s="24">
        <f t="shared" si="213"/>
        <v>0</v>
      </c>
      <c r="I224" s="24">
        <f t="shared" si="213"/>
        <v>0</v>
      </c>
      <c r="J224" s="24">
        <f t="shared" si="213"/>
        <v>0</v>
      </c>
      <c r="K224" s="24">
        <f t="shared" si="213"/>
        <v>0</v>
      </c>
      <c r="L224" s="24">
        <f t="shared" si="213"/>
        <v>23875</v>
      </c>
      <c r="M224" s="24">
        <f t="shared" si="213"/>
        <v>23875</v>
      </c>
      <c r="N224" s="24">
        <f t="shared" si="213"/>
        <v>23875</v>
      </c>
      <c r="O224" s="24">
        <f t="shared" si="213"/>
        <v>23875</v>
      </c>
      <c r="P224" s="24">
        <f t="shared" si="213"/>
        <v>23875</v>
      </c>
      <c r="Q224" s="24">
        <f t="shared" si="213"/>
        <v>23875</v>
      </c>
      <c r="R224" s="24">
        <f t="shared" si="213"/>
        <v>23875</v>
      </c>
      <c r="S224" s="24">
        <f t="shared" si="213"/>
        <v>23875</v>
      </c>
      <c r="T224" s="24">
        <f t="shared" si="213"/>
        <v>23875</v>
      </c>
      <c r="U224" s="24">
        <f t="shared" si="213"/>
        <v>23875</v>
      </c>
      <c r="V224" s="24">
        <f t="shared" si="213"/>
        <v>23875</v>
      </c>
      <c r="W224" s="24">
        <f t="shared" si="213"/>
        <v>23875</v>
      </c>
      <c r="X224" s="24">
        <f t="shared" si="213"/>
        <v>23875</v>
      </c>
      <c r="Y224" s="24">
        <f t="shared" si="213"/>
        <v>23875</v>
      </c>
      <c r="Z224" s="24">
        <f t="shared" si="213"/>
        <v>23875</v>
      </c>
      <c r="AA224" s="24">
        <f t="shared" si="213"/>
        <v>23875</v>
      </c>
      <c r="AB224" s="24">
        <f t="shared" si="213"/>
        <v>23875</v>
      </c>
      <c r="AC224" s="24">
        <f t="shared" si="213"/>
        <v>23875</v>
      </c>
      <c r="AD224" s="24">
        <f t="shared" si="213"/>
        <v>23875</v>
      </c>
      <c r="AE224" s="24">
        <f t="shared" si="213"/>
        <v>23875</v>
      </c>
      <c r="AF224" s="24">
        <f t="shared" si="213"/>
        <v>23875</v>
      </c>
      <c r="AG224" s="24">
        <f t="shared" si="213"/>
        <v>23875</v>
      </c>
      <c r="AH224" s="24">
        <f t="shared" si="207"/>
        <v>525250</v>
      </c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</row>
    <row r="225" spans="1:51" outlineLevel="2" x14ac:dyDescent="0.25">
      <c r="A225" s="21" t="s">
        <v>46</v>
      </c>
      <c r="B225" s="22" t="s">
        <v>28</v>
      </c>
      <c r="C225" s="22" t="s">
        <v>54</v>
      </c>
      <c r="D225" s="24">
        <f t="shared" ref="D225:AG225" si="214">D197*2.5*1000</f>
        <v>0</v>
      </c>
      <c r="E225" s="24">
        <f t="shared" si="214"/>
        <v>0</v>
      </c>
      <c r="F225" s="24">
        <f t="shared" si="214"/>
        <v>0</v>
      </c>
      <c r="G225" s="24">
        <f t="shared" si="214"/>
        <v>0</v>
      </c>
      <c r="H225" s="24">
        <f t="shared" si="214"/>
        <v>0</v>
      </c>
      <c r="I225" s="24">
        <f t="shared" si="214"/>
        <v>0</v>
      </c>
      <c r="J225" s="24">
        <f t="shared" si="214"/>
        <v>0</v>
      </c>
      <c r="K225" s="24">
        <f t="shared" si="214"/>
        <v>0</v>
      </c>
      <c r="L225" s="24">
        <f t="shared" si="214"/>
        <v>4500</v>
      </c>
      <c r="M225" s="24">
        <f t="shared" si="214"/>
        <v>4500</v>
      </c>
      <c r="N225" s="24">
        <f t="shared" si="214"/>
        <v>4500</v>
      </c>
      <c r="O225" s="24">
        <f t="shared" si="214"/>
        <v>4500</v>
      </c>
      <c r="P225" s="24">
        <f t="shared" si="214"/>
        <v>4500</v>
      </c>
      <c r="Q225" s="24">
        <f t="shared" si="214"/>
        <v>4500</v>
      </c>
      <c r="R225" s="24">
        <f t="shared" si="214"/>
        <v>4500</v>
      </c>
      <c r="S225" s="24">
        <f t="shared" si="214"/>
        <v>4500</v>
      </c>
      <c r="T225" s="24">
        <f t="shared" si="214"/>
        <v>4500</v>
      </c>
      <c r="U225" s="24">
        <f t="shared" si="214"/>
        <v>4500</v>
      </c>
      <c r="V225" s="24">
        <f t="shared" si="214"/>
        <v>4500</v>
      </c>
      <c r="W225" s="24">
        <f t="shared" si="214"/>
        <v>4500</v>
      </c>
      <c r="X225" s="24">
        <f t="shared" si="214"/>
        <v>4500</v>
      </c>
      <c r="Y225" s="24">
        <f t="shared" si="214"/>
        <v>4500</v>
      </c>
      <c r="Z225" s="24">
        <f t="shared" si="214"/>
        <v>4500</v>
      </c>
      <c r="AA225" s="24">
        <f t="shared" si="214"/>
        <v>4500</v>
      </c>
      <c r="AB225" s="24">
        <f t="shared" si="214"/>
        <v>4500</v>
      </c>
      <c r="AC225" s="24">
        <f t="shared" si="214"/>
        <v>4500</v>
      </c>
      <c r="AD225" s="24">
        <f t="shared" si="214"/>
        <v>4500</v>
      </c>
      <c r="AE225" s="24">
        <f t="shared" si="214"/>
        <v>4500</v>
      </c>
      <c r="AF225" s="24">
        <f t="shared" si="214"/>
        <v>4500</v>
      </c>
      <c r="AG225" s="24">
        <f t="shared" si="214"/>
        <v>4500</v>
      </c>
      <c r="AH225" s="24">
        <f t="shared" si="207"/>
        <v>99000</v>
      </c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</row>
    <row r="226" spans="1:51" outlineLevel="2" x14ac:dyDescent="0.25">
      <c r="A226" s="21" t="s">
        <v>47</v>
      </c>
      <c r="B226" s="22" t="s">
        <v>30</v>
      </c>
      <c r="C226" s="22" t="s">
        <v>54</v>
      </c>
      <c r="D226" s="24">
        <f t="shared" ref="D226:AG226" si="215">D198*2.5*1000</f>
        <v>0</v>
      </c>
      <c r="E226" s="24">
        <f t="shared" si="215"/>
        <v>0</v>
      </c>
      <c r="F226" s="24">
        <f t="shared" si="215"/>
        <v>0</v>
      </c>
      <c r="G226" s="24">
        <f t="shared" si="215"/>
        <v>0</v>
      </c>
      <c r="H226" s="24">
        <f t="shared" si="215"/>
        <v>0</v>
      </c>
      <c r="I226" s="24">
        <f t="shared" si="215"/>
        <v>0</v>
      </c>
      <c r="J226" s="24">
        <f t="shared" si="215"/>
        <v>0</v>
      </c>
      <c r="K226" s="24">
        <f t="shared" si="215"/>
        <v>0</v>
      </c>
      <c r="L226" s="24">
        <f t="shared" si="215"/>
        <v>187500</v>
      </c>
      <c r="M226" s="24">
        <f t="shared" si="215"/>
        <v>187500</v>
      </c>
      <c r="N226" s="24">
        <f t="shared" si="215"/>
        <v>187500</v>
      </c>
      <c r="O226" s="24">
        <f t="shared" si="215"/>
        <v>187500</v>
      </c>
      <c r="P226" s="24">
        <f t="shared" si="215"/>
        <v>187500</v>
      </c>
      <c r="Q226" s="24">
        <f t="shared" si="215"/>
        <v>187500</v>
      </c>
      <c r="R226" s="24">
        <f t="shared" si="215"/>
        <v>187500</v>
      </c>
      <c r="S226" s="24">
        <f t="shared" si="215"/>
        <v>187500</v>
      </c>
      <c r="T226" s="24">
        <f t="shared" si="215"/>
        <v>187500</v>
      </c>
      <c r="U226" s="24">
        <f t="shared" si="215"/>
        <v>187500</v>
      </c>
      <c r="V226" s="24">
        <f t="shared" si="215"/>
        <v>187500</v>
      </c>
      <c r="W226" s="24">
        <f t="shared" si="215"/>
        <v>187500</v>
      </c>
      <c r="X226" s="24">
        <f t="shared" si="215"/>
        <v>187500</v>
      </c>
      <c r="Y226" s="24">
        <f t="shared" si="215"/>
        <v>187500</v>
      </c>
      <c r="Z226" s="24">
        <f t="shared" si="215"/>
        <v>187500</v>
      </c>
      <c r="AA226" s="24">
        <f t="shared" si="215"/>
        <v>187500</v>
      </c>
      <c r="AB226" s="24">
        <f t="shared" si="215"/>
        <v>187500</v>
      </c>
      <c r="AC226" s="24">
        <f t="shared" si="215"/>
        <v>187500</v>
      </c>
      <c r="AD226" s="24">
        <f t="shared" si="215"/>
        <v>187500</v>
      </c>
      <c r="AE226" s="24">
        <f t="shared" si="215"/>
        <v>187500</v>
      </c>
      <c r="AF226" s="24">
        <f t="shared" si="215"/>
        <v>187500</v>
      </c>
      <c r="AG226" s="24">
        <f t="shared" si="215"/>
        <v>187500</v>
      </c>
      <c r="AH226" s="24">
        <f t="shared" si="207"/>
        <v>4125000</v>
      </c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</row>
    <row r="227" spans="1:51" outlineLevel="2" x14ac:dyDescent="0.25">
      <c r="A227" s="21" t="s">
        <v>48</v>
      </c>
      <c r="B227" s="22" t="s">
        <v>32</v>
      </c>
      <c r="C227" s="22" t="s">
        <v>54</v>
      </c>
      <c r="D227" s="24">
        <f t="shared" ref="D227:AG227" si="216">D199*2.5*1000</f>
        <v>0</v>
      </c>
      <c r="E227" s="24">
        <f t="shared" si="216"/>
        <v>0</v>
      </c>
      <c r="F227" s="24">
        <f t="shared" si="216"/>
        <v>0</v>
      </c>
      <c r="G227" s="24">
        <f t="shared" si="216"/>
        <v>0</v>
      </c>
      <c r="H227" s="24">
        <f t="shared" si="216"/>
        <v>0</v>
      </c>
      <c r="I227" s="24">
        <f t="shared" si="216"/>
        <v>0</v>
      </c>
      <c r="J227" s="24">
        <f t="shared" si="216"/>
        <v>0</v>
      </c>
      <c r="K227" s="24">
        <f t="shared" si="216"/>
        <v>0</v>
      </c>
      <c r="L227" s="24">
        <f t="shared" si="216"/>
        <v>0</v>
      </c>
      <c r="M227" s="24">
        <f t="shared" si="216"/>
        <v>122000</v>
      </c>
      <c r="N227" s="24">
        <f t="shared" si="216"/>
        <v>122000</v>
      </c>
      <c r="O227" s="24">
        <f t="shared" si="216"/>
        <v>122000</v>
      </c>
      <c r="P227" s="24">
        <f t="shared" si="216"/>
        <v>122000</v>
      </c>
      <c r="Q227" s="24">
        <f t="shared" si="216"/>
        <v>122000</v>
      </c>
      <c r="R227" s="24">
        <f t="shared" si="216"/>
        <v>122000</v>
      </c>
      <c r="S227" s="24">
        <f t="shared" si="216"/>
        <v>122000</v>
      </c>
      <c r="T227" s="24">
        <f t="shared" si="216"/>
        <v>122000</v>
      </c>
      <c r="U227" s="24">
        <f t="shared" si="216"/>
        <v>122000</v>
      </c>
      <c r="V227" s="24">
        <f t="shared" si="216"/>
        <v>122000</v>
      </c>
      <c r="W227" s="24">
        <f t="shared" si="216"/>
        <v>122000</v>
      </c>
      <c r="X227" s="24">
        <f t="shared" si="216"/>
        <v>122000</v>
      </c>
      <c r="Y227" s="24">
        <f t="shared" si="216"/>
        <v>122000</v>
      </c>
      <c r="Z227" s="24">
        <f t="shared" si="216"/>
        <v>122000</v>
      </c>
      <c r="AA227" s="24">
        <f t="shared" si="216"/>
        <v>122000</v>
      </c>
      <c r="AB227" s="24">
        <f t="shared" si="216"/>
        <v>122000</v>
      </c>
      <c r="AC227" s="24">
        <f t="shared" si="216"/>
        <v>122000</v>
      </c>
      <c r="AD227" s="24">
        <f t="shared" si="216"/>
        <v>122000</v>
      </c>
      <c r="AE227" s="24">
        <f t="shared" si="216"/>
        <v>122000</v>
      </c>
      <c r="AF227" s="24">
        <f t="shared" si="216"/>
        <v>122000</v>
      </c>
      <c r="AG227" s="24">
        <f t="shared" si="216"/>
        <v>122000</v>
      </c>
      <c r="AH227" s="24">
        <f t="shared" si="207"/>
        <v>2562000</v>
      </c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</row>
    <row r="228" spans="1:51" outlineLevel="2" x14ac:dyDescent="0.25">
      <c r="A228" s="21" t="s">
        <v>49</v>
      </c>
      <c r="B228" s="22" t="s">
        <v>34</v>
      </c>
      <c r="C228" s="22" t="s">
        <v>54</v>
      </c>
      <c r="D228" s="24">
        <f t="shared" ref="D228:AG228" si="217">D200*2.5*1000</f>
        <v>0</v>
      </c>
      <c r="E228" s="24">
        <f t="shared" si="217"/>
        <v>0</v>
      </c>
      <c r="F228" s="24">
        <f t="shared" si="217"/>
        <v>0</v>
      </c>
      <c r="G228" s="24">
        <f t="shared" si="217"/>
        <v>0</v>
      </c>
      <c r="H228" s="24">
        <f t="shared" si="217"/>
        <v>0</v>
      </c>
      <c r="I228" s="24">
        <f t="shared" si="217"/>
        <v>0</v>
      </c>
      <c r="J228" s="24">
        <f t="shared" si="217"/>
        <v>0</v>
      </c>
      <c r="K228" s="24">
        <f t="shared" si="217"/>
        <v>0</v>
      </c>
      <c r="L228" s="24">
        <f t="shared" si="217"/>
        <v>0</v>
      </c>
      <c r="M228" s="24">
        <f t="shared" si="217"/>
        <v>34500</v>
      </c>
      <c r="N228" s="24">
        <f t="shared" si="217"/>
        <v>34500</v>
      </c>
      <c r="O228" s="24">
        <f t="shared" si="217"/>
        <v>34500</v>
      </c>
      <c r="P228" s="24">
        <f t="shared" si="217"/>
        <v>34500</v>
      </c>
      <c r="Q228" s="24">
        <f t="shared" si="217"/>
        <v>34500</v>
      </c>
      <c r="R228" s="24">
        <f t="shared" si="217"/>
        <v>34500</v>
      </c>
      <c r="S228" s="24">
        <f t="shared" si="217"/>
        <v>34500</v>
      </c>
      <c r="T228" s="24">
        <f t="shared" si="217"/>
        <v>34500</v>
      </c>
      <c r="U228" s="24">
        <f t="shared" si="217"/>
        <v>34500</v>
      </c>
      <c r="V228" s="24">
        <f t="shared" si="217"/>
        <v>34500</v>
      </c>
      <c r="W228" s="24">
        <f t="shared" si="217"/>
        <v>34500</v>
      </c>
      <c r="X228" s="24">
        <f t="shared" si="217"/>
        <v>34500</v>
      </c>
      <c r="Y228" s="24">
        <f t="shared" si="217"/>
        <v>34500</v>
      </c>
      <c r="Z228" s="24">
        <f t="shared" si="217"/>
        <v>34500</v>
      </c>
      <c r="AA228" s="24">
        <f t="shared" si="217"/>
        <v>34500</v>
      </c>
      <c r="AB228" s="24">
        <f t="shared" si="217"/>
        <v>34500</v>
      </c>
      <c r="AC228" s="24">
        <f t="shared" si="217"/>
        <v>34500</v>
      </c>
      <c r="AD228" s="24">
        <f t="shared" si="217"/>
        <v>34500</v>
      </c>
      <c r="AE228" s="24">
        <f t="shared" si="217"/>
        <v>34500</v>
      </c>
      <c r="AF228" s="24">
        <f t="shared" si="217"/>
        <v>34500</v>
      </c>
      <c r="AG228" s="24">
        <f t="shared" si="217"/>
        <v>34500</v>
      </c>
      <c r="AH228" s="24">
        <f t="shared" si="207"/>
        <v>724500</v>
      </c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</row>
    <row r="229" spans="1:51" outlineLevel="2" x14ac:dyDescent="0.25">
      <c r="A229" s="21" t="s">
        <v>50</v>
      </c>
      <c r="B229" s="22" t="s">
        <v>36</v>
      </c>
      <c r="C229" s="22" t="s">
        <v>54</v>
      </c>
      <c r="D229" s="24">
        <f t="shared" ref="D229:AG229" si="218">D201*2.5*1000</f>
        <v>0</v>
      </c>
      <c r="E229" s="24">
        <f t="shared" si="218"/>
        <v>0</v>
      </c>
      <c r="F229" s="24">
        <f t="shared" si="218"/>
        <v>0</v>
      </c>
      <c r="G229" s="24">
        <f t="shared" si="218"/>
        <v>0</v>
      </c>
      <c r="H229" s="24">
        <f t="shared" si="218"/>
        <v>0</v>
      </c>
      <c r="I229" s="24">
        <f t="shared" si="218"/>
        <v>0</v>
      </c>
      <c r="J229" s="24">
        <f t="shared" si="218"/>
        <v>0</v>
      </c>
      <c r="K229" s="24">
        <f t="shared" si="218"/>
        <v>0</v>
      </c>
      <c r="L229" s="24">
        <f t="shared" si="218"/>
        <v>0</v>
      </c>
      <c r="M229" s="24">
        <f t="shared" si="218"/>
        <v>34474.999999999993</v>
      </c>
      <c r="N229" s="24">
        <f t="shared" si="218"/>
        <v>34474.999999999993</v>
      </c>
      <c r="O229" s="24">
        <f t="shared" si="218"/>
        <v>34474.999999999993</v>
      </c>
      <c r="P229" s="24">
        <f t="shared" si="218"/>
        <v>34474.999999999993</v>
      </c>
      <c r="Q229" s="24">
        <f t="shared" si="218"/>
        <v>34474.999999999993</v>
      </c>
      <c r="R229" s="24">
        <f t="shared" si="218"/>
        <v>34474.999999999993</v>
      </c>
      <c r="S229" s="24">
        <f t="shared" si="218"/>
        <v>34474.999999999993</v>
      </c>
      <c r="T229" s="24">
        <f t="shared" si="218"/>
        <v>34474.999999999993</v>
      </c>
      <c r="U229" s="24">
        <f t="shared" si="218"/>
        <v>34474.999999999993</v>
      </c>
      <c r="V229" s="24">
        <f t="shared" si="218"/>
        <v>34474.999999999993</v>
      </c>
      <c r="W229" s="24">
        <f t="shared" si="218"/>
        <v>40410.542857142849</v>
      </c>
      <c r="X229" s="24">
        <f t="shared" si="218"/>
        <v>40410.542857142849</v>
      </c>
      <c r="Y229" s="24">
        <f t="shared" si="218"/>
        <v>40410.542857142849</v>
      </c>
      <c r="Z229" s="24">
        <f t="shared" si="218"/>
        <v>40410.542857142849</v>
      </c>
      <c r="AA229" s="24">
        <f t="shared" si="218"/>
        <v>40410.542857142849</v>
      </c>
      <c r="AB229" s="24">
        <f t="shared" si="218"/>
        <v>40410.542857142849</v>
      </c>
      <c r="AC229" s="24">
        <f t="shared" si="218"/>
        <v>40410.542857142849</v>
      </c>
      <c r="AD229" s="24">
        <f t="shared" si="218"/>
        <v>40410.542857142849</v>
      </c>
      <c r="AE229" s="24">
        <f t="shared" si="218"/>
        <v>40410.542857142849</v>
      </c>
      <c r="AF229" s="24">
        <f t="shared" si="218"/>
        <v>40410.542857142849</v>
      </c>
      <c r="AG229" s="24">
        <f t="shared" si="218"/>
        <v>40410.542857142849</v>
      </c>
      <c r="AH229" s="24">
        <f t="shared" si="207"/>
        <v>789265.97142857139</v>
      </c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</row>
    <row r="230" spans="1:51" x14ac:dyDescent="0.25">
      <c r="A230" s="36"/>
      <c r="B230" s="22"/>
      <c r="C230" s="22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</row>
    <row r="231" spans="1:51" ht="14.4" x14ac:dyDescent="0.3">
      <c r="A231" s="37"/>
      <c r="B231" s="38" t="s">
        <v>115</v>
      </c>
      <c r="C231" s="39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</row>
    <row r="232" spans="1:51" x14ac:dyDescent="0.25">
      <c r="A232" s="21"/>
      <c r="B232" s="41" t="s">
        <v>116</v>
      </c>
      <c r="C232" s="41"/>
      <c r="D232" s="25">
        <f t="shared" ref="D232:AG232" si="219">D203</f>
        <v>1403500</v>
      </c>
      <c r="E232" s="25">
        <f t="shared" si="219"/>
        <v>1403500</v>
      </c>
      <c r="F232" s="25">
        <f t="shared" si="219"/>
        <v>1403500</v>
      </c>
      <c r="G232" s="25">
        <f t="shared" si="219"/>
        <v>1403500</v>
      </c>
      <c r="H232" s="25">
        <f t="shared" si="219"/>
        <v>1394750</v>
      </c>
      <c r="I232" s="25">
        <f t="shared" si="219"/>
        <v>1394750</v>
      </c>
      <c r="J232" s="25">
        <f t="shared" si="219"/>
        <v>1404028.5</v>
      </c>
      <c r="K232" s="25">
        <f t="shared" si="219"/>
        <v>1417767.75</v>
      </c>
      <c r="L232" s="25">
        <f t="shared" si="219"/>
        <v>1433307.75</v>
      </c>
      <c r="M232" s="25">
        <f t="shared" si="219"/>
        <v>1440222</v>
      </c>
      <c r="N232" s="25">
        <f t="shared" si="219"/>
        <v>1440222</v>
      </c>
      <c r="O232" s="25">
        <f t="shared" si="219"/>
        <v>1440222</v>
      </c>
      <c r="P232" s="25">
        <f t="shared" si="219"/>
        <v>1440222</v>
      </c>
      <c r="Q232" s="25">
        <f t="shared" si="219"/>
        <v>1440222</v>
      </c>
      <c r="R232" s="25">
        <f t="shared" si="219"/>
        <v>1440222</v>
      </c>
      <c r="S232" s="25">
        <f t="shared" si="219"/>
        <v>1440222</v>
      </c>
      <c r="T232" s="25">
        <f t="shared" si="219"/>
        <v>1440222</v>
      </c>
      <c r="U232" s="25">
        <f t="shared" si="219"/>
        <v>1440222</v>
      </c>
      <c r="V232" s="25">
        <f t="shared" si="219"/>
        <v>1440222</v>
      </c>
      <c r="W232" s="25">
        <f t="shared" si="219"/>
        <v>1448185.52</v>
      </c>
      <c r="X232" s="25">
        <f t="shared" si="219"/>
        <v>1448185.52</v>
      </c>
      <c r="Y232" s="25">
        <f t="shared" si="219"/>
        <v>1448185.52</v>
      </c>
      <c r="Z232" s="25">
        <f t="shared" si="219"/>
        <v>1448185.52</v>
      </c>
      <c r="AA232" s="25">
        <f t="shared" si="219"/>
        <v>1448185.52</v>
      </c>
      <c r="AB232" s="25">
        <f t="shared" si="219"/>
        <v>1448185.52</v>
      </c>
      <c r="AC232" s="25">
        <f t="shared" si="219"/>
        <v>1448185.52</v>
      </c>
      <c r="AD232" s="25">
        <f t="shared" si="219"/>
        <v>1448185.52</v>
      </c>
      <c r="AE232" s="25">
        <f t="shared" si="219"/>
        <v>1448185.52</v>
      </c>
      <c r="AF232" s="25">
        <f t="shared" si="219"/>
        <v>1448185.52</v>
      </c>
      <c r="AG232" s="25">
        <f t="shared" si="219"/>
        <v>1448185.52</v>
      </c>
      <c r="AH232" s="25"/>
      <c r="AJ232" s="35"/>
      <c r="AK232" s="20"/>
    </row>
    <row r="233" spans="1:51" x14ac:dyDescent="0.25">
      <c r="A233" s="21"/>
      <c r="B233" s="41" t="s">
        <v>117</v>
      </c>
      <c r="C233" s="41"/>
      <c r="D233" s="25">
        <f t="shared" ref="D233:AG233" si="220">D217</f>
        <v>0</v>
      </c>
      <c r="E233" s="25">
        <f t="shared" si="220"/>
        <v>0</v>
      </c>
      <c r="F233" s="25">
        <f t="shared" si="220"/>
        <v>0</v>
      </c>
      <c r="G233" s="25">
        <f t="shared" si="220"/>
        <v>0</v>
      </c>
      <c r="H233" s="25">
        <f t="shared" si="220"/>
        <v>0</v>
      </c>
      <c r="I233" s="25">
        <f t="shared" si="220"/>
        <v>0</v>
      </c>
      <c r="J233" s="25">
        <f t="shared" si="220"/>
        <v>245250</v>
      </c>
      <c r="K233" s="25">
        <f t="shared" si="220"/>
        <v>497625</v>
      </c>
      <c r="L233" s="25">
        <f t="shared" si="220"/>
        <v>713500</v>
      </c>
      <c r="M233" s="25">
        <f t="shared" si="220"/>
        <v>904475</v>
      </c>
      <c r="N233" s="25">
        <f t="shared" si="220"/>
        <v>904475</v>
      </c>
      <c r="O233" s="25">
        <f t="shared" si="220"/>
        <v>904475</v>
      </c>
      <c r="P233" s="25">
        <f t="shared" si="220"/>
        <v>904475</v>
      </c>
      <c r="Q233" s="25">
        <f t="shared" si="220"/>
        <v>904475</v>
      </c>
      <c r="R233" s="25">
        <f t="shared" si="220"/>
        <v>904475</v>
      </c>
      <c r="S233" s="25">
        <f t="shared" si="220"/>
        <v>904475</v>
      </c>
      <c r="T233" s="25">
        <f t="shared" si="220"/>
        <v>904475</v>
      </c>
      <c r="U233" s="25">
        <f t="shared" si="220"/>
        <v>904475</v>
      </c>
      <c r="V233" s="25">
        <f t="shared" si="220"/>
        <v>904475</v>
      </c>
      <c r="W233" s="25">
        <f t="shared" si="220"/>
        <v>910410.54285714286</v>
      </c>
      <c r="X233" s="25">
        <f t="shared" si="220"/>
        <v>910410.54285714286</v>
      </c>
      <c r="Y233" s="25">
        <f t="shared" si="220"/>
        <v>910410.54285714286</v>
      </c>
      <c r="Z233" s="25">
        <f t="shared" si="220"/>
        <v>910410.54285714286</v>
      </c>
      <c r="AA233" s="25">
        <f t="shared" si="220"/>
        <v>910410.54285714286</v>
      </c>
      <c r="AB233" s="25">
        <f t="shared" si="220"/>
        <v>910410.54285714286</v>
      </c>
      <c r="AC233" s="25">
        <f t="shared" si="220"/>
        <v>910410.54285714286</v>
      </c>
      <c r="AD233" s="25">
        <f t="shared" si="220"/>
        <v>910410.54285714286</v>
      </c>
      <c r="AE233" s="25">
        <f t="shared" si="220"/>
        <v>910410.54285714286</v>
      </c>
      <c r="AF233" s="25">
        <f t="shared" si="220"/>
        <v>910410.54285714286</v>
      </c>
      <c r="AG233" s="25">
        <f t="shared" si="220"/>
        <v>910410.54285714286</v>
      </c>
      <c r="AH233" s="25"/>
      <c r="AJ233" s="35"/>
      <c r="AK233" s="20"/>
    </row>
    <row r="234" spans="1:51" x14ac:dyDescent="0.25">
      <c r="A234" s="21"/>
      <c r="B234" s="41" t="s">
        <v>118</v>
      </c>
      <c r="C234" s="41"/>
      <c r="D234" s="25">
        <f t="shared" ref="D234:AG234" si="221">D232+D233</f>
        <v>1403500</v>
      </c>
      <c r="E234" s="25">
        <f t="shared" si="221"/>
        <v>1403500</v>
      </c>
      <c r="F234" s="25">
        <f t="shared" si="221"/>
        <v>1403500</v>
      </c>
      <c r="G234" s="25">
        <f t="shared" si="221"/>
        <v>1403500</v>
      </c>
      <c r="H234" s="25">
        <f t="shared" si="221"/>
        <v>1394750</v>
      </c>
      <c r="I234" s="25">
        <f t="shared" si="221"/>
        <v>1394750</v>
      </c>
      <c r="J234" s="25">
        <f t="shared" si="221"/>
        <v>1649278.5</v>
      </c>
      <c r="K234" s="25">
        <f t="shared" si="221"/>
        <v>1915392.75</v>
      </c>
      <c r="L234" s="25">
        <f t="shared" si="221"/>
        <v>2146807.75</v>
      </c>
      <c r="M234" s="25">
        <f t="shared" si="221"/>
        <v>2344697</v>
      </c>
      <c r="N234" s="25">
        <f t="shared" si="221"/>
        <v>2344697</v>
      </c>
      <c r="O234" s="25">
        <f t="shared" si="221"/>
        <v>2344697</v>
      </c>
      <c r="P234" s="25">
        <f t="shared" si="221"/>
        <v>2344697</v>
      </c>
      <c r="Q234" s="25">
        <f t="shared" si="221"/>
        <v>2344697</v>
      </c>
      <c r="R234" s="25">
        <f t="shared" si="221"/>
        <v>2344697</v>
      </c>
      <c r="S234" s="25">
        <f t="shared" si="221"/>
        <v>2344697</v>
      </c>
      <c r="T234" s="25">
        <f t="shared" si="221"/>
        <v>2344697</v>
      </c>
      <c r="U234" s="25">
        <f t="shared" si="221"/>
        <v>2344697</v>
      </c>
      <c r="V234" s="25">
        <f t="shared" si="221"/>
        <v>2344697</v>
      </c>
      <c r="W234" s="25">
        <f t="shared" si="221"/>
        <v>2358596.0628571426</v>
      </c>
      <c r="X234" s="25">
        <f t="shared" si="221"/>
        <v>2358596.0628571426</v>
      </c>
      <c r="Y234" s="25">
        <f t="shared" si="221"/>
        <v>2358596.0628571426</v>
      </c>
      <c r="Z234" s="25">
        <f t="shared" si="221"/>
        <v>2358596.0628571426</v>
      </c>
      <c r="AA234" s="25">
        <f t="shared" si="221"/>
        <v>2358596.0628571426</v>
      </c>
      <c r="AB234" s="25">
        <f t="shared" si="221"/>
        <v>2358596.0628571426</v>
      </c>
      <c r="AC234" s="25">
        <f t="shared" si="221"/>
        <v>2358596.0628571426</v>
      </c>
      <c r="AD234" s="25">
        <f t="shared" si="221"/>
        <v>2358596.0628571426</v>
      </c>
      <c r="AE234" s="25">
        <f t="shared" si="221"/>
        <v>2358596.0628571426</v>
      </c>
      <c r="AF234" s="25">
        <f t="shared" si="221"/>
        <v>2358596.0628571426</v>
      </c>
      <c r="AG234" s="25">
        <f t="shared" si="221"/>
        <v>2358596.0628571426</v>
      </c>
      <c r="AH234" s="25"/>
      <c r="AJ234" s="35"/>
      <c r="AK234" s="20"/>
    </row>
    <row r="235" spans="1:51" x14ac:dyDescent="0.25">
      <c r="A235" s="21"/>
      <c r="B235" s="41" t="s">
        <v>119</v>
      </c>
      <c r="C235" s="41"/>
      <c r="D235" s="25">
        <f>+D234/10000</f>
        <v>140.35</v>
      </c>
      <c r="E235" s="25">
        <f t="shared" ref="E235:AG235" si="222">+E234/10000</f>
        <v>140.35</v>
      </c>
      <c r="F235" s="25">
        <f t="shared" si="222"/>
        <v>140.35</v>
      </c>
      <c r="G235" s="25">
        <f t="shared" si="222"/>
        <v>140.35</v>
      </c>
      <c r="H235" s="25">
        <f t="shared" si="222"/>
        <v>139.47499999999999</v>
      </c>
      <c r="I235" s="25">
        <f t="shared" si="222"/>
        <v>139.47499999999999</v>
      </c>
      <c r="J235" s="25">
        <f t="shared" si="222"/>
        <v>164.92785000000001</v>
      </c>
      <c r="K235" s="25">
        <f t="shared" si="222"/>
        <v>191.539275</v>
      </c>
      <c r="L235" s="25">
        <f t="shared" si="222"/>
        <v>214.68077500000001</v>
      </c>
      <c r="M235" s="25">
        <f t="shared" si="222"/>
        <v>234.46969999999999</v>
      </c>
      <c r="N235" s="25">
        <f t="shared" si="222"/>
        <v>234.46969999999999</v>
      </c>
      <c r="O235" s="25">
        <f t="shared" si="222"/>
        <v>234.46969999999999</v>
      </c>
      <c r="P235" s="25">
        <f t="shared" si="222"/>
        <v>234.46969999999999</v>
      </c>
      <c r="Q235" s="25">
        <f t="shared" si="222"/>
        <v>234.46969999999999</v>
      </c>
      <c r="R235" s="25">
        <f t="shared" si="222"/>
        <v>234.46969999999999</v>
      </c>
      <c r="S235" s="25">
        <f t="shared" si="222"/>
        <v>234.46969999999999</v>
      </c>
      <c r="T235" s="25">
        <f t="shared" si="222"/>
        <v>234.46969999999999</v>
      </c>
      <c r="U235" s="25">
        <f t="shared" si="222"/>
        <v>234.46969999999999</v>
      </c>
      <c r="V235" s="25">
        <f t="shared" si="222"/>
        <v>234.46969999999999</v>
      </c>
      <c r="W235" s="25">
        <f t="shared" si="222"/>
        <v>235.85960628571428</v>
      </c>
      <c r="X235" s="25">
        <f t="shared" si="222"/>
        <v>235.85960628571428</v>
      </c>
      <c r="Y235" s="25">
        <f t="shared" si="222"/>
        <v>235.85960628571428</v>
      </c>
      <c r="Z235" s="25">
        <f t="shared" si="222"/>
        <v>235.85960628571428</v>
      </c>
      <c r="AA235" s="25">
        <f t="shared" si="222"/>
        <v>235.85960628571428</v>
      </c>
      <c r="AB235" s="25">
        <f t="shared" si="222"/>
        <v>235.85960628571428</v>
      </c>
      <c r="AC235" s="25">
        <f t="shared" si="222"/>
        <v>235.85960628571428</v>
      </c>
      <c r="AD235" s="25">
        <f t="shared" si="222"/>
        <v>235.85960628571428</v>
      </c>
      <c r="AE235" s="25">
        <f t="shared" si="222"/>
        <v>235.85960628571428</v>
      </c>
      <c r="AF235" s="25">
        <f t="shared" si="222"/>
        <v>235.85960628571428</v>
      </c>
      <c r="AG235" s="25">
        <f t="shared" si="222"/>
        <v>235.85960628571428</v>
      </c>
      <c r="AH235" s="25"/>
    </row>
    <row r="236" spans="1:51" x14ac:dyDescent="0.25">
      <c r="A236" s="21"/>
      <c r="B236" s="22"/>
      <c r="C236" s="22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</row>
    <row r="237" spans="1:51" ht="14.4" x14ac:dyDescent="0.3">
      <c r="A237" s="42"/>
      <c r="B237" s="43" t="s">
        <v>120</v>
      </c>
      <c r="C237" s="43" t="s">
        <v>11</v>
      </c>
      <c r="D237" s="44">
        <f>(D39+D53)/12000</f>
        <v>116.95833333333333</v>
      </c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4"/>
      <c r="AE237" s="44"/>
      <c r="AF237" s="44"/>
      <c r="AG237" s="44"/>
      <c r="AH237" s="45" t="s">
        <v>121</v>
      </c>
    </row>
    <row r="238" spans="1:51" ht="14.4" x14ac:dyDescent="0.3">
      <c r="A238" s="42"/>
      <c r="B238" s="43" t="s">
        <v>122</v>
      </c>
      <c r="C238" s="43" t="s">
        <v>11</v>
      </c>
      <c r="D238" s="44">
        <f t="shared" ref="D238:I238" si="223">D234/12000</f>
        <v>116.95833333333333</v>
      </c>
      <c r="E238" s="44">
        <f t="shared" si="223"/>
        <v>116.95833333333333</v>
      </c>
      <c r="F238" s="44">
        <f t="shared" si="223"/>
        <v>116.95833333333333</v>
      </c>
      <c r="G238" s="44">
        <f t="shared" si="223"/>
        <v>116.95833333333333</v>
      </c>
      <c r="H238" s="44">
        <f t="shared" si="223"/>
        <v>116.22916666666667</v>
      </c>
      <c r="I238" s="44">
        <f t="shared" si="223"/>
        <v>116.22916666666667</v>
      </c>
      <c r="J238" s="44">
        <f t="shared" ref="J238:AG238" si="224">J234/12000</f>
        <v>137.439875</v>
      </c>
      <c r="K238" s="44">
        <f t="shared" si="224"/>
        <v>159.6160625</v>
      </c>
      <c r="L238" s="44">
        <f t="shared" si="224"/>
        <v>178.90064583333333</v>
      </c>
      <c r="M238" s="44">
        <f t="shared" si="224"/>
        <v>195.39141666666666</v>
      </c>
      <c r="N238" s="44">
        <f t="shared" si="224"/>
        <v>195.39141666666666</v>
      </c>
      <c r="O238" s="44">
        <f t="shared" si="224"/>
        <v>195.39141666666666</v>
      </c>
      <c r="P238" s="44">
        <f t="shared" si="224"/>
        <v>195.39141666666666</v>
      </c>
      <c r="Q238" s="44">
        <f t="shared" si="224"/>
        <v>195.39141666666666</v>
      </c>
      <c r="R238" s="44">
        <f t="shared" si="224"/>
        <v>195.39141666666666</v>
      </c>
      <c r="S238" s="44">
        <f t="shared" si="224"/>
        <v>195.39141666666666</v>
      </c>
      <c r="T238" s="44">
        <f t="shared" si="224"/>
        <v>195.39141666666666</v>
      </c>
      <c r="U238" s="44">
        <f t="shared" si="224"/>
        <v>195.39141666666666</v>
      </c>
      <c r="V238" s="44">
        <f t="shared" si="224"/>
        <v>195.39141666666666</v>
      </c>
      <c r="W238" s="44">
        <f t="shared" si="224"/>
        <v>196.54967190476188</v>
      </c>
      <c r="X238" s="44">
        <f t="shared" si="224"/>
        <v>196.54967190476188</v>
      </c>
      <c r="Y238" s="44">
        <f t="shared" si="224"/>
        <v>196.54967190476188</v>
      </c>
      <c r="Z238" s="44">
        <f t="shared" si="224"/>
        <v>196.54967190476188</v>
      </c>
      <c r="AA238" s="44">
        <f t="shared" si="224"/>
        <v>196.54967190476188</v>
      </c>
      <c r="AB238" s="44">
        <f t="shared" si="224"/>
        <v>196.54967190476188</v>
      </c>
      <c r="AC238" s="44">
        <f t="shared" si="224"/>
        <v>196.54967190476188</v>
      </c>
      <c r="AD238" s="44">
        <f t="shared" si="224"/>
        <v>196.54967190476188</v>
      </c>
      <c r="AE238" s="44">
        <f t="shared" si="224"/>
        <v>196.54967190476188</v>
      </c>
      <c r="AF238" s="44">
        <f t="shared" si="224"/>
        <v>196.54967190476188</v>
      </c>
      <c r="AG238" s="44">
        <f t="shared" si="224"/>
        <v>196.54967190476188</v>
      </c>
      <c r="AH238" s="46">
        <f>AVERAGE(D238:AG238)</f>
        <v>176.40696025396818</v>
      </c>
    </row>
    <row r="239" spans="1:51" x14ac:dyDescent="0.25">
      <c r="A239" s="21"/>
      <c r="B239" s="41"/>
      <c r="C239" s="41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</row>
    <row r="240" spans="1:51" x14ac:dyDescent="0.25">
      <c r="A240" s="47"/>
    </row>
    <row r="241" spans="1:51" x14ac:dyDescent="0.25">
      <c r="A241" s="47"/>
    </row>
    <row r="242" spans="1:51" s="1" customFormat="1" ht="17.399999999999999" x14ac:dyDescent="0.25">
      <c r="B242" s="2" t="s">
        <v>835</v>
      </c>
      <c r="C242" s="3"/>
      <c r="D242" s="2" t="s">
        <v>1</v>
      </c>
      <c r="E242" s="4"/>
    </row>
    <row r="243" spans="1:51" s="1" customFormat="1" ht="15" x14ac:dyDescent="0.25">
      <c r="B243" s="5" t="s">
        <v>828</v>
      </c>
      <c r="C243" s="5"/>
      <c r="D243" s="287"/>
    </row>
    <row r="244" spans="1:51" s="1" customFormat="1" x14ac:dyDescent="0.25"/>
    <row r="245" spans="1:51" s="229" customFormat="1" ht="14.4" x14ac:dyDescent="0.3">
      <c r="A245" s="392" t="s">
        <v>3</v>
      </c>
      <c r="B245" s="392" t="s">
        <v>4</v>
      </c>
      <c r="C245" s="393" t="s">
        <v>5</v>
      </c>
      <c r="D245" s="396" t="s">
        <v>6</v>
      </c>
      <c r="E245" s="396"/>
      <c r="F245" s="396"/>
      <c r="G245" s="396"/>
      <c r="H245" s="396"/>
      <c r="I245" s="396"/>
      <c r="J245" s="396"/>
      <c r="K245" s="396"/>
      <c r="L245" s="396"/>
      <c r="M245" s="396"/>
      <c r="N245" s="396"/>
      <c r="O245" s="396"/>
      <c r="P245" s="396"/>
      <c r="Q245" s="396"/>
      <c r="R245" s="396"/>
      <c r="S245" s="396"/>
      <c r="T245" s="396"/>
      <c r="U245" s="396"/>
      <c r="V245" s="396"/>
      <c r="W245" s="396"/>
      <c r="X245" s="396"/>
      <c r="Y245" s="396"/>
      <c r="Z245" s="396"/>
      <c r="AA245" s="396"/>
      <c r="AB245" s="396"/>
      <c r="AC245" s="396"/>
      <c r="AD245" s="396"/>
      <c r="AE245" s="396"/>
      <c r="AF245" s="396"/>
      <c r="AG245" s="396"/>
      <c r="AH245" s="6"/>
    </row>
    <row r="246" spans="1:51" s="229" customFormat="1" ht="14.4" x14ac:dyDescent="0.3">
      <c r="A246" s="392"/>
      <c r="B246" s="392"/>
      <c r="C246" s="394"/>
      <c r="D246" s="397">
        <v>1</v>
      </c>
      <c r="E246" s="397">
        <v>2</v>
      </c>
      <c r="F246" s="397">
        <v>3</v>
      </c>
      <c r="G246" s="397">
        <v>4</v>
      </c>
      <c r="H246" s="397">
        <v>5</v>
      </c>
      <c r="I246" s="397">
        <v>6</v>
      </c>
      <c r="J246" s="391">
        <v>7</v>
      </c>
      <c r="K246" s="391">
        <v>8</v>
      </c>
      <c r="L246" s="391">
        <v>9</v>
      </c>
      <c r="M246" s="391">
        <v>10</v>
      </c>
      <c r="N246" s="391">
        <v>11</v>
      </c>
      <c r="O246" s="391">
        <v>12</v>
      </c>
      <c r="P246" s="391">
        <v>13</v>
      </c>
      <c r="Q246" s="391">
        <v>14</v>
      </c>
      <c r="R246" s="391">
        <v>15</v>
      </c>
      <c r="S246" s="391">
        <v>16</v>
      </c>
      <c r="T246" s="391">
        <v>17</v>
      </c>
      <c r="U246" s="391">
        <v>18</v>
      </c>
      <c r="V246" s="391">
        <v>19</v>
      </c>
      <c r="W246" s="391">
        <v>20</v>
      </c>
      <c r="X246" s="391">
        <v>21</v>
      </c>
      <c r="Y246" s="391">
        <v>22</v>
      </c>
      <c r="Z246" s="391">
        <v>23</v>
      </c>
      <c r="AA246" s="391">
        <v>24</v>
      </c>
      <c r="AB246" s="391">
        <v>25</v>
      </c>
      <c r="AC246" s="391">
        <v>26</v>
      </c>
      <c r="AD246" s="391">
        <v>27</v>
      </c>
      <c r="AE246" s="391">
        <v>28</v>
      </c>
      <c r="AF246" s="391">
        <v>29</v>
      </c>
      <c r="AG246" s="391">
        <v>30</v>
      </c>
      <c r="AH246" s="6"/>
    </row>
    <row r="247" spans="1:51" s="229" customFormat="1" ht="14.4" x14ac:dyDescent="0.3">
      <c r="A247" s="392"/>
      <c r="B247" s="392"/>
      <c r="C247" s="394"/>
      <c r="D247" s="398"/>
      <c r="E247" s="398"/>
      <c r="F247" s="398"/>
      <c r="G247" s="398"/>
      <c r="H247" s="398"/>
      <c r="I247" s="398"/>
      <c r="J247" s="391"/>
      <c r="K247" s="391"/>
      <c r="L247" s="391"/>
      <c r="M247" s="391"/>
      <c r="N247" s="391"/>
      <c r="O247" s="391"/>
      <c r="P247" s="391"/>
      <c r="Q247" s="391"/>
      <c r="R247" s="391"/>
      <c r="S247" s="391"/>
      <c r="T247" s="391"/>
      <c r="U247" s="391"/>
      <c r="V247" s="391"/>
      <c r="W247" s="391"/>
      <c r="X247" s="391"/>
      <c r="Y247" s="391"/>
      <c r="Z247" s="391"/>
      <c r="AA247" s="391"/>
      <c r="AB247" s="391"/>
      <c r="AC247" s="391"/>
      <c r="AD247" s="391"/>
      <c r="AE247" s="391"/>
      <c r="AF247" s="391"/>
      <c r="AG247" s="391"/>
      <c r="AH247" s="6"/>
    </row>
    <row r="248" spans="1:51" s="229" customFormat="1" ht="14.4" x14ac:dyDescent="0.3">
      <c r="A248" s="392"/>
      <c r="B248" s="392"/>
      <c r="C248" s="395"/>
      <c r="D248" s="7">
        <v>12</v>
      </c>
      <c r="E248" s="7">
        <v>24</v>
      </c>
      <c r="F248" s="7">
        <v>36</v>
      </c>
      <c r="G248" s="7">
        <v>48</v>
      </c>
      <c r="H248" s="7">
        <v>60</v>
      </c>
      <c r="I248" s="7">
        <v>72</v>
      </c>
      <c r="J248" s="7">
        <v>84</v>
      </c>
      <c r="K248" s="7">
        <v>96</v>
      </c>
      <c r="L248" s="7">
        <v>108</v>
      </c>
      <c r="M248" s="7">
        <v>120</v>
      </c>
      <c r="N248" s="7">
        <v>132</v>
      </c>
      <c r="O248" s="7">
        <v>144</v>
      </c>
      <c r="P248" s="7">
        <v>156</v>
      </c>
      <c r="Q248" s="7">
        <v>168</v>
      </c>
      <c r="R248" s="7">
        <v>180</v>
      </c>
      <c r="S248" s="7">
        <v>192</v>
      </c>
      <c r="T248" s="7">
        <v>204</v>
      </c>
      <c r="U248" s="7">
        <v>216</v>
      </c>
      <c r="V248" s="7">
        <v>228</v>
      </c>
      <c r="W248" s="7">
        <v>240</v>
      </c>
      <c r="X248" s="7">
        <v>252</v>
      </c>
      <c r="Y248" s="7">
        <v>264</v>
      </c>
      <c r="Z248" s="7">
        <v>276</v>
      </c>
      <c r="AA248" s="7">
        <v>288</v>
      </c>
      <c r="AB248" s="7">
        <v>300</v>
      </c>
      <c r="AC248" s="7">
        <v>312</v>
      </c>
      <c r="AD248" s="7">
        <v>324</v>
      </c>
      <c r="AE248" s="7">
        <v>336</v>
      </c>
      <c r="AF248" s="7">
        <v>348</v>
      </c>
      <c r="AG248" s="7">
        <v>360</v>
      </c>
      <c r="AH248" s="6"/>
    </row>
    <row r="249" spans="1:51" s="229" customFormat="1" ht="14.4" x14ac:dyDescent="0.25">
      <c r="A249" s="389" t="s">
        <v>7</v>
      </c>
      <c r="B249" s="390"/>
      <c r="C249" s="28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10"/>
    </row>
    <row r="250" spans="1:51" s="229" customFormat="1" ht="14.4" x14ac:dyDescent="0.25">
      <c r="A250" s="385" t="s">
        <v>8</v>
      </c>
      <c r="B250" s="386"/>
      <c r="C250" s="284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3" t="s">
        <v>9</v>
      </c>
      <c r="AJ250" s="14"/>
      <c r="AK250" s="14"/>
    </row>
    <row r="251" spans="1:51" s="229" customFormat="1" ht="14.4" x14ac:dyDescent="0.3">
      <c r="A251" s="15">
        <v>1</v>
      </c>
      <c r="B251" s="16" t="s">
        <v>10</v>
      </c>
      <c r="C251" s="16" t="s">
        <v>11</v>
      </c>
      <c r="D251" s="17">
        <f t="shared" ref="D251:AH251" si="225">SUM(D252:D252)</f>
        <v>0</v>
      </c>
      <c r="E251" s="17">
        <f t="shared" si="225"/>
        <v>0</v>
      </c>
      <c r="F251" s="17">
        <f t="shared" si="225"/>
        <v>0</v>
      </c>
      <c r="G251" s="17">
        <f t="shared" si="225"/>
        <v>0</v>
      </c>
      <c r="H251" s="17">
        <f t="shared" si="225"/>
        <v>0</v>
      </c>
      <c r="I251" s="17">
        <f t="shared" si="225"/>
        <v>0</v>
      </c>
      <c r="J251" s="17">
        <f t="shared" si="225"/>
        <v>0</v>
      </c>
      <c r="K251" s="17">
        <f t="shared" si="225"/>
        <v>0</v>
      </c>
      <c r="L251" s="17">
        <f t="shared" si="225"/>
        <v>0</v>
      </c>
      <c r="M251" s="17">
        <f t="shared" si="225"/>
        <v>0</v>
      </c>
      <c r="N251" s="17">
        <f t="shared" si="225"/>
        <v>0</v>
      </c>
      <c r="O251" s="17">
        <f t="shared" si="225"/>
        <v>0</v>
      </c>
      <c r="P251" s="17">
        <f t="shared" si="225"/>
        <v>0</v>
      </c>
      <c r="Q251" s="17">
        <f t="shared" si="225"/>
        <v>0</v>
      </c>
      <c r="R251" s="17">
        <f t="shared" si="225"/>
        <v>0</v>
      </c>
      <c r="S251" s="17">
        <f t="shared" si="225"/>
        <v>0</v>
      </c>
      <c r="T251" s="17">
        <f t="shared" si="225"/>
        <v>0</v>
      </c>
      <c r="U251" s="17">
        <f t="shared" si="225"/>
        <v>0</v>
      </c>
      <c r="V251" s="17">
        <f t="shared" si="225"/>
        <v>0</v>
      </c>
      <c r="W251" s="17">
        <f t="shared" si="225"/>
        <v>0</v>
      </c>
      <c r="X251" s="17">
        <f t="shared" si="225"/>
        <v>0</v>
      </c>
      <c r="Y251" s="17">
        <f t="shared" si="225"/>
        <v>0</v>
      </c>
      <c r="Z251" s="17">
        <f t="shared" si="225"/>
        <v>0</v>
      </c>
      <c r="AA251" s="17">
        <f t="shared" si="225"/>
        <v>0</v>
      </c>
      <c r="AB251" s="17">
        <f t="shared" si="225"/>
        <v>0</v>
      </c>
      <c r="AC251" s="17">
        <f t="shared" si="225"/>
        <v>0</v>
      </c>
      <c r="AD251" s="17">
        <f t="shared" si="225"/>
        <v>0</v>
      </c>
      <c r="AE251" s="17">
        <f t="shared" si="225"/>
        <v>0</v>
      </c>
      <c r="AF251" s="17">
        <f t="shared" si="225"/>
        <v>0</v>
      </c>
      <c r="AG251" s="17">
        <f t="shared" si="225"/>
        <v>0</v>
      </c>
      <c r="AH251" s="17">
        <f t="shared" si="225"/>
        <v>0</v>
      </c>
      <c r="AI251" s="18"/>
      <c r="AJ251" s="19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</row>
    <row r="252" spans="1:51" s="229" customFormat="1" outlineLevel="1" x14ac:dyDescent="0.25">
      <c r="A252" s="21" t="s">
        <v>12</v>
      </c>
      <c r="B252" s="231" t="s">
        <v>829</v>
      </c>
      <c r="C252" s="231" t="s">
        <v>14</v>
      </c>
      <c r="D252" s="24">
        <v>0</v>
      </c>
      <c r="E252" s="24">
        <f>D252</f>
        <v>0</v>
      </c>
      <c r="F252" s="24">
        <f t="shared" ref="F252:AG252" si="226">E252</f>
        <v>0</v>
      </c>
      <c r="G252" s="24">
        <f t="shared" si="226"/>
        <v>0</v>
      </c>
      <c r="H252" s="24">
        <f t="shared" si="226"/>
        <v>0</v>
      </c>
      <c r="I252" s="24">
        <f t="shared" si="226"/>
        <v>0</v>
      </c>
      <c r="J252" s="24">
        <f t="shared" si="226"/>
        <v>0</v>
      </c>
      <c r="K252" s="24">
        <f t="shared" si="226"/>
        <v>0</v>
      </c>
      <c r="L252" s="24">
        <f t="shared" si="226"/>
        <v>0</v>
      </c>
      <c r="M252" s="24">
        <f t="shared" si="226"/>
        <v>0</v>
      </c>
      <c r="N252" s="24">
        <f t="shared" si="226"/>
        <v>0</v>
      </c>
      <c r="O252" s="24">
        <f t="shared" si="226"/>
        <v>0</v>
      </c>
      <c r="P252" s="24">
        <f t="shared" si="226"/>
        <v>0</v>
      </c>
      <c r="Q252" s="24">
        <f t="shared" si="226"/>
        <v>0</v>
      </c>
      <c r="R252" s="24">
        <f t="shared" si="226"/>
        <v>0</v>
      </c>
      <c r="S252" s="24">
        <f t="shared" si="226"/>
        <v>0</v>
      </c>
      <c r="T252" s="24">
        <f t="shared" si="226"/>
        <v>0</v>
      </c>
      <c r="U252" s="24">
        <f t="shared" si="226"/>
        <v>0</v>
      </c>
      <c r="V252" s="24">
        <f t="shared" si="226"/>
        <v>0</v>
      </c>
      <c r="W252" s="24">
        <f t="shared" si="226"/>
        <v>0</v>
      </c>
      <c r="X252" s="24">
        <f t="shared" si="226"/>
        <v>0</v>
      </c>
      <c r="Y252" s="24">
        <f t="shared" si="226"/>
        <v>0</v>
      </c>
      <c r="Z252" s="24">
        <f t="shared" si="226"/>
        <v>0</v>
      </c>
      <c r="AA252" s="24">
        <f t="shared" si="226"/>
        <v>0</v>
      </c>
      <c r="AB252" s="24">
        <f t="shared" si="226"/>
        <v>0</v>
      </c>
      <c r="AC252" s="24">
        <f t="shared" si="226"/>
        <v>0</v>
      </c>
      <c r="AD252" s="24">
        <f t="shared" si="226"/>
        <v>0</v>
      </c>
      <c r="AE252" s="24">
        <f t="shared" si="226"/>
        <v>0</v>
      </c>
      <c r="AF252" s="24">
        <f t="shared" si="226"/>
        <v>0</v>
      </c>
      <c r="AG252" s="24">
        <f t="shared" si="226"/>
        <v>0</v>
      </c>
      <c r="AH252" s="24">
        <f t="shared" ref="AH252" si="227">SUM(D252:AG252)</f>
        <v>0</v>
      </c>
      <c r="AI252" s="20"/>
      <c r="AJ252" s="18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</row>
    <row r="253" spans="1:51" s="229" customFormat="1" ht="14.4" x14ac:dyDescent="0.25">
      <c r="A253" s="385" t="s">
        <v>37</v>
      </c>
      <c r="B253" s="386"/>
      <c r="C253" s="284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3" t="s">
        <v>9</v>
      </c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</row>
    <row r="254" spans="1:51" s="229" customFormat="1" ht="14.4" x14ac:dyDescent="0.3">
      <c r="A254" s="15">
        <v>2</v>
      </c>
      <c r="B254" s="16" t="s">
        <v>38</v>
      </c>
      <c r="C254" s="16" t="s">
        <v>11</v>
      </c>
      <c r="D254" s="17">
        <f t="shared" ref="D254:AH254" si="228">SUM(D255:D255)</f>
        <v>0</v>
      </c>
      <c r="E254" s="17">
        <f t="shared" si="228"/>
        <v>0</v>
      </c>
      <c r="F254" s="17">
        <f t="shared" si="228"/>
        <v>0</v>
      </c>
      <c r="G254" s="17">
        <f t="shared" si="228"/>
        <v>0</v>
      </c>
      <c r="H254" s="17">
        <f t="shared" si="228"/>
        <v>0</v>
      </c>
      <c r="I254" s="17">
        <f t="shared" si="228"/>
        <v>0</v>
      </c>
      <c r="J254" s="17">
        <f t="shared" si="228"/>
        <v>0</v>
      </c>
      <c r="K254" s="17">
        <f t="shared" si="228"/>
        <v>0</v>
      </c>
      <c r="L254" s="17">
        <f t="shared" si="228"/>
        <v>0</v>
      </c>
      <c r="M254" s="17">
        <f t="shared" si="228"/>
        <v>0</v>
      </c>
      <c r="N254" s="17">
        <f t="shared" si="228"/>
        <v>0</v>
      </c>
      <c r="O254" s="17">
        <f t="shared" si="228"/>
        <v>0</v>
      </c>
      <c r="P254" s="17">
        <f t="shared" si="228"/>
        <v>0</v>
      </c>
      <c r="Q254" s="17">
        <f t="shared" si="228"/>
        <v>0</v>
      </c>
      <c r="R254" s="17">
        <f t="shared" si="228"/>
        <v>0</v>
      </c>
      <c r="S254" s="17">
        <f t="shared" si="228"/>
        <v>0</v>
      </c>
      <c r="T254" s="17">
        <f t="shared" si="228"/>
        <v>0</v>
      </c>
      <c r="U254" s="17">
        <f t="shared" si="228"/>
        <v>0</v>
      </c>
      <c r="V254" s="17">
        <f t="shared" si="228"/>
        <v>0</v>
      </c>
      <c r="W254" s="17">
        <f t="shared" si="228"/>
        <v>0</v>
      </c>
      <c r="X254" s="17">
        <f t="shared" si="228"/>
        <v>0</v>
      </c>
      <c r="Y254" s="17">
        <f t="shared" si="228"/>
        <v>0</v>
      </c>
      <c r="Z254" s="17">
        <f t="shared" si="228"/>
        <v>0</v>
      </c>
      <c r="AA254" s="17">
        <f t="shared" si="228"/>
        <v>0</v>
      </c>
      <c r="AB254" s="17">
        <f t="shared" si="228"/>
        <v>0</v>
      </c>
      <c r="AC254" s="17">
        <f t="shared" si="228"/>
        <v>0</v>
      </c>
      <c r="AD254" s="17">
        <f t="shared" si="228"/>
        <v>0</v>
      </c>
      <c r="AE254" s="17">
        <f t="shared" si="228"/>
        <v>0</v>
      </c>
      <c r="AF254" s="17">
        <f t="shared" si="228"/>
        <v>0</v>
      </c>
      <c r="AG254" s="17">
        <f t="shared" si="228"/>
        <v>0</v>
      </c>
      <c r="AH254" s="17">
        <f t="shared" si="228"/>
        <v>0</v>
      </c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</row>
    <row r="255" spans="1:51" s="229" customFormat="1" outlineLevel="1" x14ac:dyDescent="0.25">
      <c r="A255" s="21" t="s">
        <v>39</v>
      </c>
      <c r="B255" s="231" t="s">
        <v>829</v>
      </c>
      <c r="C255" s="231" t="s">
        <v>14</v>
      </c>
      <c r="D255" s="24">
        <v>0</v>
      </c>
      <c r="E255" s="24">
        <f>D255</f>
        <v>0</v>
      </c>
      <c r="F255" s="24">
        <f t="shared" ref="F255:AG255" si="229">E255</f>
        <v>0</v>
      </c>
      <c r="G255" s="24">
        <f t="shared" si="229"/>
        <v>0</v>
      </c>
      <c r="H255" s="24">
        <f t="shared" si="229"/>
        <v>0</v>
      </c>
      <c r="I255" s="24">
        <f t="shared" si="229"/>
        <v>0</v>
      </c>
      <c r="J255" s="24">
        <f t="shared" si="229"/>
        <v>0</v>
      </c>
      <c r="K255" s="24">
        <f t="shared" si="229"/>
        <v>0</v>
      </c>
      <c r="L255" s="24">
        <f t="shared" si="229"/>
        <v>0</v>
      </c>
      <c r="M255" s="24">
        <f t="shared" si="229"/>
        <v>0</v>
      </c>
      <c r="N255" s="24">
        <f t="shared" si="229"/>
        <v>0</v>
      </c>
      <c r="O255" s="24">
        <f t="shared" si="229"/>
        <v>0</v>
      </c>
      <c r="P255" s="24">
        <f t="shared" si="229"/>
        <v>0</v>
      </c>
      <c r="Q255" s="24">
        <f t="shared" si="229"/>
        <v>0</v>
      </c>
      <c r="R255" s="24">
        <f t="shared" si="229"/>
        <v>0</v>
      </c>
      <c r="S255" s="24">
        <f t="shared" si="229"/>
        <v>0</v>
      </c>
      <c r="T255" s="24">
        <f t="shared" si="229"/>
        <v>0</v>
      </c>
      <c r="U255" s="24">
        <f t="shared" si="229"/>
        <v>0</v>
      </c>
      <c r="V255" s="24">
        <f t="shared" si="229"/>
        <v>0</v>
      </c>
      <c r="W255" s="24">
        <f t="shared" si="229"/>
        <v>0</v>
      </c>
      <c r="X255" s="24">
        <f t="shared" si="229"/>
        <v>0</v>
      </c>
      <c r="Y255" s="24">
        <f t="shared" si="229"/>
        <v>0</v>
      </c>
      <c r="Z255" s="24">
        <f t="shared" si="229"/>
        <v>0</v>
      </c>
      <c r="AA255" s="24">
        <f t="shared" si="229"/>
        <v>0</v>
      </c>
      <c r="AB255" s="24">
        <f t="shared" si="229"/>
        <v>0</v>
      </c>
      <c r="AC255" s="24">
        <f t="shared" si="229"/>
        <v>0</v>
      </c>
      <c r="AD255" s="24">
        <f t="shared" si="229"/>
        <v>0</v>
      </c>
      <c r="AE255" s="24">
        <f t="shared" si="229"/>
        <v>0</v>
      </c>
      <c r="AF255" s="24">
        <f t="shared" si="229"/>
        <v>0</v>
      </c>
      <c r="AG255" s="24">
        <f t="shared" si="229"/>
        <v>0</v>
      </c>
      <c r="AH255" s="24">
        <f t="shared" ref="AH255" si="230">SUM(D255:AG255)</f>
        <v>0</v>
      </c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</row>
    <row r="256" spans="1:51" s="229" customFormat="1" ht="14.4" x14ac:dyDescent="0.25">
      <c r="A256" s="387" t="s">
        <v>51</v>
      </c>
      <c r="B256" s="388"/>
      <c r="C256" s="286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8" t="s">
        <v>9</v>
      </c>
    </row>
    <row r="257" spans="1:51" s="229" customFormat="1" ht="14.4" x14ac:dyDescent="0.25">
      <c r="A257" s="385" t="s">
        <v>52</v>
      </c>
      <c r="B257" s="386"/>
      <c r="C257" s="284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3"/>
    </row>
    <row r="258" spans="1:51" s="229" customFormat="1" ht="14.4" x14ac:dyDescent="0.3">
      <c r="A258" s="15">
        <v>1</v>
      </c>
      <c r="B258" s="16" t="s">
        <v>53</v>
      </c>
      <c r="C258" s="16" t="s">
        <v>54</v>
      </c>
      <c r="D258" s="17">
        <f t="shared" ref="D258:AH258" si="231">SUM(D259:D259)</f>
        <v>0</v>
      </c>
      <c r="E258" s="17">
        <f t="shared" si="231"/>
        <v>0</v>
      </c>
      <c r="F258" s="17">
        <f t="shared" si="231"/>
        <v>0</v>
      </c>
      <c r="G258" s="17">
        <f t="shared" si="231"/>
        <v>0</v>
      </c>
      <c r="H258" s="17">
        <f t="shared" si="231"/>
        <v>0</v>
      </c>
      <c r="I258" s="17">
        <f t="shared" si="231"/>
        <v>0</v>
      </c>
      <c r="J258" s="17">
        <f t="shared" si="231"/>
        <v>0</v>
      </c>
      <c r="K258" s="17">
        <f t="shared" si="231"/>
        <v>0</v>
      </c>
      <c r="L258" s="17">
        <f t="shared" si="231"/>
        <v>0</v>
      </c>
      <c r="M258" s="17">
        <f t="shared" si="231"/>
        <v>0</v>
      </c>
      <c r="N258" s="17">
        <f t="shared" si="231"/>
        <v>0</v>
      </c>
      <c r="O258" s="17">
        <f t="shared" si="231"/>
        <v>0</v>
      </c>
      <c r="P258" s="17">
        <f t="shared" si="231"/>
        <v>0</v>
      </c>
      <c r="Q258" s="17">
        <f t="shared" si="231"/>
        <v>0</v>
      </c>
      <c r="R258" s="17">
        <f t="shared" si="231"/>
        <v>0</v>
      </c>
      <c r="S258" s="17">
        <f t="shared" si="231"/>
        <v>0</v>
      </c>
      <c r="T258" s="17">
        <f t="shared" si="231"/>
        <v>0</v>
      </c>
      <c r="U258" s="17">
        <f t="shared" si="231"/>
        <v>0</v>
      </c>
      <c r="V258" s="17">
        <f t="shared" si="231"/>
        <v>0</v>
      </c>
      <c r="W258" s="17">
        <f t="shared" si="231"/>
        <v>0</v>
      </c>
      <c r="X258" s="17">
        <f t="shared" si="231"/>
        <v>0</v>
      </c>
      <c r="Y258" s="17">
        <f t="shared" si="231"/>
        <v>0</v>
      </c>
      <c r="Z258" s="17">
        <f t="shared" si="231"/>
        <v>0</v>
      </c>
      <c r="AA258" s="17">
        <f t="shared" si="231"/>
        <v>0</v>
      </c>
      <c r="AB258" s="17">
        <f t="shared" si="231"/>
        <v>0</v>
      </c>
      <c r="AC258" s="17">
        <f t="shared" si="231"/>
        <v>0</v>
      </c>
      <c r="AD258" s="17">
        <f t="shared" si="231"/>
        <v>0</v>
      </c>
      <c r="AE258" s="17">
        <f t="shared" si="231"/>
        <v>0</v>
      </c>
      <c r="AF258" s="17">
        <f t="shared" si="231"/>
        <v>0</v>
      </c>
      <c r="AG258" s="17">
        <f t="shared" si="231"/>
        <v>0</v>
      </c>
      <c r="AH258" s="17">
        <f t="shared" si="231"/>
        <v>0</v>
      </c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</row>
    <row r="259" spans="1:51" s="229" customFormat="1" outlineLevel="1" x14ac:dyDescent="0.25">
      <c r="A259" s="21" t="s">
        <v>12</v>
      </c>
      <c r="B259" s="231" t="s">
        <v>829</v>
      </c>
      <c r="C259" s="231" t="s">
        <v>54</v>
      </c>
      <c r="D259" s="24">
        <f t="shared" ref="D259:AG259" si="232">D252*2.5*1000</f>
        <v>0</v>
      </c>
      <c r="E259" s="24">
        <f t="shared" si="232"/>
        <v>0</v>
      </c>
      <c r="F259" s="24">
        <f t="shared" si="232"/>
        <v>0</v>
      </c>
      <c r="G259" s="24">
        <f t="shared" si="232"/>
        <v>0</v>
      </c>
      <c r="H259" s="24">
        <f t="shared" si="232"/>
        <v>0</v>
      </c>
      <c r="I259" s="24">
        <f t="shared" si="232"/>
        <v>0</v>
      </c>
      <c r="J259" s="24">
        <f t="shared" si="232"/>
        <v>0</v>
      </c>
      <c r="K259" s="24">
        <f t="shared" si="232"/>
        <v>0</v>
      </c>
      <c r="L259" s="24">
        <f t="shared" si="232"/>
        <v>0</v>
      </c>
      <c r="M259" s="24">
        <f t="shared" si="232"/>
        <v>0</v>
      </c>
      <c r="N259" s="24">
        <f t="shared" si="232"/>
        <v>0</v>
      </c>
      <c r="O259" s="24">
        <f t="shared" si="232"/>
        <v>0</v>
      </c>
      <c r="P259" s="24">
        <f t="shared" si="232"/>
        <v>0</v>
      </c>
      <c r="Q259" s="24">
        <f t="shared" si="232"/>
        <v>0</v>
      </c>
      <c r="R259" s="24">
        <f t="shared" si="232"/>
        <v>0</v>
      </c>
      <c r="S259" s="24">
        <f t="shared" si="232"/>
        <v>0</v>
      </c>
      <c r="T259" s="24">
        <f t="shared" si="232"/>
        <v>0</v>
      </c>
      <c r="U259" s="24">
        <f t="shared" si="232"/>
        <v>0</v>
      </c>
      <c r="V259" s="24">
        <f t="shared" si="232"/>
        <v>0</v>
      </c>
      <c r="W259" s="24">
        <f t="shared" si="232"/>
        <v>0</v>
      </c>
      <c r="X259" s="24">
        <f t="shared" si="232"/>
        <v>0</v>
      </c>
      <c r="Y259" s="24">
        <f t="shared" si="232"/>
        <v>0</v>
      </c>
      <c r="Z259" s="24">
        <f t="shared" si="232"/>
        <v>0</v>
      </c>
      <c r="AA259" s="24">
        <f t="shared" si="232"/>
        <v>0</v>
      </c>
      <c r="AB259" s="24">
        <f t="shared" si="232"/>
        <v>0</v>
      </c>
      <c r="AC259" s="24">
        <f t="shared" si="232"/>
        <v>0</v>
      </c>
      <c r="AD259" s="24">
        <f t="shared" si="232"/>
        <v>0</v>
      </c>
      <c r="AE259" s="24">
        <f t="shared" si="232"/>
        <v>0</v>
      </c>
      <c r="AF259" s="24">
        <f t="shared" si="232"/>
        <v>0</v>
      </c>
      <c r="AG259" s="24">
        <f t="shared" si="232"/>
        <v>0</v>
      </c>
      <c r="AH259" s="24">
        <f>AH252*3.5*1000</f>
        <v>0</v>
      </c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</row>
    <row r="260" spans="1:51" s="229" customFormat="1" ht="14.4" x14ac:dyDescent="0.25">
      <c r="A260" s="385" t="s">
        <v>55</v>
      </c>
      <c r="B260" s="386"/>
      <c r="C260" s="29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</row>
    <row r="261" spans="1:51" s="229" customFormat="1" ht="14.4" x14ac:dyDescent="0.3">
      <c r="A261" s="15">
        <v>2</v>
      </c>
      <c r="B261" s="16" t="s">
        <v>56</v>
      </c>
      <c r="C261" s="16" t="s">
        <v>54</v>
      </c>
      <c r="D261" s="17">
        <f t="shared" ref="D261:AH261" si="233">SUM(D262:D262)</f>
        <v>0</v>
      </c>
      <c r="E261" s="17">
        <f t="shared" si="233"/>
        <v>0</v>
      </c>
      <c r="F261" s="17">
        <f t="shared" si="233"/>
        <v>0</v>
      </c>
      <c r="G261" s="17">
        <f t="shared" si="233"/>
        <v>0</v>
      </c>
      <c r="H261" s="17">
        <f t="shared" si="233"/>
        <v>0</v>
      </c>
      <c r="I261" s="17">
        <f t="shared" si="233"/>
        <v>0</v>
      </c>
      <c r="J261" s="17">
        <f t="shared" si="233"/>
        <v>0</v>
      </c>
      <c r="K261" s="17">
        <f t="shared" si="233"/>
        <v>0</v>
      </c>
      <c r="L261" s="17">
        <f t="shared" si="233"/>
        <v>0</v>
      </c>
      <c r="M261" s="17">
        <f t="shared" si="233"/>
        <v>0</v>
      </c>
      <c r="N261" s="17">
        <f t="shared" si="233"/>
        <v>0</v>
      </c>
      <c r="O261" s="17">
        <f t="shared" si="233"/>
        <v>0</v>
      </c>
      <c r="P261" s="17">
        <f t="shared" si="233"/>
        <v>0</v>
      </c>
      <c r="Q261" s="17">
        <f t="shared" si="233"/>
        <v>0</v>
      </c>
      <c r="R261" s="17">
        <f t="shared" si="233"/>
        <v>0</v>
      </c>
      <c r="S261" s="17">
        <f t="shared" si="233"/>
        <v>0</v>
      </c>
      <c r="T261" s="17">
        <f t="shared" si="233"/>
        <v>0</v>
      </c>
      <c r="U261" s="17">
        <f t="shared" si="233"/>
        <v>0</v>
      </c>
      <c r="V261" s="17">
        <f t="shared" si="233"/>
        <v>0</v>
      </c>
      <c r="W261" s="17">
        <f t="shared" si="233"/>
        <v>0</v>
      </c>
      <c r="X261" s="17">
        <f t="shared" si="233"/>
        <v>0</v>
      </c>
      <c r="Y261" s="17">
        <f t="shared" si="233"/>
        <v>0</v>
      </c>
      <c r="Z261" s="17">
        <f t="shared" si="233"/>
        <v>0</v>
      </c>
      <c r="AA261" s="17">
        <f t="shared" si="233"/>
        <v>0</v>
      </c>
      <c r="AB261" s="17">
        <f t="shared" si="233"/>
        <v>0</v>
      </c>
      <c r="AC261" s="17">
        <f t="shared" si="233"/>
        <v>0</v>
      </c>
      <c r="AD261" s="17">
        <f t="shared" si="233"/>
        <v>0</v>
      </c>
      <c r="AE261" s="17">
        <f t="shared" si="233"/>
        <v>0</v>
      </c>
      <c r="AF261" s="17">
        <f t="shared" si="233"/>
        <v>0</v>
      </c>
      <c r="AG261" s="17">
        <f t="shared" si="233"/>
        <v>0</v>
      </c>
      <c r="AH261" s="17">
        <f t="shared" si="233"/>
        <v>0</v>
      </c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</row>
    <row r="262" spans="1:51" s="229" customFormat="1" outlineLevel="1" x14ac:dyDescent="0.25">
      <c r="A262" s="21" t="s">
        <v>39</v>
      </c>
      <c r="B262" s="231" t="s">
        <v>829</v>
      </c>
      <c r="C262" s="231" t="s">
        <v>54</v>
      </c>
      <c r="D262" s="24">
        <f t="shared" ref="D262:AH262" si="234">D255*2.5*1000</f>
        <v>0</v>
      </c>
      <c r="E262" s="24">
        <f t="shared" si="234"/>
        <v>0</v>
      </c>
      <c r="F262" s="24">
        <f t="shared" si="234"/>
        <v>0</v>
      </c>
      <c r="G262" s="24">
        <f t="shared" si="234"/>
        <v>0</v>
      </c>
      <c r="H262" s="24">
        <f t="shared" si="234"/>
        <v>0</v>
      </c>
      <c r="I262" s="24">
        <f t="shared" si="234"/>
        <v>0</v>
      </c>
      <c r="J262" s="24">
        <f t="shared" si="234"/>
        <v>0</v>
      </c>
      <c r="K262" s="24">
        <f t="shared" si="234"/>
        <v>0</v>
      </c>
      <c r="L262" s="24">
        <f t="shared" si="234"/>
        <v>0</v>
      </c>
      <c r="M262" s="24">
        <f t="shared" si="234"/>
        <v>0</v>
      </c>
      <c r="N262" s="24">
        <f t="shared" si="234"/>
        <v>0</v>
      </c>
      <c r="O262" s="24">
        <f t="shared" si="234"/>
        <v>0</v>
      </c>
      <c r="P262" s="24">
        <f t="shared" si="234"/>
        <v>0</v>
      </c>
      <c r="Q262" s="24">
        <f t="shared" si="234"/>
        <v>0</v>
      </c>
      <c r="R262" s="24">
        <f t="shared" si="234"/>
        <v>0</v>
      </c>
      <c r="S262" s="24">
        <f t="shared" si="234"/>
        <v>0</v>
      </c>
      <c r="T262" s="24">
        <f t="shared" si="234"/>
        <v>0</v>
      </c>
      <c r="U262" s="24">
        <f t="shared" si="234"/>
        <v>0</v>
      </c>
      <c r="V262" s="24">
        <f t="shared" si="234"/>
        <v>0</v>
      </c>
      <c r="W262" s="24">
        <f t="shared" si="234"/>
        <v>0</v>
      </c>
      <c r="X262" s="24">
        <f t="shared" si="234"/>
        <v>0</v>
      </c>
      <c r="Y262" s="24">
        <f t="shared" si="234"/>
        <v>0</v>
      </c>
      <c r="Z262" s="24">
        <f t="shared" si="234"/>
        <v>0</v>
      </c>
      <c r="AA262" s="24">
        <f t="shared" si="234"/>
        <v>0</v>
      </c>
      <c r="AB262" s="24">
        <f t="shared" si="234"/>
        <v>0</v>
      </c>
      <c r="AC262" s="24">
        <f t="shared" si="234"/>
        <v>0</v>
      </c>
      <c r="AD262" s="24">
        <f t="shared" si="234"/>
        <v>0</v>
      </c>
      <c r="AE262" s="24">
        <f t="shared" si="234"/>
        <v>0</v>
      </c>
      <c r="AF262" s="24">
        <f t="shared" si="234"/>
        <v>0</v>
      </c>
      <c r="AG262" s="24">
        <f t="shared" si="234"/>
        <v>0</v>
      </c>
      <c r="AH262" s="24">
        <f t="shared" si="234"/>
        <v>0</v>
      </c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</row>
    <row r="263" spans="1:51" s="229" customFormat="1" ht="14.4" x14ac:dyDescent="0.25">
      <c r="A263" s="389" t="s">
        <v>57</v>
      </c>
      <c r="B263" s="390"/>
      <c r="C263" s="285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</row>
    <row r="264" spans="1:51" s="229" customFormat="1" ht="14.4" x14ac:dyDescent="0.25">
      <c r="A264" s="385" t="s">
        <v>58</v>
      </c>
      <c r="B264" s="386"/>
      <c r="C264" s="3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3" t="s">
        <v>9</v>
      </c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</row>
    <row r="265" spans="1:51" s="229" customFormat="1" ht="14.4" x14ac:dyDescent="0.3">
      <c r="A265" s="15">
        <v>1</v>
      </c>
      <c r="B265" s="16" t="s">
        <v>830</v>
      </c>
      <c r="C265" s="16" t="s">
        <v>14</v>
      </c>
      <c r="D265" s="17">
        <f>D266</f>
        <v>0</v>
      </c>
      <c r="E265" s="17">
        <f t="shared" ref="E265:AH265" si="235">E266</f>
        <v>0</v>
      </c>
      <c r="F265" s="17">
        <f t="shared" si="235"/>
        <v>0</v>
      </c>
      <c r="G265" s="17">
        <f t="shared" si="235"/>
        <v>0</v>
      </c>
      <c r="H265" s="17">
        <f t="shared" si="235"/>
        <v>3.052</v>
      </c>
      <c r="I265" s="17">
        <f t="shared" si="235"/>
        <v>0</v>
      </c>
      <c r="J265" s="17">
        <f t="shared" si="235"/>
        <v>0</v>
      </c>
      <c r="K265" s="17">
        <f t="shared" si="235"/>
        <v>0</v>
      </c>
      <c r="L265" s="17">
        <f t="shared" si="235"/>
        <v>0</v>
      </c>
      <c r="M265" s="17">
        <f t="shared" si="235"/>
        <v>0</v>
      </c>
      <c r="N265" s="17">
        <f t="shared" si="235"/>
        <v>0</v>
      </c>
      <c r="O265" s="17">
        <f t="shared" si="235"/>
        <v>0</v>
      </c>
      <c r="P265" s="17">
        <f t="shared" si="235"/>
        <v>0</v>
      </c>
      <c r="Q265" s="17">
        <f t="shared" si="235"/>
        <v>0</v>
      </c>
      <c r="R265" s="17">
        <f t="shared" si="235"/>
        <v>0</v>
      </c>
      <c r="S265" s="17">
        <f t="shared" si="235"/>
        <v>0</v>
      </c>
      <c r="T265" s="17">
        <f t="shared" si="235"/>
        <v>0</v>
      </c>
      <c r="U265" s="17">
        <f t="shared" si="235"/>
        <v>0</v>
      </c>
      <c r="V265" s="17">
        <f t="shared" si="235"/>
        <v>0</v>
      </c>
      <c r="W265" s="17">
        <f t="shared" si="235"/>
        <v>0</v>
      </c>
      <c r="X265" s="17">
        <f t="shared" si="235"/>
        <v>0</v>
      </c>
      <c r="Y265" s="17">
        <f t="shared" si="235"/>
        <v>0</v>
      </c>
      <c r="Z265" s="17">
        <f t="shared" si="235"/>
        <v>0</v>
      </c>
      <c r="AA265" s="17">
        <f t="shared" si="235"/>
        <v>0</v>
      </c>
      <c r="AB265" s="17">
        <f t="shared" si="235"/>
        <v>0</v>
      </c>
      <c r="AC265" s="17">
        <f t="shared" si="235"/>
        <v>0</v>
      </c>
      <c r="AD265" s="17">
        <f t="shared" si="235"/>
        <v>0</v>
      </c>
      <c r="AE265" s="17">
        <f t="shared" si="235"/>
        <v>0</v>
      </c>
      <c r="AF265" s="17">
        <f t="shared" si="235"/>
        <v>0</v>
      </c>
      <c r="AG265" s="17">
        <f t="shared" si="235"/>
        <v>0</v>
      </c>
      <c r="AH265" s="17">
        <f t="shared" si="235"/>
        <v>3.052</v>
      </c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</row>
    <row r="266" spans="1:51" s="229" customFormat="1" ht="14.4" outlineLevel="1" x14ac:dyDescent="0.3">
      <c r="A266" s="21" t="s">
        <v>12</v>
      </c>
      <c r="B266" s="231" t="s">
        <v>829</v>
      </c>
      <c r="C266" s="231" t="s">
        <v>14</v>
      </c>
      <c r="D266" s="23"/>
      <c r="E266" s="23"/>
      <c r="F266" s="23"/>
      <c r="G266" s="23"/>
      <c r="H266" s="24">
        <f>1.526*2</f>
        <v>3.052</v>
      </c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>
        <f t="shared" ref="AH266" si="236">SUM(D266:AG266)</f>
        <v>3.052</v>
      </c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</row>
    <row r="267" spans="1:51" s="229" customFormat="1" ht="14.4" x14ac:dyDescent="0.3">
      <c r="A267" s="15">
        <v>2</v>
      </c>
      <c r="B267" s="16" t="s">
        <v>59</v>
      </c>
      <c r="C267" s="16" t="s">
        <v>14</v>
      </c>
      <c r="D267" s="17">
        <f t="shared" ref="D267:AH267" si="237">SUM(D268:D268)</f>
        <v>0</v>
      </c>
      <c r="E267" s="17">
        <f t="shared" si="237"/>
        <v>0</v>
      </c>
      <c r="F267" s="17">
        <f t="shared" si="237"/>
        <v>0</v>
      </c>
      <c r="G267" s="17">
        <f t="shared" si="237"/>
        <v>0</v>
      </c>
      <c r="H267" s="17">
        <f t="shared" si="237"/>
        <v>3.052</v>
      </c>
      <c r="I267" s="17">
        <f t="shared" si="237"/>
        <v>0</v>
      </c>
      <c r="J267" s="17">
        <f t="shared" si="237"/>
        <v>0</v>
      </c>
      <c r="K267" s="17">
        <f t="shared" si="237"/>
        <v>0</v>
      </c>
      <c r="L267" s="17">
        <f t="shared" si="237"/>
        <v>0</v>
      </c>
      <c r="M267" s="17">
        <f t="shared" si="237"/>
        <v>0</v>
      </c>
      <c r="N267" s="17">
        <f t="shared" si="237"/>
        <v>0</v>
      </c>
      <c r="O267" s="17">
        <f t="shared" si="237"/>
        <v>0</v>
      </c>
      <c r="P267" s="17">
        <f t="shared" si="237"/>
        <v>0</v>
      </c>
      <c r="Q267" s="17">
        <f t="shared" si="237"/>
        <v>0</v>
      </c>
      <c r="R267" s="17">
        <f t="shared" si="237"/>
        <v>0</v>
      </c>
      <c r="S267" s="17">
        <f t="shared" si="237"/>
        <v>0</v>
      </c>
      <c r="T267" s="17">
        <f t="shared" si="237"/>
        <v>0</v>
      </c>
      <c r="U267" s="17">
        <f t="shared" si="237"/>
        <v>0</v>
      </c>
      <c r="V267" s="17">
        <f t="shared" si="237"/>
        <v>0</v>
      </c>
      <c r="W267" s="17">
        <f t="shared" si="237"/>
        <v>0</v>
      </c>
      <c r="X267" s="17">
        <f t="shared" si="237"/>
        <v>0</v>
      </c>
      <c r="Y267" s="17">
        <f t="shared" si="237"/>
        <v>0</v>
      </c>
      <c r="Z267" s="17">
        <f t="shared" si="237"/>
        <v>0</v>
      </c>
      <c r="AA267" s="17">
        <f t="shared" si="237"/>
        <v>0</v>
      </c>
      <c r="AB267" s="17">
        <f t="shared" si="237"/>
        <v>0</v>
      </c>
      <c r="AC267" s="17">
        <f t="shared" si="237"/>
        <v>0</v>
      </c>
      <c r="AD267" s="17">
        <f t="shared" si="237"/>
        <v>0</v>
      </c>
      <c r="AE267" s="17">
        <f t="shared" si="237"/>
        <v>0</v>
      </c>
      <c r="AF267" s="17">
        <f t="shared" si="237"/>
        <v>0</v>
      </c>
      <c r="AG267" s="17">
        <f t="shared" si="237"/>
        <v>0</v>
      </c>
      <c r="AH267" s="17">
        <f t="shared" si="237"/>
        <v>3.052</v>
      </c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</row>
    <row r="268" spans="1:51" s="229" customFormat="1" outlineLevel="1" x14ac:dyDescent="0.25">
      <c r="A268" s="21" t="s">
        <v>39</v>
      </c>
      <c r="B268" s="231" t="s">
        <v>829</v>
      </c>
      <c r="C268" s="231" t="s">
        <v>14</v>
      </c>
      <c r="D268" s="24">
        <v>0</v>
      </c>
      <c r="E268" s="24">
        <v>0</v>
      </c>
      <c r="F268" s="24">
        <v>0</v>
      </c>
      <c r="G268" s="24"/>
      <c r="H268" s="24">
        <f>1.526*2</f>
        <v>3.052</v>
      </c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>
        <f t="shared" ref="AH268" si="238">SUM(D268:AG268)</f>
        <v>3.052</v>
      </c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</row>
    <row r="269" spans="1:51" s="229" customFormat="1" ht="14.4" x14ac:dyDescent="0.3">
      <c r="A269" s="15">
        <v>3</v>
      </c>
      <c r="B269" s="16" t="s">
        <v>831</v>
      </c>
      <c r="C269" s="16" t="s">
        <v>14</v>
      </c>
      <c r="D269" s="17">
        <f>D270</f>
        <v>0</v>
      </c>
      <c r="E269" s="17">
        <f t="shared" ref="E269:AH269" si="239">E270</f>
        <v>0</v>
      </c>
      <c r="F269" s="17">
        <f t="shared" si="239"/>
        <v>0</v>
      </c>
      <c r="G269" s="17">
        <f t="shared" si="239"/>
        <v>0</v>
      </c>
      <c r="H269" s="17">
        <f t="shared" si="239"/>
        <v>0</v>
      </c>
      <c r="I269" s="17">
        <f t="shared" si="239"/>
        <v>0</v>
      </c>
      <c r="J269" s="17">
        <f t="shared" si="239"/>
        <v>0</v>
      </c>
      <c r="K269" s="17">
        <f t="shared" si="239"/>
        <v>0</v>
      </c>
      <c r="L269" s="17">
        <f t="shared" si="239"/>
        <v>0</v>
      </c>
      <c r="M269" s="17">
        <f t="shared" si="239"/>
        <v>0</v>
      </c>
      <c r="N269" s="17">
        <f t="shared" si="239"/>
        <v>0</v>
      </c>
      <c r="O269" s="17">
        <f t="shared" si="239"/>
        <v>0</v>
      </c>
      <c r="P269" s="17">
        <f t="shared" si="239"/>
        <v>0</v>
      </c>
      <c r="Q269" s="17">
        <f t="shared" si="239"/>
        <v>0</v>
      </c>
      <c r="R269" s="17">
        <f t="shared" si="239"/>
        <v>0</v>
      </c>
      <c r="S269" s="17">
        <f t="shared" si="239"/>
        <v>0</v>
      </c>
      <c r="T269" s="17">
        <f t="shared" si="239"/>
        <v>0</v>
      </c>
      <c r="U269" s="17">
        <f t="shared" si="239"/>
        <v>0</v>
      </c>
      <c r="V269" s="17">
        <f t="shared" si="239"/>
        <v>0</v>
      </c>
      <c r="W269" s="17">
        <f t="shared" si="239"/>
        <v>0</v>
      </c>
      <c r="X269" s="17">
        <f t="shared" si="239"/>
        <v>0</v>
      </c>
      <c r="Y269" s="17">
        <f t="shared" si="239"/>
        <v>0</v>
      </c>
      <c r="Z269" s="17">
        <f t="shared" si="239"/>
        <v>0</v>
      </c>
      <c r="AA269" s="17">
        <f t="shared" si="239"/>
        <v>0</v>
      </c>
      <c r="AB269" s="17">
        <f t="shared" si="239"/>
        <v>0</v>
      </c>
      <c r="AC269" s="17">
        <f t="shared" si="239"/>
        <v>0</v>
      </c>
      <c r="AD269" s="17">
        <f t="shared" si="239"/>
        <v>0</v>
      </c>
      <c r="AE269" s="17">
        <f t="shared" si="239"/>
        <v>0</v>
      </c>
      <c r="AF269" s="17">
        <f t="shared" si="239"/>
        <v>0</v>
      </c>
      <c r="AG269" s="17">
        <f t="shared" si="239"/>
        <v>0</v>
      </c>
      <c r="AH269" s="17">
        <f t="shared" si="239"/>
        <v>0</v>
      </c>
      <c r="AJ269" s="14"/>
    </row>
    <row r="270" spans="1:51" s="229" customFormat="1" ht="14.4" outlineLevel="1" x14ac:dyDescent="0.3">
      <c r="A270" s="21" t="s">
        <v>60</v>
      </c>
      <c r="B270" s="231" t="s">
        <v>829</v>
      </c>
      <c r="C270" s="231" t="s">
        <v>14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>
        <f t="shared" ref="AH270" si="240">SUM(D270:AG270)</f>
        <v>0</v>
      </c>
    </row>
    <row r="271" spans="1:51" s="229" customFormat="1" ht="14.4" x14ac:dyDescent="0.3">
      <c r="A271" s="15">
        <v>4</v>
      </c>
      <c r="B271" s="16" t="s">
        <v>832</v>
      </c>
      <c r="C271" s="16" t="s">
        <v>14</v>
      </c>
      <c r="D271" s="17">
        <f>D272</f>
        <v>0</v>
      </c>
      <c r="E271" s="17">
        <f t="shared" ref="E271:AH271" si="241">E272</f>
        <v>0</v>
      </c>
      <c r="F271" s="17">
        <f t="shared" si="241"/>
        <v>0</v>
      </c>
      <c r="G271" s="17">
        <f t="shared" si="241"/>
        <v>0</v>
      </c>
      <c r="H271" s="17">
        <f t="shared" si="241"/>
        <v>0</v>
      </c>
      <c r="I271" s="17">
        <f t="shared" si="241"/>
        <v>0</v>
      </c>
      <c r="J271" s="17">
        <f t="shared" si="241"/>
        <v>0</v>
      </c>
      <c r="K271" s="17">
        <f t="shared" si="241"/>
        <v>0</v>
      </c>
      <c r="L271" s="17">
        <f t="shared" si="241"/>
        <v>0</v>
      </c>
      <c r="M271" s="17">
        <f t="shared" si="241"/>
        <v>0</v>
      </c>
      <c r="N271" s="17">
        <f t="shared" si="241"/>
        <v>0</v>
      </c>
      <c r="O271" s="17">
        <f t="shared" si="241"/>
        <v>0</v>
      </c>
      <c r="P271" s="17">
        <f t="shared" si="241"/>
        <v>0</v>
      </c>
      <c r="Q271" s="17">
        <f t="shared" si="241"/>
        <v>0</v>
      </c>
      <c r="R271" s="17">
        <f t="shared" si="241"/>
        <v>0</v>
      </c>
      <c r="S271" s="17">
        <f t="shared" si="241"/>
        <v>0</v>
      </c>
      <c r="T271" s="17">
        <f t="shared" si="241"/>
        <v>0</v>
      </c>
      <c r="U271" s="17">
        <f t="shared" si="241"/>
        <v>0</v>
      </c>
      <c r="V271" s="17">
        <f t="shared" si="241"/>
        <v>0</v>
      </c>
      <c r="W271" s="17">
        <f t="shared" si="241"/>
        <v>0</v>
      </c>
      <c r="X271" s="17">
        <f t="shared" si="241"/>
        <v>0</v>
      </c>
      <c r="Y271" s="17">
        <f t="shared" si="241"/>
        <v>0</v>
      </c>
      <c r="Z271" s="17">
        <f t="shared" si="241"/>
        <v>0</v>
      </c>
      <c r="AA271" s="17">
        <f t="shared" si="241"/>
        <v>0</v>
      </c>
      <c r="AB271" s="17">
        <f t="shared" si="241"/>
        <v>0</v>
      </c>
      <c r="AC271" s="17">
        <f t="shared" si="241"/>
        <v>0</v>
      </c>
      <c r="AD271" s="17">
        <f t="shared" si="241"/>
        <v>0</v>
      </c>
      <c r="AE271" s="17">
        <f t="shared" si="241"/>
        <v>0</v>
      </c>
      <c r="AF271" s="17">
        <f t="shared" si="241"/>
        <v>0</v>
      </c>
      <c r="AG271" s="17">
        <f t="shared" si="241"/>
        <v>0</v>
      </c>
      <c r="AH271" s="17">
        <f t="shared" si="241"/>
        <v>0</v>
      </c>
      <c r="AJ271" s="14"/>
    </row>
    <row r="272" spans="1:51" s="229" customFormat="1" ht="14.4" outlineLevel="1" x14ac:dyDescent="0.3">
      <c r="A272" s="21" t="s">
        <v>72</v>
      </c>
      <c r="B272" s="231" t="s">
        <v>829</v>
      </c>
      <c r="C272" s="231" t="s">
        <v>14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>
        <f t="shared" ref="AH272" si="242">SUM(D272:AG272)</f>
        <v>0</v>
      </c>
    </row>
    <row r="273" spans="1:51" s="229" customFormat="1" ht="14.4" x14ac:dyDescent="0.3">
      <c r="A273" s="15">
        <v>5</v>
      </c>
      <c r="B273" s="16" t="s">
        <v>833</v>
      </c>
      <c r="C273" s="16" t="s">
        <v>14</v>
      </c>
      <c r="D273" s="17">
        <f>D274</f>
        <v>0</v>
      </c>
      <c r="E273" s="17">
        <f t="shared" ref="E273:AH273" si="243">E274</f>
        <v>0</v>
      </c>
      <c r="F273" s="17">
        <f t="shared" si="243"/>
        <v>0</v>
      </c>
      <c r="G273" s="17">
        <f t="shared" si="243"/>
        <v>0</v>
      </c>
      <c r="H273" s="17">
        <f t="shared" si="243"/>
        <v>0</v>
      </c>
      <c r="I273" s="17">
        <f t="shared" si="243"/>
        <v>0</v>
      </c>
      <c r="J273" s="17">
        <f t="shared" si="243"/>
        <v>0</v>
      </c>
      <c r="K273" s="17">
        <f t="shared" si="243"/>
        <v>0</v>
      </c>
      <c r="L273" s="17">
        <f t="shared" si="243"/>
        <v>0</v>
      </c>
      <c r="M273" s="17">
        <f t="shared" si="243"/>
        <v>0</v>
      </c>
      <c r="N273" s="17">
        <f t="shared" si="243"/>
        <v>0</v>
      </c>
      <c r="O273" s="17">
        <f t="shared" si="243"/>
        <v>0</v>
      </c>
      <c r="P273" s="17">
        <f t="shared" si="243"/>
        <v>0</v>
      </c>
      <c r="Q273" s="17">
        <f t="shared" si="243"/>
        <v>0</v>
      </c>
      <c r="R273" s="17">
        <f t="shared" si="243"/>
        <v>0</v>
      </c>
      <c r="S273" s="17">
        <f t="shared" si="243"/>
        <v>0</v>
      </c>
      <c r="T273" s="17">
        <f t="shared" si="243"/>
        <v>0</v>
      </c>
      <c r="U273" s="17">
        <f t="shared" si="243"/>
        <v>0</v>
      </c>
      <c r="V273" s="17">
        <f t="shared" si="243"/>
        <v>0</v>
      </c>
      <c r="W273" s="17">
        <f t="shared" si="243"/>
        <v>0</v>
      </c>
      <c r="X273" s="17">
        <f t="shared" si="243"/>
        <v>0</v>
      </c>
      <c r="Y273" s="17">
        <f t="shared" si="243"/>
        <v>0</v>
      </c>
      <c r="Z273" s="17">
        <f t="shared" si="243"/>
        <v>0</v>
      </c>
      <c r="AA273" s="17">
        <f t="shared" si="243"/>
        <v>0</v>
      </c>
      <c r="AB273" s="17">
        <f t="shared" si="243"/>
        <v>0</v>
      </c>
      <c r="AC273" s="17">
        <f t="shared" si="243"/>
        <v>0</v>
      </c>
      <c r="AD273" s="17">
        <f t="shared" si="243"/>
        <v>0</v>
      </c>
      <c r="AE273" s="17">
        <f t="shared" si="243"/>
        <v>0</v>
      </c>
      <c r="AF273" s="17">
        <f t="shared" si="243"/>
        <v>0</v>
      </c>
      <c r="AG273" s="17">
        <f t="shared" si="243"/>
        <v>0</v>
      </c>
      <c r="AH273" s="17">
        <f t="shared" si="243"/>
        <v>0</v>
      </c>
    </row>
    <row r="274" spans="1:51" s="229" customFormat="1" outlineLevel="1" x14ac:dyDescent="0.25">
      <c r="A274" s="21" t="s">
        <v>84</v>
      </c>
      <c r="B274" s="231" t="s">
        <v>829</v>
      </c>
      <c r="C274" s="231" t="s">
        <v>14</v>
      </c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>
        <f>SUM(D274:AG274)</f>
        <v>0</v>
      </c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</row>
    <row r="275" spans="1:51" s="229" customFormat="1" ht="14.4" x14ac:dyDescent="0.3">
      <c r="A275" s="15">
        <v>6</v>
      </c>
      <c r="B275" s="16" t="s">
        <v>834</v>
      </c>
      <c r="C275" s="16" t="s">
        <v>14</v>
      </c>
      <c r="D275" s="17">
        <f>D276</f>
        <v>0</v>
      </c>
      <c r="E275" s="17">
        <f t="shared" ref="E275:AH275" si="244">E276</f>
        <v>0</v>
      </c>
      <c r="F275" s="17">
        <f t="shared" si="244"/>
        <v>0</v>
      </c>
      <c r="G275" s="17">
        <f t="shared" si="244"/>
        <v>0</v>
      </c>
      <c r="H275" s="17">
        <f t="shared" si="244"/>
        <v>0</v>
      </c>
      <c r="I275" s="17">
        <f t="shared" si="244"/>
        <v>0</v>
      </c>
      <c r="J275" s="17">
        <f t="shared" si="244"/>
        <v>0</v>
      </c>
      <c r="K275" s="17">
        <f t="shared" si="244"/>
        <v>0</v>
      </c>
      <c r="L275" s="17">
        <f t="shared" si="244"/>
        <v>0</v>
      </c>
      <c r="M275" s="17">
        <f t="shared" si="244"/>
        <v>0</v>
      </c>
      <c r="N275" s="17">
        <f t="shared" si="244"/>
        <v>0</v>
      </c>
      <c r="O275" s="17">
        <f t="shared" si="244"/>
        <v>0</v>
      </c>
      <c r="P275" s="17">
        <f t="shared" si="244"/>
        <v>0</v>
      </c>
      <c r="Q275" s="17">
        <f t="shared" si="244"/>
        <v>0</v>
      </c>
      <c r="R275" s="17">
        <f t="shared" si="244"/>
        <v>0</v>
      </c>
      <c r="S275" s="17">
        <f t="shared" si="244"/>
        <v>0</v>
      </c>
      <c r="T275" s="17">
        <f t="shared" si="244"/>
        <v>0</v>
      </c>
      <c r="U275" s="17">
        <f t="shared" si="244"/>
        <v>0</v>
      </c>
      <c r="V275" s="17">
        <f t="shared" si="244"/>
        <v>0</v>
      </c>
      <c r="W275" s="17">
        <f t="shared" si="244"/>
        <v>0</v>
      </c>
      <c r="X275" s="17">
        <f t="shared" si="244"/>
        <v>0</v>
      </c>
      <c r="Y275" s="17">
        <f t="shared" si="244"/>
        <v>0</v>
      </c>
      <c r="Z275" s="17">
        <f t="shared" si="244"/>
        <v>0</v>
      </c>
      <c r="AA275" s="17">
        <f t="shared" si="244"/>
        <v>0</v>
      </c>
      <c r="AB275" s="17">
        <f t="shared" si="244"/>
        <v>0</v>
      </c>
      <c r="AC275" s="17">
        <f t="shared" si="244"/>
        <v>0</v>
      </c>
      <c r="AD275" s="17">
        <f t="shared" si="244"/>
        <v>0</v>
      </c>
      <c r="AE275" s="17">
        <f t="shared" si="244"/>
        <v>0</v>
      </c>
      <c r="AF275" s="17">
        <f t="shared" si="244"/>
        <v>0</v>
      </c>
      <c r="AG275" s="17">
        <f t="shared" si="244"/>
        <v>0</v>
      </c>
      <c r="AH275" s="17">
        <f t="shared" si="244"/>
        <v>0</v>
      </c>
    </row>
    <row r="276" spans="1:51" s="229" customFormat="1" outlineLevel="1" x14ac:dyDescent="0.25">
      <c r="A276" s="21" t="s">
        <v>96</v>
      </c>
      <c r="B276" s="231" t="s">
        <v>829</v>
      </c>
      <c r="C276" s="231" t="s">
        <v>14</v>
      </c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>
        <f t="shared" ref="AH276" si="245">SUM(D276:AG276)</f>
        <v>0</v>
      </c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</row>
    <row r="277" spans="1:51" s="229" customFormat="1" ht="14.4" x14ac:dyDescent="0.25">
      <c r="A277" s="385" t="s">
        <v>108</v>
      </c>
      <c r="B277" s="386"/>
      <c r="C277" s="284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3" t="s">
        <v>9</v>
      </c>
    </row>
    <row r="278" spans="1:51" s="229" customFormat="1" ht="14.4" x14ac:dyDescent="0.3">
      <c r="A278" s="15">
        <v>1</v>
      </c>
      <c r="B278" s="16" t="s">
        <v>109</v>
      </c>
      <c r="C278" s="16" t="s">
        <v>14</v>
      </c>
      <c r="D278" s="17">
        <f t="shared" ref="D278:AH278" si="246">SUM(D279:D279)</f>
        <v>0</v>
      </c>
      <c r="E278" s="17">
        <f t="shared" si="246"/>
        <v>0</v>
      </c>
      <c r="F278" s="17">
        <f t="shared" si="246"/>
        <v>0</v>
      </c>
      <c r="G278" s="17">
        <f t="shared" si="246"/>
        <v>0</v>
      </c>
      <c r="H278" s="17">
        <f t="shared" si="246"/>
        <v>3.052</v>
      </c>
      <c r="I278" s="17">
        <f t="shared" si="246"/>
        <v>3.052</v>
      </c>
      <c r="J278" s="17">
        <f t="shared" si="246"/>
        <v>3.052</v>
      </c>
      <c r="K278" s="17">
        <f t="shared" si="246"/>
        <v>3.052</v>
      </c>
      <c r="L278" s="17">
        <f t="shared" si="246"/>
        <v>3.052</v>
      </c>
      <c r="M278" s="17">
        <f t="shared" si="246"/>
        <v>3.052</v>
      </c>
      <c r="N278" s="17">
        <f t="shared" si="246"/>
        <v>3.052</v>
      </c>
      <c r="O278" s="17">
        <f t="shared" si="246"/>
        <v>3.052</v>
      </c>
      <c r="P278" s="17">
        <f t="shared" si="246"/>
        <v>3.052</v>
      </c>
      <c r="Q278" s="17">
        <f t="shared" si="246"/>
        <v>3.052</v>
      </c>
      <c r="R278" s="17">
        <f t="shared" si="246"/>
        <v>3.052</v>
      </c>
      <c r="S278" s="17">
        <f t="shared" si="246"/>
        <v>3.052</v>
      </c>
      <c r="T278" s="17">
        <f t="shared" si="246"/>
        <v>3.052</v>
      </c>
      <c r="U278" s="17">
        <f t="shared" si="246"/>
        <v>3.052</v>
      </c>
      <c r="V278" s="17">
        <f t="shared" si="246"/>
        <v>3.052</v>
      </c>
      <c r="W278" s="17">
        <f t="shared" si="246"/>
        <v>3.052</v>
      </c>
      <c r="X278" s="17">
        <f t="shared" si="246"/>
        <v>3.052</v>
      </c>
      <c r="Y278" s="17">
        <f t="shared" si="246"/>
        <v>3.052</v>
      </c>
      <c r="Z278" s="17">
        <f t="shared" si="246"/>
        <v>3.052</v>
      </c>
      <c r="AA278" s="17">
        <f t="shared" si="246"/>
        <v>3.052</v>
      </c>
      <c r="AB278" s="17">
        <f t="shared" si="246"/>
        <v>3.052</v>
      </c>
      <c r="AC278" s="17">
        <f t="shared" si="246"/>
        <v>3.052</v>
      </c>
      <c r="AD278" s="17">
        <f t="shared" si="246"/>
        <v>3.052</v>
      </c>
      <c r="AE278" s="17">
        <f t="shared" si="246"/>
        <v>3.052</v>
      </c>
      <c r="AF278" s="17">
        <f t="shared" si="246"/>
        <v>3.052</v>
      </c>
      <c r="AG278" s="17">
        <f t="shared" si="246"/>
        <v>3.052</v>
      </c>
      <c r="AH278" s="17">
        <f t="shared" si="246"/>
        <v>79.352000000000032</v>
      </c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</row>
    <row r="279" spans="1:51" s="229" customFormat="1" outlineLevel="1" x14ac:dyDescent="0.25">
      <c r="A279" s="21" t="s">
        <v>12</v>
      </c>
      <c r="B279" s="231" t="s">
        <v>829</v>
      </c>
      <c r="C279" s="231" t="s">
        <v>14</v>
      </c>
      <c r="D279" s="24">
        <f>D252+SUM($D266:D266)+SUM($D270:D270)*1+SUM($D272:D272)*1+SUM($D274:D274)*0.085+SUM($D276:D276)*1.15</f>
        <v>0</v>
      </c>
      <c r="E279" s="24">
        <f>E252+SUM($D266:E266)+SUM($D270:E270)*1+SUM($D272:E272)*1+SUM($D274:E274)*0.085+SUM($D276:E276)*1.15</f>
        <v>0</v>
      </c>
      <c r="F279" s="24">
        <f>F252+SUM($D266:F266)+SUM($D270:F270)*1+SUM($D272:F272)*1+SUM($D274:F274)*0.085+SUM($D276:F276)*1.15</f>
        <v>0</v>
      </c>
      <c r="G279" s="24">
        <f>G252+SUM($D266:G266)+SUM($D270:G270)*1+SUM($D272:G272)*1+SUM($D274:G274)*0.085+SUM($D276:G276)*1.15</f>
        <v>0</v>
      </c>
      <c r="H279" s="24">
        <f>H252+SUM($D266:H266)+SUM($D270:H270)*1+SUM($D272:H272)*1+SUM($D274:H274)*0.085+SUM($D276:H276)*1.15</f>
        <v>3.052</v>
      </c>
      <c r="I279" s="24">
        <f>I252+SUM($D266:I266)+SUM($D270:I270)*1+SUM($D272:I272)*1+SUM($D274:I274)*0.085+SUM($D276:I276)*1.15</f>
        <v>3.052</v>
      </c>
      <c r="J279" s="24">
        <f>J252+SUM($D266:J266)+SUM($D270:J270)*1+SUM($D272:J272)*1+SUM($D274:J274)*0.085+SUM($D276:J276)*1.15</f>
        <v>3.052</v>
      </c>
      <c r="K279" s="24">
        <f>K252+SUM($D266:K266)+SUM($D270:K270)*1+SUM($D272:K272)*1+SUM($D274:K274)*0.085+SUM($D276:K276)*1.15</f>
        <v>3.052</v>
      </c>
      <c r="L279" s="24">
        <f>L252+SUM($D266:L266)+SUM($D270:L270)*1+SUM($D272:L272)*1+SUM($D274:L274)*0.085+SUM($D276:L276)*1.15</f>
        <v>3.052</v>
      </c>
      <c r="M279" s="24">
        <f>M252+SUM($D266:M266)+SUM($D270:M270)*1+SUM($D272:M272)*1+SUM($D274:M274)*0.085+SUM($D276:M276)*1.15</f>
        <v>3.052</v>
      </c>
      <c r="N279" s="24">
        <f>N252+SUM($D266:N266)+SUM($D270:N270)*1+SUM($D272:N272)*1+SUM($D274:N274)*0.085+SUM($D276:N276)*1.15</f>
        <v>3.052</v>
      </c>
      <c r="O279" s="24">
        <f>O252+SUM($D266:O266)+SUM($D270:O270)*1+SUM($D272:O272)*1+SUM($D274:O274)*0.085+SUM($D276:O276)*1.15</f>
        <v>3.052</v>
      </c>
      <c r="P279" s="24">
        <f>P252+SUM($D266:P266)+SUM($D270:P270)*1+SUM($D272:P272)*1+SUM($D274:P274)*0.085+SUM($D276:P276)*1.15</f>
        <v>3.052</v>
      </c>
      <c r="Q279" s="24">
        <f>Q252+SUM($D266:Q266)+SUM($D270:Q270)*1+SUM($D272:Q272)*1+SUM($D274:Q274)*0.085+SUM($D276:Q276)*1.15</f>
        <v>3.052</v>
      </c>
      <c r="R279" s="24">
        <f>R252+SUM($D266:R266)+SUM($D270:R270)*1+SUM($D272:R272)*1+SUM($D274:R274)*0.085+SUM($D276:R276)*1.15</f>
        <v>3.052</v>
      </c>
      <c r="S279" s="24">
        <f>S252+SUM($D266:S266)+SUM($D270:S270)*1+SUM($D272:S272)*1+SUM($D274:S274)*0.085+SUM($D276:S276)*1.15</f>
        <v>3.052</v>
      </c>
      <c r="T279" s="24">
        <f>T252+SUM($D266:T266)+SUM($D270:T270)*1+SUM($D272:T272)*1+SUM($D274:T274)*0.085+SUM($D276:T276)*1.15</f>
        <v>3.052</v>
      </c>
      <c r="U279" s="24">
        <f>U252+SUM($D266:U266)+SUM($D270:U270)*1+SUM($D272:U272)*1+SUM($D274:U274)*0.085+SUM($D276:U276)*1.15</f>
        <v>3.052</v>
      </c>
      <c r="V279" s="24">
        <f>V252+SUM($D266:V266)+SUM($D270:V270)*1+SUM($D272:V272)*1+SUM($D274:V274)*0.085+SUM($D276:V276)*1.15</f>
        <v>3.052</v>
      </c>
      <c r="W279" s="24">
        <f>W252+SUM($D266:W266)+SUM($D270:W270)*1+SUM($D272:W272)*1+SUM($D274:W274)*0.085+SUM($D276:W276)*1.15</f>
        <v>3.052</v>
      </c>
      <c r="X279" s="24">
        <f>X252+SUM($D266:X266)+SUM($D270:X270)*1+SUM($D272:X272)*1+SUM($D274:X274)*0.085+SUM($D276:X276)*1.15</f>
        <v>3.052</v>
      </c>
      <c r="Y279" s="24">
        <f>Y252+SUM($D266:Y266)+SUM($D270:Y270)*1+SUM($D272:Y272)*1+SUM($D274:Y274)*0.085+SUM($D276:Y276)*1.15</f>
        <v>3.052</v>
      </c>
      <c r="Z279" s="24">
        <f>Z252+SUM($D266:Z266)+SUM($D270:Z270)*1+SUM($D272:Z272)*1+SUM($D274:Z274)*0.085+SUM($D276:Z276)*1.15</f>
        <v>3.052</v>
      </c>
      <c r="AA279" s="24">
        <f>AA252+SUM($D266:AA266)+SUM($D270:AA270)*1+SUM($D272:AA272)*1+SUM($D274:AA274)*0.085+SUM($D276:AA276)*1.15</f>
        <v>3.052</v>
      </c>
      <c r="AB279" s="24">
        <f>AB252+SUM($D266:AB266)+SUM($D270:AB270)*1+SUM($D272:AB272)*1+SUM($D274:AB274)*0.085+SUM($D276:AB276)*1.15</f>
        <v>3.052</v>
      </c>
      <c r="AC279" s="24">
        <f>AC252+SUM($D266:AC266)+SUM($D270:AC270)*1+SUM($D272:AC272)*1+SUM($D274:AC274)*0.085+SUM($D276:AC276)*1.15</f>
        <v>3.052</v>
      </c>
      <c r="AD279" s="24">
        <f>AD252+SUM($D266:AD266)+SUM($D270:AD270)*1+SUM($D272:AD272)*1+SUM($D274:AD274)*0.085+SUM($D276:AD276)*1.15</f>
        <v>3.052</v>
      </c>
      <c r="AE279" s="24">
        <f>AE252+SUM($D266:AE266)+SUM($D270:AE270)*1+SUM($D272:AE272)*1+SUM($D274:AE274)*0.085+SUM($D276:AE276)*1.15</f>
        <v>3.052</v>
      </c>
      <c r="AF279" s="24">
        <f>AF252+SUM($D266:AF266)+SUM($D270:AF270)*1+SUM($D272:AF272)*1+SUM($D274:AF274)*0.085+SUM($D276:AF276)*1.15</f>
        <v>3.052</v>
      </c>
      <c r="AG279" s="24">
        <f>AG252+SUM($D266:AG266)+SUM($D270:AG270)*1+SUM($D272:AG272)*1+SUM($D274:AG274)*0.085+SUM($D276:AG276)*1.15</f>
        <v>3.052</v>
      </c>
      <c r="AH279" s="24">
        <f t="shared" ref="AH279" si="247">SUM(D279:AG279)</f>
        <v>79.352000000000032</v>
      </c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</row>
    <row r="280" spans="1:51" s="229" customFormat="1" ht="14.4" x14ac:dyDescent="0.25">
      <c r="A280" s="385" t="s">
        <v>37</v>
      </c>
      <c r="B280" s="386"/>
      <c r="C280" s="284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0"/>
      <c r="AG280" s="30"/>
      <c r="AH280" s="13" t="s">
        <v>9</v>
      </c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</row>
    <row r="281" spans="1:51" s="229" customFormat="1" ht="14.4" x14ac:dyDescent="0.3">
      <c r="A281" s="15">
        <v>2</v>
      </c>
      <c r="B281" s="16" t="s">
        <v>110</v>
      </c>
      <c r="C281" s="16" t="s">
        <v>14</v>
      </c>
      <c r="D281" s="17">
        <f t="shared" ref="D281:AH281" si="248">SUM(D282:D282)</f>
        <v>0</v>
      </c>
      <c r="E281" s="17">
        <f t="shared" si="248"/>
        <v>0</v>
      </c>
      <c r="F281" s="17">
        <f t="shared" si="248"/>
        <v>0</v>
      </c>
      <c r="G281" s="17">
        <f t="shared" si="248"/>
        <v>0</v>
      </c>
      <c r="H281" s="17">
        <f t="shared" si="248"/>
        <v>3.052</v>
      </c>
      <c r="I281" s="17">
        <f t="shared" si="248"/>
        <v>3.052</v>
      </c>
      <c r="J281" s="17">
        <f t="shared" si="248"/>
        <v>3.052</v>
      </c>
      <c r="K281" s="17">
        <f t="shared" si="248"/>
        <v>3.052</v>
      </c>
      <c r="L281" s="17">
        <f t="shared" si="248"/>
        <v>3.052</v>
      </c>
      <c r="M281" s="17">
        <f t="shared" si="248"/>
        <v>3.052</v>
      </c>
      <c r="N281" s="17">
        <f t="shared" si="248"/>
        <v>3.052</v>
      </c>
      <c r="O281" s="17">
        <f t="shared" si="248"/>
        <v>3.052</v>
      </c>
      <c r="P281" s="17">
        <f t="shared" si="248"/>
        <v>3.052</v>
      </c>
      <c r="Q281" s="17">
        <f t="shared" si="248"/>
        <v>3.052</v>
      </c>
      <c r="R281" s="17">
        <f t="shared" si="248"/>
        <v>3.052</v>
      </c>
      <c r="S281" s="17">
        <f t="shared" si="248"/>
        <v>3.052</v>
      </c>
      <c r="T281" s="17">
        <f t="shared" si="248"/>
        <v>3.052</v>
      </c>
      <c r="U281" s="17">
        <f t="shared" si="248"/>
        <v>3.052</v>
      </c>
      <c r="V281" s="17">
        <f t="shared" si="248"/>
        <v>3.052</v>
      </c>
      <c r="W281" s="17">
        <f t="shared" si="248"/>
        <v>3.052</v>
      </c>
      <c r="X281" s="17">
        <f t="shared" si="248"/>
        <v>3.052</v>
      </c>
      <c r="Y281" s="17">
        <f t="shared" si="248"/>
        <v>3.052</v>
      </c>
      <c r="Z281" s="17">
        <f t="shared" si="248"/>
        <v>3.052</v>
      </c>
      <c r="AA281" s="17">
        <f t="shared" si="248"/>
        <v>3.052</v>
      </c>
      <c r="AB281" s="17">
        <f t="shared" si="248"/>
        <v>3.052</v>
      </c>
      <c r="AC281" s="17">
        <f t="shared" si="248"/>
        <v>3.052</v>
      </c>
      <c r="AD281" s="17">
        <f t="shared" si="248"/>
        <v>3.052</v>
      </c>
      <c r="AE281" s="17">
        <f t="shared" si="248"/>
        <v>3.052</v>
      </c>
      <c r="AF281" s="17">
        <f t="shared" si="248"/>
        <v>3.052</v>
      </c>
      <c r="AG281" s="17">
        <f t="shared" si="248"/>
        <v>3.052</v>
      </c>
      <c r="AH281" s="17">
        <f t="shared" si="248"/>
        <v>79.352000000000032</v>
      </c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</row>
    <row r="282" spans="1:51" s="229" customFormat="1" outlineLevel="1" x14ac:dyDescent="0.25">
      <c r="A282" s="21" t="s">
        <v>39</v>
      </c>
      <c r="B282" s="231" t="s">
        <v>829</v>
      </c>
      <c r="C282" s="231" t="s">
        <v>14</v>
      </c>
      <c r="D282" s="24">
        <f>D255+SUM($D268:D268)</f>
        <v>0</v>
      </c>
      <c r="E282" s="24">
        <f>E255+SUM($D268:E268)</f>
        <v>0</v>
      </c>
      <c r="F282" s="24">
        <f>F255+SUM($D268:F268)</f>
        <v>0</v>
      </c>
      <c r="G282" s="24">
        <f>G255+SUM($D268:G268)</f>
        <v>0</v>
      </c>
      <c r="H282" s="24">
        <f>H255+SUM($D268:H268)</f>
        <v>3.052</v>
      </c>
      <c r="I282" s="24">
        <f>I255+SUM($D268:I268)</f>
        <v>3.052</v>
      </c>
      <c r="J282" s="24">
        <f>J255+SUM($D268:J268)</f>
        <v>3.052</v>
      </c>
      <c r="K282" s="24">
        <f>K255+SUM($D268:K268)</f>
        <v>3.052</v>
      </c>
      <c r="L282" s="24">
        <f>L255+SUM($D268:L268)</f>
        <v>3.052</v>
      </c>
      <c r="M282" s="24">
        <f>M255+SUM($D268:M268)</f>
        <v>3.052</v>
      </c>
      <c r="N282" s="24">
        <f>N255+SUM($D268:N268)</f>
        <v>3.052</v>
      </c>
      <c r="O282" s="24">
        <f>O255+SUM($D268:O268)</f>
        <v>3.052</v>
      </c>
      <c r="P282" s="24">
        <f>P255+SUM($D268:P268)</f>
        <v>3.052</v>
      </c>
      <c r="Q282" s="24">
        <f>Q255+SUM($D268:Q268)</f>
        <v>3.052</v>
      </c>
      <c r="R282" s="24">
        <f>R255+SUM($D268:R268)</f>
        <v>3.052</v>
      </c>
      <c r="S282" s="24">
        <f>S255+SUM($D268:S268)</f>
        <v>3.052</v>
      </c>
      <c r="T282" s="24">
        <f>T255+SUM($D268:T268)</f>
        <v>3.052</v>
      </c>
      <c r="U282" s="24">
        <f>U255+SUM($D268:U268)</f>
        <v>3.052</v>
      </c>
      <c r="V282" s="24">
        <f>V255+SUM($D268:V268)</f>
        <v>3.052</v>
      </c>
      <c r="W282" s="24">
        <f>W255+SUM($D268:W268)</f>
        <v>3.052</v>
      </c>
      <c r="X282" s="24">
        <f>X255+SUM($D268:X268)</f>
        <v>3.052</v>
      </c>
      <c r="Y282" s="24">
        <f>Y255+SUM($D268:Y268)</f>
        <v>3.052</v>
      </c>
      <c r="Z282" s="24">
        <f>Z255+SUM($D268:Z268)</f>
        <v>3.052</v>
      </c>
      <c r="AA282" s="24">
        <f>AA255+SUM($D268:AA268)</f>
        <v>3.052</v>
      </c>
      <c r="AB282" s="24">
        <f>AB255+SUM($D268:AB268)</f>
        <v>3.052</v>
      </c>
      <c r="AC282" s="24">
        <f>AC255+SUM($D268:AC268)</f>
        <v>3.052</v>
      </c>
      <c r="AD282" s="24">
        <f>AD255+SUM($D268:AD268)</f>
        <v>3.052</v>
      </c>
      <c r="AE282" s="24">
        <f>AE255+SUM($D268:AE268)</f>
        <v>3.052</v>
      </c>
      <c r="AF282" s="24">
        <f>AF255+SUM($D268:AF268)</f>
        <v>3.052</v>
      </c>
      <c r="AG282" s="24">
        <f>AG255+SUM($D268:AG268)</f>
        <v>3.052</v>
      </c>
      <c r="AH282" s="24">
        <f t="shared" ref="AH282" si="249">SUM(D282:AG282)</f>
        <v>79.352000000000032</v>
      </c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</row>
    <row r="283" spans="1:51" s="229" customFormat="1" ht="14.4" x14ac:dyDescent="0.25">
      <c r="A283" s="385" t="s">
        <v>111</v>
      </c>
      <c r="B283" s="386"/>
      <c r="C283" s="284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3" t="s">
        <v>9</v>
      </c>
      <c r="AJ283" s="20"/>
    </row>
    <row r="284" spans="1:51" s="229" customFormat="1" ht="14.4" x14ac:dyDescent="0.3">
      <c r="A284" s="15">
        <v>1</v>
      </c>
      <c r="B284" s="16" t="s">
        <v>112</v>
      </c>
      <c r="C284" s="16" t="s">
        <v>54</v>
      </c>
      <c r="D284" s="17">
        <f t="shared" ref="D284:AH284" si="250">SUM(D285:D285)</f>
        <v>0</v>
      </c>
      <c r="E284" s="17">
        <f t="shared" si="250"/>
        <v>0</v>
      </c>
      <c r="F284" s="17">
        <f t="shared" si="250"/>
        <v>0</v>
      </c>
      <c r="G284" s="17">
        <f t="shared" si="250"/>
        <v>0</v>
      </c>
      <c r="H284" s="17">
        <f t="shared" si="250"/>
        <v>10682</v>
      </c>
      <c r="I284" s="17">
        <f t="shared" si="250"/>
        <v>10682</v>
      </c>
      <c r="J284" s="17">
        <f t="shared" si="250"/>
        <v>10682</v>
      </c>
      <c r="K284" s="17">
        <f t="shared" si="250"/>
        <v>10682</v>
      </c>
      <c r="L284" s="17">
        <f t="shared" si="250"/>
        <v>10682</v>
      </c>
      <c r="M284" s="17">
        <f t="shared" si="250"/>
        <v>10682</v>
      </c>
      <c r="N284" s="17">
        <f t="shared" si="250"/>
        <v>10682</v>
      </c>
      <c r="O284" s="17">
        <f t="shared" si="250"/>
        <v>10682</v>
      </c>
      <c r="P284" s="17">
        <f t="shared" si="250"/>
        <v>10682</v>
      </c>
      <c r="Q284" s="17">
        <f t="shared" si="250"/>
        <v>10682</v>
      </c>
      <c r="R284" s="17">
        <f t="shared" si="250"/>
        <v>10682</v>
      </c>
      <c r="S284" s="17">
        <f t="shared" si="250"/>
        <v>10682</v>
      </c>
      <c r="T284" s="17">
        <f t="shared" si="250"/>
        <v>10682</v>
      </c>
      <c r="U284" s="17">
        <f t="shared" si="250"/>
        <v>10682</v>
      </c>
      <c r="V284" s="17">
        <f t="shared" si="250"/>
        <v>10682</v>
      </c>
      <c r="W284" s="17">
        <f t="shared" si="250"/>
        <v>10682</v>
      </c>
      <c r="X284" s="17">
        <f t="shared" si="250"/>
        <v>10682</v>
      </c>
      <c r="Y284" s="17">
        <f t="shared" si="250"/>
        <v>10682</v>
      </c>
      <c r="Z284" s="17">
        <f t="shared" si="250"/>
        <v>10682</v>
      </c>
      <c r="AA284" s="17">
        <f t="shared" si="250"/>
        <v>10682</v>
      </c>
      <c r="AB284" s="17">
        <f t="shared" si="250"/>
        <v>10682</v>
      </c>
      <c r="AC284" s="17">
        <f t="shared" si="250"/>
        <v>10682</v>
      </c>
      <c r="AD284" s="17">
        <f t="shared" si="250"/>
        <v>10682</v>
      </c>
      <c r="AE284" s="17">
        <f t="shared" si="250"/>
        <v>10682</v>
      </c>
      <c r="AF284" s="17">
        <f t="shared" si="250"/>
        <v>10682</v>
      </c>
      <c r="AG284" s="17">
        <f t="shared" si="250"/>
        <v>10682</v>
      </c>
      <c r="AH284" s="17">
        <f t="shared" si="250"/>
        <v>277732</v>
      </c>
      <c r="AI284" s="20"/>
      <c r="AJ284" s="35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</row>
    <row r="285" spans="1:51" s="229" customFormat="1" outlineLevel="1" x14ac:dyDescent="0.25">
      <c r="A285" s="21" t="s">
        <v>12</v>
      </c>
      <c r="B285" s="231" t="s">
        <v>829</v>
      </c>
      <c r="C285" s="231" t="s">
        <v>54</v>
      </c>
      <c r="D285" s="24">
        <f t="shared" ref="D285:AG285" si="251">D279*3.5*1000</f>
        <v>0</v>
      </c>
      <c r="E285" s="24">
        <f t="shared" si="251"/>
        <v>0</v>
      </c>
      <c r="F285" s="24">
        <f t="shared" si="251"/>
        <v>0</v>
      </c>
      <c r="G285" s="24">
        <f t="shared" si="251"/>
        <v>0</v>
      </c>
      <c r="H285" s="24">
        <f t="shared" si="251"/>
        <v>10682</v>
      </c>
      <c r="I285" s="24">
        <f t="shared" si="251"/>
        <v>10682</v>
      </c>
      <c r="J285" s="24">
        <f t="shared" si="251"/>
        <v>10682</v>
      </c>
      <c r="K285" s="24">
        <f t="shared" si="251"/>
        <v>10682</v>
      </c>
      <c r="L285" s="24">
        <f t="shared" si="251"/>
        <v>10682</v>
      </c>
      <c r="M285" s="24">
        <f t="shared" si="251"/>
        <v>10682</v>
      </c>
      <c r="N285" s="24">
        <f t="shared" si="251"/>
        <v>10682</v>
      </c>
      <c r="O285" s="24">
        <f t="shared" si="251"/>
        <v>10682</v>
      </c>
      <c r="P285" s="24">
        <f t="shared" si="251"/>
        <v>10682</v>
      </c>
      <c r="Q285" s="24">
        <f t="shared" si="251"/>
        <v>10682</v>
      </c>
      <c r="R285" s="24">
        <f t="shared" si="251"/>
        <v>10682</v>
      </c>
      <c r="S285" s="24">
        <f t="shared" si="251"/>
        <v>10682</v>
      </c>
      <c r="T285" s="24">
        <f t="shared" si="251"/>
        <v>10682</v>
      </c>
      <c r="U285" s="24">
        <f t="shared" si="251"/>
        <v>10682</v>
      </c>
      <c r="V285" s="24">
        <f t="shared" si="251"/>
        <v>10682</v>
      </c>
      <c r="W285" s="24">
        <f t="shared" si="251"/>
        <v>10682</v>
      </c>
      <c r="X285" s="24">
        <f t="shared" si="251"/>
        <v>10682</v>
      </c>
      <c r="Y285" s="24">
        <f t="shared" si="251"/>
        <v>10682</v>
      </c>
      <c r="Z285" s="24">
        <f t="shared" si="251"/>
        <v>10682</v>
      </c>
      <c r="AA285" s="24">
        <f t="shared" si="251"/>
        <v>10682</v>
      </c>
      <c r="AB285" s="24">
        <f t="shared" si="251"/>
        <v>10682</v>
      </c>
      <c r="AC285" s="24">
        <f t="shared" si="251"/>
        <v>10682</v>
      </c>
      <c r="AD285" s="24">
        <f t="shared" si="251"/>
        <v>10682</v>
      </c>
      <c r="AE285" s="24">
        <f t="shared" si="251"/>
        <v>10682</v>
      </c>
      <c r="AF285" s="24">
        <f t="shared" si="251"/>
        <v>10682</v>
      </c>
      <c r="AG285" s="24">
        <f t="shared" si="251"/>
        <v>10682</v>
      </c>
      <c r="AH285" s="24">
        <f t="shared" ref="AH285" si="252">SUM(D285:AG285)</f>
        <v>277732</v>
      </c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</row>
    <row r="286" spans="1:51" s="229" customFormat="1" ht="14.4" x14ac:dyDescent="0.25">
      <c r="A286" s="385" t="s">
        <v>113</v>
      </c>
      <c r="B286" s="386"/>
      <c r="C286" s="284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3" t="s">
        <v>9</v>
      </c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</row>
    <row r="287" spans="1:51" s="229" customFormat="1" ht="14.4" x14ac:dyDescent="0.3">
      <c r="A287" s="15">
        <v>2</v>
      </c>
      <c r="B287" s="16" t="s">
        <v>114</v>
      </c>
      <c r="C287" s="16" t="s">
        <v>54</v>
      </c>
      <c r="D287" s="17">
        <f t="shared" ref="D287:AH287" si="253">SUM(D288:D288)</f>
        <v>0</v>
      </c>
      <c r="E287" s="17">
        <f t="shared" si="253"/>
        <v>0</v>
      </c>
      <c r="F287" s="17">
        <f t="shared" si="253"/>
        <v>0</v>
      </c>
      <c r="G287" s="17">
        <f t="shared" si="253"/>
        <v>0</v>
      </c>
      <c r="H287" s="17">
        <f t="shared" si="253"/>
        <v>7630</v>
      </c>
      <c r="I287" s="17">
        <f t="shared" si="253"/>
        <v>7630</v>
      </c>
      <c r="J287" s="17">
        <f t="shared" si="253"/>
        <v>7630</v>
      </c>
      <c r="K287" s="17">
        <f t="shared" si="253"/>
        <v>7630</v>
      </c>
      <c r="L287" s="17">
        <f t="shared" si="253"/>
        <v>7630</v>
      </c>
      <c r="M287" s="17">
        <f t="shared" si="253"/>
        <v>7630</v>
      </c>
      <c r="N287" s="17">
        <f t="shared" si="253"/>
        <v>7630</v>
      </c>
      <c r="O287" s="17">
        <f t="shared" si="253"/>
        <v>7630</v>
      </c>
      <c r="P287" s="17">
        <f t="shared" si="253"/>
        <v>7630</v>
      </c>
      <c r="Q287" s="17">
        <f t="shared" si="253"/>
        <v>7630</v>
      </c>
      <c r="R287" s="17">
        <f t="shared" si="253"/>
        <v>7630</v>
      </c>
      <c r="S287" s="17">
        <f t="shared" si="253"/>
        <v>7630</v>
      </c>
      <c r="T287" s="17">
        <f t="shared" si="253"/>
        <v>7630</v>
      </c>
      <c r="U287" s="17">
        <f t="shared" si="253"/>
        <v>7630</v>
      </c>
      <c r="V287" s="17">
        <f t="shared" si="253"/>
        <v>7630</v>
      </c>
      <c r="W287" s="17">
        <f t="shared" si="253"/>
        <v>7630</v>
      </c>
      <c r="X287" s="17">
        <f t="shared" si="253"/>
        <v>7630</v>
      </c>
      <c r="Y287" s="17">
        <f t="shared" si="253"/>
        <v>7630</v>
      </c>
      <c r="Z287" s="17">
        <f t="shared" si="253"/>
        <v>7630</v>
      </c>
      <c r="AA287" s="17">
        <f t="shared" si="253"/>
        <v>7630</v>
      </c>
      <c r="AB287" s="17">
        <f t="shared" si="253"/>
        <v>7630</v>
      </c>
      <c r="AC287" s="17">
        <f t="shared" si="253"/>
        <v>7630</v>
      </c>
      <c r="AD287" s="17">
        <f t="shared" si="253"/>
        <v>7630</v>
      </c>
      <c r="AE287" s="17">
        <f t="shared" si="253"/>
        <v>7630</v>
      </c>
      <c r="AF287" s="17">
        <f t="shared" si="253"/>
        <v>7630</v>
      </c>
      <c r="AG287" s="17">
        <f t="shared" si="253"/>
        <v>7630</v>
      </c>
      <c r="AH287" s="17">
        <f t="shared" si="253"/>
        <v>198380</v>
      </c>
      <c r="AI287" s="20"/>
      <c r="AJ287" s="35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</row>
    <row r="288" spans="1:51" s="229" customFormat="1" outlineLevel="1" x14ac:dyDescent="0.25">
      <c r="A288" s="21" t="s">
        <v>39</v>
      </c>
      <c r="B288" s="231" t="s">
        <v>829</v>
      </c>
      <c r="C288" s="231" t="s">
        <v>54</v>
      </c>
      <c r="D288" s="24">
        <f t="shared" ref="D288:AG288" si="254">D282*2.5*1000</f>
        <v>0</v>
      </c>
      <c r="E288" s="24">
        <f t="shared" si="254"/>
        <v>0</v>
      </c>
      <c r="F288" s="24">
        <f t="shared" si="254"/>
        <v>0</v>
      </c>
      <c r="G288" s="24">
        <f t="shared" si="254"/>
        <v>0</v>
      </c>
      <c r="H288" s="24">
        <f t="shared" si="254"/>
        <v>7630</v>
      </c>
      <c r="I288" s="24">
        <f t="shared" si="254"/>
        <v>7630</v>
      </c>
      <c r="J288" s="24">
        <f t="shared" si="254"/>
        <v>7630</v>
      </c>
      <c r="K288" s="24">
        <f t="shared" si="254"/>
        <v>7630</v>
      </c>
      <c r="L288" s="24">
        <f t="shared" si="254"/>
        <v>7630</v>
      </c>
      <c r="M288" s="24">
        <f t="shared" si="254"/>
        <v>7630</v>
      </c>
      <c r="N288" s="24">
        <f t="shared" si="254"/>
        <v>7630</v>
      </c>
      <c r="O288" s="24">
        <f t="shared" si="254"/>
        <v>7630</v>
      </c>
      <c r="P288" s="24">
        <f t="shared" si="254"/>
        <v>7630</v>
      </c>
      <c r="Q288" s="24">
        <f t="shared" si="254"/>
        <v>7630</v>
      </c>
      <c r="R288" s="24">
        <f t="shared" si="254"/>
        <v>7630</v>
      </c>
      <c r="S288" s="24">
        <f t="shared" si="254"/>
        <v>7630</v>
      </c>
      <c r="T288" s="24">
        <f t="shared" si="254"/>
        <v>7630</v>
      </c>
      <c r="U288" s="24">
        <f t="shared" si="254"/>
        <v>7630</v>
      </c>
      <c r="V288" s="24">
        <f t="shared" si="254"/>
        <v>7630</v>
      </c>
      <c r="W288" s="24">
        <f t="shared" si="254"/>
        <v>7630</v>
      </c>
      <c r="X288" s="24">
        <f t="shared" si="254"/>
        <v>7630</v>
      </c>
      <c r="Y288" s="24">
        <f t="shared" si="254"/>
        <v>7630</v>
      </c>
      <c r="Z288" s="24">
        <f t="shared" si="254"/>
        <v>7630</v>
      </c>
      <c r="AA288" s="24">
        <f t="shared" si="254"/>
        <v>7630</v>
      </c>
      <c r="AB288" s="24">
        <f t="shared" si="254"/>
        <v>7630</v>
      </c>
      <c r="AC288" s="24">
        <f t="shared" si="254"/>
        <v>7630</v>
      </c>
      <c r="AD288" s="24">
        <f t="shared" si="254"/>
        <v>7630</v>
      </c>
      <c r="AE288" s="24">
        <f t="shared" si="254"/>
        <v>7630</v>
      </c>
      <c r="AF288" s="24">
        <f t="shared" si="254"/>
        <v>7630</v>
      </c>
      <c r="AG288" s="24">
        <f t="shared" si="254"/>
        <v>7630</v>
      </c>
      <c r="AH288" s="24">
        <f t="shared" ref="AH288" si="255">SUM(D288:AG288)</f>
        <v>198380</v>
      </c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</row>
    <row r="289" spans="1:51" s="229" customFormat="1" x14ac:dyDescent="0.25">
      <c r="A289" s="36"/>
      <c r="B289" s="231"/>
      <c r="C289" s="231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</row>
    <row r="290" spans="1:51" s="229" customFormat="1" ht="14.4" x14ac:dyDescent="0.3">
      <c r="A290" s="37"/>
      <c r="B290" s="38" t="s">
        <v>115</v>
      </c>
      <c r="C290" s="39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</row>
    <row r="291" spans="1:51" s="229" customFormat="1" x14ac:dyDescent="0.25">
      <c r="A291" s="21"/>
      <c r="B291" s="41" t="s">
        <v>116</v>
      </c>
      <c r="C291" s="41"/>
      <c r="D291" s="25">
        <f t="shared" ref="D291:AG291" si="256">D284</f>
        <v>0</v>
      </c>
      <c r="E291" s="25">
        <f t="shared" si="256"/>
        <v>0</v>
      </c>
      <c r="F291" s="25">
        <f t="shared" si="256"/>
        <v>0</v>
      </c>
      <c r="G291" s="25">
        <f t="shared" si="256"/>
        <v>0</v>
      </c>
      <c r="H291" s="25">
        <f t="shared" si="256"/>
        <v>10682</v>
      </c>
      <c r="I291" s="25">
        <f t="shared" si="256"/>
        <v>10682</v>
      </c>
      <c r="J291" s="25">
        <f t="shared" si="256"/>
        <v>10682</v>
      </c>
      <c r="K291" s="25">
        <f t="shared" si="256"/>
        <v>10682</v>
      </c>
      <c r="L291" s="25">
        <f t="shared" si="256"/>
        <v>10682</v>
      </c>
      <c r="M291" s="25">
        <f t="shared" si="256"/>
        <v>10682</v>
      </c>
      <c r="N291" s="25">
        <f t="shared" si="256"/>
        <v>10682</v>
      </c>
      <c r="O291" s="25">
        <f t="shared" si="256"/>
        <v>10682</v>
      </c>
      <c r="P291" s="25">
        <f t="shared" si="256"/>
        <v>10682</v>
      </c>
      <c r="Q291" s="25">
        <f t="shared" si="256"/>
        <v>10682</v>
      </c>
      <c r="R291" s="25">
        <f t="shared" si="256"/>
        <v>10682</v>
      </c>
      <c r="S291" s="25">
        <f t="shared" si="256"/>
        <v>10682</v>
      </c>
      <c r="T291" s="25">
        <f t="shared" si="256"/>
        <v>10682</v>
      </c>
      <c r="U291" s="25">
        <f t="shared" si="256"/>
        <v>10682</v>
      </c>
      <c r="V291" s="25">
        <f t="shared" si="256"/>
        <v>10682</v>
      </c>
      <c r="W291" s="25">
        <f t="shared" si="256"/>
        <v>10682</v>
      </c>
      <c r="X291" s="25">
        <f t="shared" si="256"/>
        <v>10682</v>
      </c>
      <c r="Y291" s="25">
        <f t="shared" si="256"/>
        <v>10682</v>
      </c>
      <c r="Z291" s="25">
        <f t="shared" si="256"/>
        <v>10682</v>
      </c>
      <c r="AA291" s="25">
        <f t="shared" si="256"/>
        <v>10682</v>
      </c>
      <c r="AB291" s="25">
        <f t="shared" si="256"/>
        <v>10682</v>
      </c>
      <c r="AC291" s="25">
        <f t="shared" si="256"/>
        <v>10682</v>
      </c>
      <c r="AD291" s="25">
        <f t="shared" si="256"/>
        <v>10682</v>
      </c>
      <c r="AE291" s="25">
        <f t="shared" si="256"/>
        <v>10682</v>
      </c>
      <c r="AF291" s="25">
        <f t="shared" si="256"/>
        <v>10682</v>
      </c>
      <c r="AG291" s="25">
        <f t="shared" si="256"/>
        <v>10682</v>
      </c>
      <c r="AH291" s="25"/>
      <c r="AJ291" s="35"/>
      <c r="AK291" s="20"/>
    </row>
    <row r="292" spans="1:51" s="229" customFormat="1" x14ac:dyDescent="0.25">
      <c r="A292" s="21"/>
      <c r="B292" s="41" t="s">
        <v>117</v>
      </c>
      <c r="C292" s="41"/>
      <c r="D292" s="25">
        <f t="shared" ref="D292:AG292" si="257">D287</f>
        <v>0</v>
      </c>
      <c r="E292" s="25">
        <f t="shared" si="257"/>
        <v>0</v>
      </c>
      <c r="F292" s="25">
        <f t="shared" si="257"/>
        <v>0</v>
      </c>
      <c r="G292" s="25">
        <f t="shared" si="257"/>
        <v>0</v>
      </c>
      <c r="H292" s="25">
        <f t="shared" si="257"/>
        <v>7630</v>
      </c>
      <c r="I292" s="25">
        <f t="shared" si="257"/>
        <v>7630</v>
      </c>
      <c r="J292" s="25">
        <f t="shared" si="257"/>
        <v>7630</v>
      </c>
      <c r="K292" s="25">
        <f t="shared" si="257"/>
        <v>7630</v>
      </c>
      <c r="L292" s="25">
        <f t="shared" si="257"/>
        <v>7630</v>
      </c>
      <c r="M292" s="25">
        <f t="shared" si="257"/>
        <v>7630</v>
      </c>
      <c r="N292" s="25">
        <f t="shared" si="257"/>
        <v>7630</v>
      </c>
      <c r="O292" s="25">
        <f t="shared" si="257"/>
        <v>7630</v>
      </c>
      <c r="P292" s="25">
        <f t="shared" si="257"/>
        <v>7630</v>
      </c>
      <c r="Q292" s="25">
        <f t="shared" si="257"/>
        <v>7630</v>
      </c>
      <c r="R292" s="25">
        <f t="shared" si="257"/>
        <v>7630</v>
      </c>
      <c r="S292" s="25">
        <f t="shared" si="257"/>
        <v>7630</v>
      </c>
      <c r="T292" s="25">
        <f t="shared" si="257"/>
        <v>7630</v>
      </c>
      <c r="U292" s="25">
        <f t="shared" si="257"/>
        <v>7630</v>
      </c>
      <c r="V292" s="25">
        <f t="shared" si="257"/>
        <v>7630</v>
      </c>
      <c r="W292" s="25">
        <f t="shared" si="257"/>
        <v>7630</v>
      </c>
      <c r="X292" s="25">
        <f t="shared" si="257"/>
        <v>7630</v>
      </c>
      <c r="Y292" s="25">
        <f t="shared" si="257"/>
        <v>7630</v>
      </c>
      <c r="Z292" s="25">
        <f t="shared" si="257"/>
        <v>7630</v>
      </c>
      <c r="AA292" s="25">
        <f t="shared" si="257"/>
        <v>7630</v>
      </c>
      <c r="AB292" s="25">
        <f t="shared" si="257"/>
        <v>7630</v>
      </c>
      <c r="AC292" s="25">
        <f t="shared" si="257"/>
        <v>7630</v>
      </c>
      <c r="AD292" s="25">
        <f t="shared" si="257"/>
        <v>7630</v>
      </c>
      <c r="AE292" s="25">
        <f t="shared" si="257"/>
        <v>7630</v>
      </c>
      <c r="AF292" s="25">
        <f t="shared" si="257"/>
        <v>7630</v>
      </c>
      <c r="AG292" s="25">
        <f t="shared" si="257"/>
        <v>7630</v>
      </c>
      <c r="AH292" s="25"/>
      <c r="AJ292" s="35"/>
      <c r="AK292" s="20"/>
    </row>
    <row r="293" spans="1:51" s="229" customFormat="1" x14ac:dyDescent="0.25">
      <c r="A293" s="21"/>
      <c r="B293" s="41" t="s">
        <v>118</v>
      </c>
      <c r="C293" s="41"/>
      <c r="D293" s="25">
        <f t="shared" ref="D293:AG293" si="258">D291+D292</f>
        <v>0</v>
      </c>
      <c r="E293" s="25">
        <f t="shared" si="258"/>
        <v>0</v>
      </c>
      <c r="F293" s="25">
        <f t="shared" si="258"/>
        <v>0</v>
      </c>
      <c r="G293" s="25">
        <f t="shared" si="258"/>
        <v>0</v>
      </c>
      <c r="H293" s="25">
        <f t="shared" si="258"/>
        <v>18312</v>
      </c>
      <c r="I293" s="25">
        <f t="shared" si="258"/>
        <v>18312</v>
      </c>
      <c r="J293" s="25">
        <f t="shared" si="258"/>
        <v>18312</v>
      </c>
      <c r="K293" s="25">
        <f t="shared" si="258"/>
        <v>18312</v>
      </c>
      <c r="L293" s="25">
        <f t="shared" si="258"/>
        <v>18312</v>
      </c>
      <c r="M293" s="25">
        <f t="shared" si="258"/>
        <v>18312</v>
      </c>
      <c r="N293" s="25">
        <f t="shared" si="258"/>
        <v>18312</v>
      </c>
      <c r="O293" s="25">
        <f t="shared" si="258"/>
        <v>18312</v>
      </c>
      <c r="P293" s="25">
        <f t="shared" si="258"/>
        <v>18312</v>
      </c>
      <c r="Q293" s="25">
        <f t="shared" si="258"/>
        <v>18312</v>
      </c>
      <c r="R293" s="25">
        <f t="shared" si="258"/>
        <v>18312</v>
      </c>
      <c r="S293" s="25">
        <f t="shared" si="258"/>
        <v>18312</v>
      </c>
      <c r="T293" s="25">
        <f t="shared" si="258"/>
        <v>18312</v>
      </c>
      <c r="U293" s="25">
        <f t="shared" si="258"/>
        <v>18312</v>
      </c>
      <c r="V293" s="25">
        <f t="shared" si="258"/>
        <v>18312</v>
      </c>
      <c r="W293" s="25">
        <f t="shared" si="258"/>
        <v>18312</v>
      </c>
      <c r="X293" s="25">
        <f t="shared" si="258"/>
        <v>18312</v>
      </c>
      <c r="Y293" s="25">
        <f t="shared" si="258"/>
        <v>18312</v>
      </c>
      <c r="Z293" s="25">
        <f t="shared" si="258"/>
        <v>18312</v>
      </c>
      <c r="AA293" s="25">
        <f t="shared" si="258"/>
        <v>18312</v>
      </c>
      <c r="AB293" s="25">
        <f t="shared" si="258"/>
        <v>18312</v>
      </c>
      <c r="AC293" s="25">
        <f t="shared" si="258"/>
        <v>18312</v>
      </c>
      <c r="AD293" s="25">
        <f t="shared" si="258"/>
        <v>18312</v>
      </c>
      <c r="AE293" s="25">
        <f t="shared" si="258"/>
        <v>18312</v>
      </c>
      <c r="AF293" s="25">
        <f t="shared" si="258"/>
        <v>18312</v>
      </c>
      <c r="AG293" s="25">
        <f t="shared" si="258"/>
        <v>18312</v>
      </c>
      <c r="AH293" s="25"/>
      <c r="AJ293" s="35"/>
      <c r="AK293" s="20"/>
    </row>
    <row r="294" spans="1:51" s="229" customFormat="1" x14ac:dyDescent="0.25">
      <c r="A294" s="21"/>
      <c r="B294" s="41" t="s">
        <v>119</v>
      </c>
      <c r="C294" s="41"/>
      <c r="D294" s="25">
        <f>+D293/10000</f>
        <v>0</v>
      </c>
      <c r="E294" s="25">
        <f t="shared" ref="E294:AG294" si="259">+E293/10000</f>
        <v>0</v>
      </c>
      <c r="F294" s="25">
        <f t="shared" si="259"/>
        <v>0</v>
      </c>
      <c r="G294" s="25">
        <f t="shared" si="259"/>
        <v>0</v>
      </c>
      <c r="H294" s="25">
        <f t="shared" si="259"/>
        <v>1.8311999999999999</v>
      </c>
      <c r="I294" s="25">
        <f t="shared" si="259"/>
        <v>1.8311999999999999</v>
      </c>
      <c r="J294" s="25">
        <f t="shared" si="259"/>
        <v>1.8311999999999999</v>
      </c>
      <c r="K294" s="25">
        <f t="shared" si="259"/>
        <v>1.8311999999999999</v>
      </c>
      <c r="L294" s="25">
        <f t="shared" si="259"/>
        <v>1.8311999999999999</v>
      </c>
      <c r="M294" s="25">
        <f t="shared" si="259"/>
        <v>1.8311999999999999</v>
      </c>
      <c r="N294" s="25">
        <f t="shared" si="259"/>
        <v>1.8311999999999999</v>
      </c>
      <c r="O294" s="25">
        <f t="shared" si="259"/>
        <v>1.8311999999999999</v>
      </c>
      <c r="P294" s="25">
        <f t="shared" si="259"/>
        <v>1.8311999999999999</v>
      </c>
      <c r="Q294" s="25">
        <f t="shared" si="259"/>
        <v>1.8311999999999999</v>
      </c>
      <c r="R294" s="25">
        <f t="shared" si="259"/>
        <v>1.8311999999999999</v>
      </c>
      <c r="S294" s="25">
        <f t="shared" si="259"/>
        <v>1.8311999999999999</v>
      </c>
      <c r="T294" s="25">
        <f t="shared" si="259"/>
        <v>1.8311999999999999</v>
      </c>
      <c r="U294" s="25">
        <f t="shared" si="259"/>
        <v>1.8311999999999999</v>
      </c>
      <c r="V294" s="25">
        <f t="shared" si="259"/>
        <v>1.8311999999999999</v>
      </c>
      <c r="W294" s="25">
        <f t="shared" si="259"/>
        <v>1.8311999999999999</v>
      </c>
      <c r="X294" s="25">
        <f t="shared" si="259"/>
        <v>1.8311999999999999</v>
      </c>
      <c r="Y294" s="25">
        <f t="shared" si="259"/>
        <v>1.8311999999999999</v>
      </c>
      <c r="Z294" s="25">
        <f t="shared" si="259"/>
        <v>1.8311999999999999</v>
      </c>
      <c r="AA294" s="25">
        <f t="shared" si="259"/>
        <v>1.8311999999999999</v>
      </c>
      <c r="AB294" s="25">
        <f t="shared" si="259"/>
        <v>1.8311999999999999</v>
      </c>
      <c r="AC294" s="25">
        <f t="shared" si="259"/>
        <v>1.8311999999999999</v>
      </c>
      <c r="AD294" s="25">
        <f t="shared" si="259"/>
        <v>1.8311999999999999</v>
      </c>
      <c r="AE294" s="25">
        <f t="shared" si="259"/>
        <v>1.8311999999999999</v>
      </c>
      <c r="AF294" s="25">
        <f t="shared" si="259"/>
        <v>1.8311999999999999</v>
      </c>
      <c r="AG294" s="25">
        <f t="shared" si="259"/>
        <v>1.8311999999999999</v>
      </c>
      <c r="AH294" s="25"/>
    </row>
    <row r="295" spans="1:51" s="229" customFormat="1" x14ac:dyDescent="0.25">
      <c r="A295" s="21"/>
      <c r="B295" s="231"/>
      <c r="C295" s="231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</row>
    <row r="296" spans="1:51" s="229" customFormat="1" ht="14.4" x14ac:dyDescent="0.3">
      <c r="A296" s="42"/>
      <c r="B296" s="43" t="s">
        <v>120</v>
      </c>
      <c r="C296" s="43" t="s">
        <v>11</v>
      </c>
      <c r="D296" s="44">
        <f>(D258+D261)/12000</f>
        <v>0</v>
      </c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  <c r="AD296" s="44"/>
      <c r="AE296" s="44"/>
      <c r="AF296" s="44"/>
      <c r="AG296" s="44"/>
      <c r="AH296" s="45" t="s">
        <v>121</v>
      </c>
    </row>
    <row r="297" spans="1:51" s="229" customFormat="1" ht="14.4" x14ac:dyDescent="0.3">
      <c r="A297" s="42"/>
      <c r="B297" s="43" t="s">
        <v>122</v>
      </c>
      <c r="C297" s="43" t="s">
        <v>11</v>
      </c>
      <c r="D297" s="44">
        <f>D293/12000</f>
        <v>0</v>
      </c>
      <c r="E297" s="44">
        <f t="shared" ref="E297:AG297" si="260">E293/12000</f>
        <v>0</v>
      </c>
      <c r="F297" s="44">
        <f t="shared" si="260"/>
        <v>0</v>
      </c>
      <c r="G297" s="44">
        <f t="shared" si="260"/>
        <v>0</v>
      </c>
      <c r="H297" s="44">
        <f t="shared" si="260"/>
        <v>1.526</v>
      </c>
      <c r="I297" s="44">
        <f t="shared" si="260"/>
        <v>1.526</v>
      </c>
      <c r="J297" s="44">
        <f t="shared" si="260"/>
        <v>1.526</v>
      </c>
      <c r="K297" s="44">
        <f t="shared" si="260"/>
        <v>1.526</v>
      </c>
      <c r="L297" s="44">
        <f t="shared" si="260"/>
        <v>1.526</v>
      </c>
      <c r="M297" s="44">
        <f t="shared" si="260"/>
        <v>1.526</v>
      </c>
      <c r="N297" s="44">
        <f t="shared" si="260"/>
        <v>1.526</v>
      </c>
      <c r="O297" s="44">
        <f t="shared" si="260"/>
        <v>1.526</v>
      </c>
      <c r="P297" s="44">
        <f t="shared" si="260"/>
        <v>1.526</v>
      </c>
      <c r="Q297" s="44">
        <f t="shared" si="260"/>
        <v>1.526</v>
      </c>
      <c r="R297" s="44">
        <f t="shared" si="260"/>
        <v>1.526</v>
      </c>
      <c r="S297" s="44">
        <f t="shared" si="260"/>
        <v>1.526</v>
      </c>
      <c r="T297" s="44">
        <f t="shared" si="260"/>
        <v>1.526</v>
      </c>
      <c r="U297" s="44">
        <f t="shared" si="260"/>
        <v>1.526</v>
      </c>
      <c r="V297" s="44">
        <f t="shared" si="260"/>
        <v>1.526</v>
      </c>
      <c r="W297" s="44">
        <f t="shared" si="260"/>
        <v>1.526</v>
      </c>
      <c r="X297" s="44">
        <f t="shared" si="260"/>
        <v>1.526</v>
      </c>
      <c r="Y297" s="44">
        <f t="shared" si="260"/>
        <v>1.526</v>
      </c>
      <c r="Z297" s="44">
        <f t="shared" si="260"/>
        <v>1.526</v>
      </c>
      <c r="AA297" s="44">
        <f t="shared" si="260"/>
        <v>1.526</v>
      </c>
      <c r="AB297" s="44">
        <f t="shared" si="260"/>
        <v>1.526</v>
      </c>
      <c r="AC297" s="44">
        <f t="shared" si="260"/>
        <v>1.526</v>
      </c>
      <c r="AD297" s="44">
        <f t="shared" si="260"/>
        <v>1.526</v>
      </c>
      <c r="AE297" s="44">
        <f t="shared" si="260"/>
        <v>1.526</v>
      </c>
      <c r="AF297" s="44">
        <f t="shared" si="260"/>
        <v>1.526</v>
      </c>
      <c r="AG297" s="44">
        <f t="shared" si="260"/>
        <v>1.526</v>
      </c>
      <c r="AH297" s="45">
        <f>AVERAGE(D297:AG297)</f>
        <v>1.3225333333333338</v>
      </c>
    </row>
    <row r="298" spans="1:51" s="229" customFormat="1" x14ac:dyDescent="0.25">
      <c r="A298" s="21"/>
      <c r="B298" s="41"/>
      <c r="C298" s="41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</row>
    <row r="299" spans="1:51" s="229" customFormat="1" x14ac:dyDescent="0.25">
      <c r="A299" s="47"/>
    </row>
    <row r="300" spans="1:51" ht="20.399999999999999" x14ac:dyDescent="0.35">
      <c r="A300" s="47"/>
      <c r="B300" s="288" t="s">
        <v>836</v>
      </c>
    </row>
    <row r="301" spans="1:51" s="229" customFormat="1" ht="14.4" x14ac:dyDescent="0.3">
      <c r="A301" s="42"/>
      <c r="B301" s="43" t="s">
        <v>120</v>
      </c>
      <c r="C301" s="43" t="s">
        <v>11</v>
      </c>
      <c r="D301" s="44">
        <f>D237+D296</f>
        <v>116.95833333333333</v>
      </c>
      <c r="E301" s="44">
        <f t="shared" ref="E301:AG301" si="261">E237+E296</f>
        <v>0</v>
      </c>
      <c r="F301" s="44">
        <f t="shared" si="261"/>
        <v>0</v>
      </c>
      <c r="G301" s="44">
        <f t="shared" si="261"/>
        <v>0</v>
      </c>
      <c r="H301" s="44">
        <f t="shared" si="261"/>
        <v>0</v>
      </c>
      <c r="I301" s="44">
        <f t="shared" si="261"/>
        <v>0</v>
      </c>
      <c r="J301" s="44">
        <f t="shared" si="261"/>
        <v>0</v>
      </c>
      <c r="K301" s="44">
        <f t="shared" si="261"/>
        <v>0</v>
      </c>
      <c r="L301" s="44">
        <f t="shared" si="261"/>
        <v>0</v>
      </c>
      <c r="M301" s="44">
        <f t="shared" si="261"/>
        <v>0</v>
      </c>
      <c r="N301" s="44">
        <f t="shared" si="261"/>
        <v>0</v>
      </c>
      <c r="O301" s="44">
        <f t="shared" si="261"/>
        <v>0</v>
      </c>
      <c r="P301" s="44">
        <f t="shared" si="261"/>
        <v>0</v>
      </c>
      <c r="Q301" s="44">
        <f t="shared" si="261"/>
        <v>0</v>
      </c>
      <c r="R301" s="44">
        <f t="shared" si="261"/>
        <v>0</v>
      </c>
      <c r="S301" s="44">
        <f t="shared" si="261"/>
        <v>0</v>
      </c>
      <c r="T301" s="44">
        <f t="shared" si="261"/>
        <v>0</v>
      </c>
      <c r="U301" s="44">
        <f t="shared" si="261"/>
        <v>0</v>
      </c>
      <c r="V301" s="44">
        <f t="shared" si="261"/>
        <v>0</v>
      </c>
      <c r="W301" s="44">
        <f t="shared" si="261"/>
        <v>0</v>
      </c>
      <c r="X301" s="44">
        <f t="shared" si="261"/>
        <v>0</v>
      </c>
      <c r="Y301" s="44">
        <f t="shared" si="261"/>
        <v>0</v>
      </c>
      <c r="Z301" s="44">
        <f t="shared" si="261"/>
        <v>0</v>
      </c>
      <c r="AA301" s="44">
        <f t="shared" si="261"/>
        <v>0</v>
      </c>
      <c r="AB301" s="44">
        <f t="shared" si="261"/>
        <v>0</v>
      </c>
      <c r="AC301" s="44">
        <f t="shared" si="261"/>
        <v>0</v>
      </c>
      <c r="AD301" s="44">
        <f t="shared" si="261"/>
        <v>0</v>
      </c>
      <c r="AE301" s="44">
        <f t="shared" si="261"/>
        <v>0</v>
      </c>
      <c r="AF301" s="44">
        <f t="shared" si="261"/>
        <v>0</v>
      </c>
      <c r="AG301" s="44">
        <f t="shared" si="261"/>
        <v>0</v>
      </c>
      <c r="AH301" s="45" t="s">
        <v>121</v>
      </c>
    </row>
    <row r="302" spans="1:51" s="229" customFormat="1" ht="14.4" x14ac:dyDescent="0.3">
      <c r="A302" s="42"/>
      <c r="B302" s="43" t="s">
        <v>122</v>
      </c>
      <c r="C302" s="43" t="s">
        <v>11</v>
      </c>
      <c r="D302" s="44">
        <f>D238+D297</f>
        <v>116.95833333333333</v>
      </c>
      <c r="E302" s="44">
        <f t="shared" ref="E302:AG302" si="262">E238+E297</f>
        <v>116.95833333333333</v>
      </c>
      <c r="F302" s="44">
        <f t="shared" si="262"/>
        <v>116.95833333333333</v>
      </c>
      <c r="G302" s="44">
        <f t="shared" si="262"/>
        <v>116.95833333333333</v>
      </c>
      <c r="H302" s="44">
        <f t="shared" si="262"/>
        <v>117.75516666666667</v>
      </c>
      <c r="I302" s="44">
        <f t="shared" si="262"/>
        <v>117.75516666666667</v>
      </c>
      <c r="J302" s="44">
        <f t="shared" si="262"/>
        <v>138.96587500000001</v>
      </c>
      <c r="K302" s="44">
        <f t="shared" si="262"/>
        <v>161.14206250000001</v>
      </c>
      <c r="L302" s="44">
        <f t="shared" si="262"/>
        <v>180.42664583333334</v>
      </c>
      <c r="M302" s="44">
        <f t="shared" si="262"/>
        <v>196.91741666666667</v>
      </c>
      <c r="N302" s="44">
        <f t="shared" si="262"/>
        <v>196.91741666666667</v>
      </c>
      <c r="O302" s="44">
        <f t="shared" si="262"/>
        <v>196.91741666666667</v>
      </c>
      <c r="P302" s="44">
        <f t="shared" si="262"/>
        <v>196.91741666666667</v>
      </c>
      <c r="Q302" s="44">
        <f t="shared" si="262"/>
        <v>196.91741666666667</v>
      </c>
      <c r="R302" s="44">
        <f t="shared" si="262"/>
        <v>196.91741666666667</v>
      </c>
      <c r="S302" s="44">
        <f t="shared" si="262"/>
        <v>196.91741666666667</v>
      </c>
      <c r="T302" s="44">
        <f t="shared" si="262"/>
        <v>196.91741666666667</v>
      </c>
      <c r="U302" s="44">
        <f t="shared" si="262"/>
        <v>196.91741666666667</v>
      </c>
      <c r="V302" s="44">
        <f t="shared" si="262"/>
        <v>196.91741666666667</v>
      </c>
      <c r="W302" s="44">
        <f t="shared" si="262"/>
        <v>198.07567190476189</v>
      </c>
      <c r="X302" s="44">
        <f t="shared" si="262"/>
        <v>198.07567190476189</v>
      </c>
      <c r="Y302" s="44">
        <f t="shared" si="262"/>
        <v>198.07567190476189</v>
      </c>
      <c r="Z302" s="44">
        <f t="shared" si="262"/>
        <v>198.07567190476189</v>
      </c>
      <c r="AA302" s="44">
        <f t="shared" si="262"/>
        <v>198.07567190476189</v>
      </c>
      <c r="AB302" s="44">
        <f t="shared" si="262"/>
        <v>198.07567190476189</v>
      </c>
      <c r="AC302" s="44">
        <f t="shared" si="262"/>
        <v>198.07567190476189</v>
      </c>
      <c r="AD302" s="44">
        <f t="shared" si="262"/>
        <v>198.07567190476189</v>
      </c>
      <c r="AE302" s="44">
        <f t="shared" si="262"/>
        <v>198.07567190476189</v>
      </c>
      <c r="AF302" s="44">
        <f t="shared" si="262"/>
        <v>198.07567190476189</v>
      </c>
      <c r="AG302" s="44">
        <f t="shared" si="262"/>
        <v>198.07567190476189</v>
      </c>
      <c r="AH302" s="45">
        <f>AVERAGE(D302:AG302)</f>
        <v>177.72949358730162</v>
      </c>
    </row>
    <row r="303" spans="1:51" x14ac:dyDescent="0.25">
      <c r="A303" s="47"/>
    </row>
    <row r="304" spans="1:51" x14ac:dyDescent="0.25">
      <c r="A304" s="47"/>
    </row>
    <row r="305" spans="1:1" x14ac:dyDescent="0.25">
      <c r="A305" s="47"/>
    </row>
    <row r="306" spans="1:1" x14ac:dyDescent="0.25">
      <c r="A306" s="47"/>
    </row>
    <row r="307" spans="1:1" x14ac:dyDescent="0.25">
      <c r="A307" s="47"/>
    </row>
    <row r="308" spans="1:1" x14ac:dyDescent="0.25">
      <c r="A308" s="47"/>
    </row>
    <row r="309" spans="1:1" x14ac:dyDescent="0.25">
      <c r="A309" s="47"/>
    </row>
    <row r="310" spans="1:1" x14ac:dyDescent="0.25">
      <c r="A310" s="47"/>
    </row>
    <row r="311" spans="1:1" x14ac:dyDescent="0.25">
      <c r="A311" s="47"/>
    </row>
    <row r="312" spans="1:1" x14ac:dyDescent="0.25">
      <c r="A312" s="47"/>
    </row>
    <row r="313" spans="1:1" x14ac:dyDescent="0.25">
      <c r="A313" s="47"/>
    </row>
    <row r="314" spans="1:1" x14ac:dyDescent="0.25">
      <c r="A314" s="47"/>
    </row>
    <row r="315" spans="1:1" x14ac:dyDescent="0.25">
      <c r="A315" s="47"/>
    </row>
    <row r="316" spans="1:1" x14ac:dyDescent="0.25">
      <c r="A316" s="47"/>
    </row>
    <row r="317" spans="1:1" x14ac:dyDescent="0.25">
      <c r="A317" s="47"/>
    </row>
    <row r="318" spans="1:1" x14ac:dyDescent="0.25">
      <c r="A318" s="47"/>
    </row>
    <row r="319" spans="1:1" x14ac:dyDescent="0.25">
      <c r="A319" s="47"/>
    </row>
    <row r="320" spans="1:1" x14ac:dyDescent="0.25">
      <c r="A320" s="47"/>
    </row>
    <row r="321" spans="1:1" x14ac:dyDescent="0.25">
      <c r="A321" s="47"/>
    </row>
    <row r="322" spans="1:1" x14ac:dyDescent="0.25">
      <c r="A322" s="47"/>
    </row>
    <row r="323" spans="1:1" x14ac:dyDescent="0.25">
      <c r="A323" s="47"/>
    </row>
    <row r="324" spans="1:1" x14ac:dyDescent="0.25">
      <c r="A324" s="47"/>
    </row>
    <row r="325" spans="1:1" x14ac:dyDescent="0.25">
      <c r="A325" s="47"/>
    </row>
    <row r="326" spans="1:1" x14ac:dyDescent="0.25">
      <c r="A326" s="47"/>
    </row>
    <row r="327" spans="1:1" x14ac:dyDescent="0.25">
      <c r="A327" s="47"/>
    </row>
    <row r="328" spans="1:1" x14ac:dyDescent="0.25">
      <c r="A328" s="47"/>
    </row>
    <row r="329" spans="1:1" x14ac:dyDescent="0.25">
      <c r="A329" s="47"/>
    </row>
    <row r="330" spans="1:1" x14ac:dyDescent="0.25">
      <c r="A330" s="47"/>
    </row>
    <row r="331" spans="1:1" x14ac:dyDescent="0.25">
      <c r="A331" s="47"/>
    </row>
    <row r="332" spans="1:1" x14ac:dyDescent="0.25">
      <c r="A332" s="47"/>
    </row>
    <row r="333" spans="1:1" x14ac:dyDescent="0.25">
      <c r="A333" s="47"/>
    </row>
    <row r="334" spans="1:1" x14ac:dyDescent="0.25">
      <c r="A334" s="47"/>
    </row>
    <row r="335" spans="1:1" x14ac:dyDescent="0.25">
      <c r="A335" s="47"/>
    </row>
    <row r="336" spans="1:1" x14ac:dyDescent="0.25">
      <c r="A336" s="47"/>
    </row>
    <row r="337" spans="1:1" x14ac:dyDescent="0.25">
      <c r="A337" s="47"/>
    </row>
    <row r="338" spans="1:1" x14ac:dyDescent="0.25">
      <c r="A338" s="47"/>
    </row>
    <row r="339" spans="1:1" x14ac:dyDescent="0.25">
      <c r="A339" s="47"/>
    </row>
    <row r="340" spans="1:1" x14ac:dyDescent="0.25">
      <c r="A340" s="47"/>
    </row>
    <row r="341" spans="1:1" x14ac:dyDescent="0.25">
      <c r="A341" s="47"/>
    </row>
    <row r="342" spans="1:1" x14ac:dyDescent="0.25">
      <c r="A342" s="47"/>
    </row>
    <row r="343" spans="1:1" x14ac:dyDescent="0.25">
      <c r="A343" s="47"/>
    </row>
    <row r="344" spans="1:1" x14ac:dyDescent="0.25">
      <c r="A344" s="47"/>
    </row>
    <row r="345" spans="1:1" x14ac:dyDescent="0.25">
      <c r="A345" s="47"/>
    </row>
    <row r="346" spans="1:1" x14ac:dyDescent="0.25">
      <c r="A346" s="47"/>
    </row>
    <row r="347" spans="1:1" x14ac:dyDescent="0.25">
      <c r="A347" s="47"/>
    </row>
    <row r="348" spans="1:1" x14ac:dyDescent="0.25">
      <c r="A348" s="47"/>
    </row>
    <row r="349" spans="1:1" x14ac:dyDescent="0.25">
      <c r="A349" s="47"/>
    </row>
    <row r="350" spans="1:1" x14ac:dyDescent="0.25">
      <c r="A350" s="47"/>
    </row>
    <row r="351" spans="1:1" x14ac:dyDescent="0.25">
      <c r="A351" s="47"/>
    </row>
    <row r="352" spans="1:1" x14ac:dyDescent="0.25">
      <c r="A352" s="47"/>
    </row>
    <row r="353" spans="1:1" x14ac:dyDescent="0.25">
      <c r="A353" s="47"/>
    </row>
    <row r="354" spans="1:1" x14ac:dyDescent="0.25">
      <c r="A354" s="47"/>
    </row>
    <row r="355" spans="1:1" x14ac:dyDescent="0.25">
      <c r="A355" s="47"/>
    </row>
    <row r="356" spans="1:1" x14ac:dyDescent="0.25">
      <c r="A356" s="47"/>
    </row>
    <row r="357" spans="1:1" x14ac:dyDescent="0.25">
      <c r="A357" s="47"/>
    </row>
    <row r="358" spans="1:1" x14ac:dyDescent="0.25">
      <c r="A358" s="47"/>
    </row>
    <row r="359" spans="1:1" x14ac:dyDescent="0.25">
      <c r="A359" s="47"/>
    </row>
    <row r="360" spans="1:1" x14ac:dyDescent="0.25">
      <c r="A360" s="47"/>
    </row>
    <row r="361" spans="1:1" x14ac:dyDescent="0.25">
      <c r="A361" s="47"/>
    </row>
    <row r="362" spans="1:1" x14ac:dyDescent="0.25">
      <c r="A362" s="47"/>
    </row>
    <row r="363" spans="1:1" x14ac:dyDescent="0.25">
      <c r="A363" s="47"/>
    </row>
    <row r="364" spans="1:1" x14ac:dyDescent="0.25">
      <c r="A364" s="47"/>
    </row>
    <row r="365" spans="1:1" x14ac:dyDescent="0.25">
      <c r="A365" s="47"/>
    </row>
    <row r="366" spans="1:1" x14ac:dyDescent="0.25">
      <c r="A366" s="47"/>
    </row>
    <row r="367" spans="1:1" x14ac:dyDescent="0.25">
      <c r="A367" s="47"/>
    </row>
    <row r="368" spans="1:1" x14ac:dyDescent="0.25">
      <c r="A368" s="47"/>
    </row>
    <row r="369" spans="1:1" x14ac:dyDescent="0.25">
      <c r="A369" s="47"/>
    </row>
    <row r="370" spans="1:1" x14ac:dyDescent="0.25">
      <c r="A370" s="47"/>
    </row>
    <row r="371" spans="1:1" x14ac:dyDescent="0.25">
      <c r="A371" s="47"/>
    </row>
    <row r="372" spans="1:1" x14ac:dyDescent="0.25">
      <c r="A372" s="47"/>
    </row>
    <row r="373" spans="1:1" x14ac:dyDescent="0.25">
      <c r="A373" s="47"/>
    </row>
    <row r="374" spans="1:1" x14ac:dyDescent="0.25">
      <c r="A374" s="47"/>
    </row>
    <row r="375" spans="1:1" x14ac:dyDescent="0.25">
      <c r="A375" s="47"/>
    </row>
    <row r="376" spans="1:1" x14ac:dyDescent="0.25">
      <c r="A376" s="47"/>
    </row>
    <row r="377" spans="1:1" x14ac:dyDescent="0.25">
      <c r="A377" s="47"/>
    </row>
    <row r="378" spans="1:1" x14ac:dyDescent="0.25">
      <c r="A378" s="47"/>
    </row>
    <row r="379" spans="1:1" x14ac:dyDescent="0.25">
      <c r="A379" s="47"/>
    </row>
    <row r="380" spans="1:1" x14ac:dyDescent="0.25">
      <c r="A380" s="47"/>
    </row>
    <row r="381" spans="1:1" x14ac:dyDescent="0.25">
      <c r="A381" s="47"/>
    </row>
    <row r="382" spans="1:1" x14ac:dyDescent="0.25">
      <c r="A382" s="47"/>
    </row>
    <row r="383" spans="1:1" x14ac:dyDescent="0.25">
      <c r="A383" s="47"/>
    </row>
    <row r="384" spans="1:1" x14ac:dyDescent="0.25">
      <c r="A384" s="47"/>
    </row>
    <row r="385" spans="1:1" x14ac:dyDescent="0.25">
      <c r="A385" s="47"/>
    </row>
    <row r="386" spans="1:1" x14ac:dyDescent="0.25">
      <c r="A386" s="47"/>
    </row>
    <row r="387" spans="1:1" x14ac:dyDescent="0.25">
      <c r="A387" s="47"/>
    </row>
    <row r="388" spans="1:1" x14ac:dyDescent="0.25">
      <c r="A388" s="47"/>
    </row>
    <row r="389" spans="1:1" x14ac:dyDescent="0.25">
      <c r="A389" s="47"/>
    </row>
    <row r="390" spans="1:1" x14ac:dyDescent="0.25">
      <c r="A390" s="47"/>
    </row>
    <row r="391" spans="1:1" x14ac:dyDescent="0.25">
      <c r="A391" s="47"/>
    </row>
    <row r="392" spans="1:1" x14ac:dyDescent="0.25">
      <c r="A392" s="47"/>
    </row>
    <row r="393" spans="1:1" x14ac:dyDescent="0.25">
      <c r="A393" s="47"/>
    </row>
    <row r="394" spans="1:1" x14ac:dyDescent="0.25">
      <c r="A394" s="47"/>
    </row>
    <row r="395" spans="1:1" x14ac:dyDescent="0.25">
      <c r="A395" s="47"/>
    </row>
    <row r="396" spans="1:1" x14ac:dyDescent="0.25">
      <c r="A396" s="47"/>
    </row>
    <row r="397" spans="1:1" x14ac:dyDescent="0.25">
      <c r="A397" s="47"/>
    </row>
    <row r="398" spans="1:1" x14ac:dyDescent="0.25">
      <c r="A398" s="47"/>
    </row>
    <row r="399" spans="1:1" x14ac:dyDescent="0.25">
      <c r="A399" s="47"/>
    </row>
    <row r="400" spans="1:1" x14ac:dyDescent="0.25">
      <c r="A400" s="47"/>
    </row>
    <row r="401" spans="1:1" x14ac:dyDescent="0.25">
      <c r="A401" s="47"/>
    </row>
    <row r="402" spans="1:1" x14ac:dyDescent="0.25">
      <c r="A402" s="47"/>
    </row>
    <row r="403" spans="1:1" x14ac:dyDescent="0.25">
      <c r="A403" s="47"/>
    </row>
    <row r="404" spans="1:1" x14ac:dyDescent="0.25">
      <c r="A404" s="47"/>
    </row>
    <row r="405" spans="1:1" x14ac:dyDescent="0.25">
      <c r="A405" s="47"/>
    </row>
    <row r="406" spans="1:1" x14ac:dyDescent="0.25">
      <c r="A406" s="47"/>
    </row>
    <row r="407" spans="1:1" x14ac:dyDescent="0.25">
      <c r="A407" s="47"/>
    </row>
    <row r="408" spans="1:1" x14ac:dyDescent="0.25">
      <c r="A408" s="47"/>
    </row>
    <row r="409" spans="1:1" x14ac:dyDescent="0.25">
      <c r="A409" s="47"/>
    </row>
    <row r="410" spans="1:1" x14ac:dyDescent="0.25">
      <c r="A410" s="47"/>
    </row>
    <row r="411" spans="1:1" x14ac:dyDescent="0.25">
      <c r="A411" s="47"/>
    </row>
    <row r="412" spans="1:1" x14ac:dyDescent="0.25">
      <c r="A412" s="47"/>
    </row>
    <row r="413" spans="1:1" x14ac:dyDescent="0.25">
      <c r="A413" s="47"/>
    </row>
    <row r="414" spans="1:1" x14ac:dyDescent="0.25">
      <c r="A414" s="47"/>
    </row>
  </sheetData>
  <mergeCells count="92">
    <mergeCell ref="D5:D6"/>
    <mergeCell ref="I5:I6"/>
    <mergeCell ref="H5:H6"/>
    <mergeCell ref="G5:G6"/>
    <mergeCell ref="F5:F6"/>
    <mergeCell ref="E5:E6"/>
    <mergeCell ref="A216:B216"/>
    <mergeCell ref="A8:B8"/>
    <mergeCell ref="A9:B9"/>
    <mergeCell ref="A23:B23"/>
    <mergeCell ref="A37:B37"/>
    <mergeCell ref="A38:B38"/>
    <mergeCell ref="A52:B52"/>
    <mergeCell ref="A66:B66"/>
    <mergeCell ref="A67:B67"/>
    <mergeCell ref="A174:B174"/>
    <mergeCell ref="A188:B188"/>
    <mergeCell ref="A202:B202"/>
    <mergeCell ref="Q5:Q6"/>
    <mergeCell ref="R5:R6"/>
    <mergeCell ref="S5:S6"/>
    <mergeCell ref="T5:T6"/>
    <mergeCell ref="AG5:AG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L246:L247"/>
    <mergeCell ref="M246:M247"/>
    <mergeCell ref="N246:N247"/>
    <mergeCell ref="O246:O247"/>
    <mergeCell ref="A4:A7"/>
    <mergeCell ref="B4:B7"/>
    <mergeCell ref="C4:C7"/>
    <mergeCell ref="D4:AG4"/>
    <mergeCell ref="U5:U6"/>
    <mergeCell ref="J5:J6"/>
    <mergeCell ref="K5:K6"/>
    <mergeCell ref="L5:L6"/>
    <mergeCell ref="M5:M6"/>
    <mergeCell ref="N5:N6"/>
    <mergeCell ref="O5:O6"/>
    <mergeCell ref="P5:P6"/>
    <mergeCell ref="Q246:Q247"/>
    <mergeCell ref="R246:R247"/>
    <mergeCell ref="S246:S247"/>
    <mergeCell ref="T246:T247"/>
    <mergeCell ref="A245:A248"/>
    <mergeCell ref="B245:B248"/>
    <mergeCell ref="C245:C248"/>
    <mergeCell ref="D245:AG245"/>
    <mergeCell ref="D246:D247"/>
    <mergeCell ref="E246:E247"/>
    <mergeCell ref="F246:F247"/>
    <mergeCell ref="G246:G247"/>
    <mergeCell ref="H246:H247"/>
    <mergeCell ref="I246:I247"/>
    <mergeCell ref="J246:J247"/>
    <mergeCell ref="K246:K247"/>
    <mergeCell ref="AE246:AE247"/>
    <mergeCell ref="AF246:AF247"/>
    <mergeCell ref="AG246:AG247"/>
    <mergeCell ref="A249:B249"/>
    <mergeCell ref="A250:B250"/>
    <mergeCell ref="Z246:Z247"/>
    <mergeCell ref="AA246:AA247"/>
    <mergeCell ref="AB246:AB247"/>
    <mergeCell ref="AC246:AC247"/>
    <mergeCell ref="AD246:AD247"/>
    <mergeCell ref="U246:U247"/>
    <mergeCell ref="V246:V247"/>
    <mergeCell ref="W246:W247"/>
    <mergeCell ref="X246:X247"/>
    <mergeCell ref="Y246:Y247"/>
    <mergeCell ref="P246:P247"/>
    <mergeCell ref="A253:B253"/>
    <mergeCell ref="A256:B256"/>
    <mergeCell ref="A257:B257"/>
    <mergeCell ref="A260:B260"/>
    <mergeCell ref="A263:B263"/>
    <mergeCell ref="A264:B264"/>
    <mergeCell ref="A277:B277"/>
    <mergeCell ref="A280:B280"/>
    <mergeCell ref="A283:B283"/>
    <mergeCell ref="A286:B28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ignoredErrors>
    <ignoredError sqref="W96 H22" formula="1"/>
    <ignoredError sqref="D136:AG13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92D050"/>
  </sheetPr>
  <dimension ref="A1:M69"/>
  <sheetViews>
    <sheetView showGridLines="0" zoomScale="80" zoomScaleNormal="80" workbookViewId="0"/>
  </sheetViews>
  <sheetFormatPr defaultRowHeight="13.8" x14ac:dyDescent="0.25"/>
  <cols>
    <col min="1" max="1" width="3" customWidth="1"/>
    <col min="2" max="2" width="14.75" bestFit="1" customWidth="1"/>
    <col min="3" max="3" width="79.375" customWidth="1"/>
    <col min="4" max="4" width="20.75" bestFit="1" customWidth="1"/>
    <col min="5" max="5" width="14.5" bestFit="1" customWidth="1"/>
    <col min="6" max="6" width="15.125" customWidth="1"/>
    <col min="7" max="7" width="16.375" bestFit="1" customWidth="1"/>
    <col min="8" max="8" width="4.875" customWidth="1"/>
    <col min="9" max="9" width="16.5" customWidth="1"/>
    <col min="10" max="11" width="14.5" bestFit="1" customWidth="1"/>
  </cols>
  <sheetData>
    <row r="1" spans="1:13" ht="18" x14ac:dyDescent="0.25">
      <c r="A1" s="155"/>
      <c r="B1" s="48" t="s">
        <v>0</v>
      </c>
      <c r="C1" s="49"/>
      <c r="D1" s="50" t="s">
        <v>1</v>
      </c>
      <c r="E1" s="49"/>
      <c r="F1" s="49"/>
      <c r="G1" s="51"/>
    </row>
    <row r="2" spans="1:13" ht="15" x14ac:dyDescent="0.25">
      <c r="B2" s="52" t="s">
        <v>123</v>
      </c>
      <c r="D2" s="53" t="s">
        <v>124</v>
      </c>
      <c r="E2" s="54" t="s">
        <v>1048</v>
      </c>
      <c r="G2" s="55"/>
    </row>
    <row r="3" spans="1:13" ht="15" x14ac:dyDescent="0.25">
      <c r="B3" s="52"/>
      <c r="G3" s="55"/>
    </row>
    <row r="4" spans="1:13" x14ac:dyDescent="0.25">
      <c r="B4" s="56"/>
      <c r="C4" s="57"/>
      <c r="D4" s="58"/>
      <c r="E4" s="59" t="s">
        <v>125</v>
      </c>
      <c r="F4" s="59" t="s">
        <v>126</v>
      </c>
      <c r="G4" s="60" t="s">
        <v>127</v>
      </c>
    </row>
    <row r="5" spans="1:13" x14ac:dyDescent="0.25">
      <c r="B5" s="381" t="s">
        <v>128</v>
      </c>
      <c r="C5" s="381"/>
      <c r="D5" s="61" t="s">
        <v>5</v>
      </c>
      <c r="E5" s="61" t="s">
        <v>129</v>
      </c>
      <c r="F5" s="61" t="s">
        <v>130</v>
      </c>
      <c r="G5" s="61" t="s">
        <v>131</v>
      </c>
      <c r="I5" s="62" t="s">
        <v>132</v>
      </c>
      <c r="J5" s="63"/>
      <c r="K5" s="63"/>
      <c r="L5" s="63"/>
      <c r="M5" s="63"/>
    </row>
    <row r="6" spans="1:13" x14ac:dyDescent="0.25">
      <c r="B6" s="64" t="s">
        <v>133</v>
      </c>
      <c r="C6" s="65" t="s">
        <v>134</v>
      </c>
      <c r="D6" s="64"/>
      <c r="E6" s="64"/>
      <c r="F6" s="64"/>
      <c r="G6" s="64"/>
      <c r="I6" t="s">
        <v>135</v>
      </c>
    </row>
    <row r="7" spans="1:13" x14ac:dyDescent="0.25">
      <c r="B7" s="64"/>
      <c r="C7" s="65"/>
      <c r="D7" s="64"/>
      <c r="E7" s="64"/>
      <c r="F7" s="64"/>
      <c r="G7" s="64"/>
    </row>
    <row r="8" spans="1:13" x14ac:dyDescent="0.25">
      <c r="B8" s="66"/>
      <c r="C8" s="66" t="s">
        <v>136</v>
      </c>
      <c r="D8" s="61"/>
      <c r="E8" s="61"/>
      <c r="F8" s="61"/>
      <c r="G8" s="61"/>
    </row>
    <row r="9" spans="1:13" x14ac:dyDescent="0.25">
      <c r="B9" s="67"/>
      <c r="C9" s="68" t="s">
        <v>137</v>
      </c>
      <c r="D9" s="69"/>
      <c r="E9" s="70"/>
      <c r="F9" s="70"/>
      <c r="G9" s="70"/>
    </row>
    <row r="10" spans="1:13" ht="14.4" x14ac:dyDescent="0.3">
      <c r="B10" s="71">
        <v>4915757</v>
      </c>
      <c r="C10" s="72" t="s">
        <v>138</v>
      </c>
      <c r="D10" s="73" t="s">
        <v>139</v>
      </c>
      <c r="E10" s="74">
        <v>1</v>
      </c>
      <c r="F10" s="74">
        <v>1.1000000000000001</v>
      </c>
      <c r="G10" s="74">
        <v>1.2</v>
      </c>
    </row>
    <row r="11" spans="1:13" x14ac:dyDescent="0.25">
      <c r="B11" s="71">
        <v>4011480</v>
      </c>
      <c r="C11" s="72" t="s">
        <v>140</v>
      </c>
      <c r="D11" s="73" t="s">
        <v>139</v>
      </c>
      <c r="E11" s="75">
        <v>2.1</v>
      </c>
      <c r="F11" s="75">
        <v>2.2050000000000001</v>
      </c>
      <c r="G11" s="75">
        <v>2.31</v>
      </c>
    </row>
    <row r="12" spans="1:13" ht="14.4" x14ac:dyDescent="0.3">
      <c r="B12" s="71">
        <v>4011353</v>
      </c>
      <c r="C12" s="72" t="s">
        <v>141</v>
      </c>
      <c r="D12" s="73" t="s">
        <v>142</v>
      </c>
      <c r="E12" s="74">
        <v>70</v>
      </c>
      <c r="F12" s="74">
        <v>73.5</v>
      </c>
      <c r="G12" s="74">
        <v>77</v>
      </c>
    </row>
    <row r="13" spans="1:13" x14ac:dyDescent="0.25">
      <c r="B13" s="71">
        <v>4011463</v>
      </c>
      <c r="C13" s="72" t="s">
        <v>143</v>
      </c>
      <c r="D13" s="73" t="s">
        <v>144</v>
      </c>
      <c r="E13" s="75">
        <v>5.04</v>
      </c>
      <c r="F13" s="75">
        <v>5.2919999999999998</v>
      </c>
      <c r="G13" s="75">
        <v>5.5439999999999996</v>
      </c>
    </row>
    <row r="14" spans="1:13" ht="14.4" x14ac:dyDescent="0.3">
      <c r="B14" s="71">
        <v>4915694</v>
      </c>
      <c r="C14" s="72" t="s">
        <v>145</v>
      </c>
      <c r="D14" s="76" t="s">
        <v>146</v>
      </c>
      <c r="E14" s="74">
        <v>20</v>
      </c>
      <c r="F14" s="74">
        <v>21</v>
      </c>
      <c r="G14" s="74">
        <v>22</v>
      </c>
    </row>
    <row r="15" spans="1:13" ht="14.4" x14ac:dyDescent="0.3">
      <c r="B15" s="71">
        <v>4915698</v>
      </c>
      <c r="C15" s="72" t="s">
        <v>147</v>
      </c>
      <c r="D15" s="77" t="s">
        <v>148</v>
      </c>
      <c r="E15" s="74">
        <v>1.5E-3</v>
      </c>
      <c r="F15" s="74">
        <v>1.5E-3</v>
      </c>
      <c r="G15" s="74">
        <v>2E-3</v>
      </c>
    </row>
    <row r="16" spans="1:13" ht="14.4" x14ac:dyDescent="0.3">
      <c r="B16" s="71">
        <v>4915753</v>
      </c>
      <c r="C16" s="72" t="s">
        <v>149</v>
      </c>
      <c r="D16" s="76" t="s">
        <v>150</v>
      </c>
      <c r="E16" s="74">
        <v>0.01</v>
      </c>
      <c r="F16" s="74">
        <v>1.0999999999999999E-2</v>
      </c>
      <c r="G16" s="74">
        <v>1.2E-2</v>
      </c>
    </row>
    <row r="17" spans="2:7" ht="14.4" x14ac:dyDescent="0.3">
      <c r="B17" s="71">
        <v>4915695</v>
      </c>
      <c r="C17" s="72" t="s">
        <v>151</v>
      </c>
      <c r="D17" s="73" t="s">
        <v>152</v>
      </c>
      <c r="E17" s="74">
        <v>5</v>
      </c>
      <c r="F17" s="74">
        <v>6</v>
      </c>
      <c r="G17" s="74">
        <v>7.2</v>
      </c>
    </row>
    <row r="18" spans="2:7" x14ac:dyDescent="0.25">
      <c r="B18" s="77"/>
      <c r="C18" s="68" t="s">
        <v>153</v>
      </c>
      <c r="D18" s="69"/>
      <c r="E18" s="75"/>
      <c r="F18" s="75"/>
      <c r="G18" s="75"/>
    </row>
    <row r="19" spans="2:7" ht="14.4" x14ac:dyDescent="0.3">
      <c r="B19" s="77" t="s">
        <v>154</v>
      </c>
      <c r="C19" s="78" t="s">
        <v>155</v>
      </c>
      <c r="D19" s="77" t="s">
        <v>156</v>
      </c>
      <c r="E19" s="79">
        <v>4.4999999999999999E-4</v>
      </c>
      <c r="F19" s="79">
        <v>4.4999999999999999E-4</v>
      </c>
      <c r="G19" s="79">
        <v>4.4999999999999999E-4</v>
      </c>
    </row>
    <row r="20" spans="2:7" x14ac:dyDescent="0.25">
      <c r="B20" s="77" t="s">
        <v>157</v>
      </c>
      <c r="C20" s="78" t="s">
        <v>158</v>
      </c>
      <c r="D20" s="77" t="s">
        <v>159</v>
      </c>
      <c r="E20" s="80">
        <v>5.6599999999999998E-2</v>
      </c>
      <c r="F20" s="80">
        <v>5.6599999999999998E-2</v>
      </c>
      <c r="G20" s="80">
        <v>5.6599999999999998E-2</v>
      </c>
    </row>
    <row r="21" spans="2:7" x14ac:dyDescent="0.25">
      <c r="B21" s="77" t="s">
        <v>157</v>
      </c>
      <c r="C21" s="78" t="s">
        <v>160</v>
      </c>
      <c r="D21" s="77" t="s">
        <v>159</v>
      </c>
      <c r="E21" s="80">
        <v>5.7731999999999999E-2</v>
      </c>
      <c r="F21" s="80">
        <v>5.7731999999999999E-2</v>
      </c>
      <c r="G21" s="80">
        <v>5.7731999999999999E-2</v>
      </c>
    </row>
    <row r="22" spans="2:7" x14ac:dyDescent="0.25">
      <c r="B22" s="77" t="s">
        <v>161</v>
      </c>
      <c r="C22" s="78" t="s">
        <v>162</v>
      </c>
      <c r="D22" s="77" t="s">
        <v>163</v>
      </c>
      <c r="E22" s="80">
        <v>8.16</v>
      </c>
      <c r="F22" s="80">
        <v>8.16</v>
      </c>
      <c r="G22" s="80">
        <v>8.16</v>
      </c>
    </row>
    <row r="23" spans="2:7" x14ac:dyDescent="0.25">
      <c r="B23" s="61"/>
      <c r="C23" s="66" t="s">
        <v>164</v>
      </c>
      <c r="D23" s="61"/>
      <c r="E23" s="81"/>
      <c r="F23" s="81"/>
      <c r="G23" s="81"/>
    </row>
    <row r="24" spans="2:7" x14ac:dyDescent="0.25">
      <c r="B24" s="77"/>
      <c r="C24" s="68" t="s">
        <v>165</v>
      </c>
      <c r="D24" s="77"/>
      <c r="E24" s="80"/>
      <c r="F24" s="80"/>
      <c r="G24" s="80"/>
    </row>
    <row r="25" spans="2:7" x14ac:dyDescent="0.25">
      <c r="B25" s="77">
        <v>5214011</v>
      </c>
      <c r="C25" s="78" t="s">
        <v>166</v>
      </c>
      <c r="D25" s="77" t="s">
        <v>142</v>
      </c>
      <c r="E25" s="80">
        <v>19</v>
      </c>
      <c r="F25" s="80">
        <v>19.5</v>
      </c>
      <c r="G25" s="80">
        <v>20.5</v>
      </c>
    </row>
    <row r="26" spans="2:7" x14ac:dyDescent="0.25">
      <c r="B26" s="77">
        <v>5213360</v>
      </c>
      <c r="C26" s="78" t="s">
        <v>167</v>
      </c>
      <c r="D26" s="77" t="s">
        <v>168</v>
      </c>
      <c r="E26" s="80">
        <v>12.5</v>
      </c>
      <c r="F26" s="80">
        <v>12.5</v>
      </c>
      <c r="G26" s="80">
        <v>12.5</v>
      </c>
    </row>
    <row r="27" spans="2:7" x14ac:dyDescent="0.25">
      <c r="B27" s="77">
        <v>5213477</v>
      </c>
      <c r="C27" s="78" t="s">
        <v>169</v>
      </c>
      <c r="D27" s="77" t="s">
        <v>168</v>
      </c>
      <c r="E27" s="80">
        <v>1</v>
      </c>
      <c r="F27" s="80">
        <v>1.1000000000000001</v>
      </c>
      <c r="G27" s="80">
        <v>1.2</v>
      </c>
    </row>
    <row r="28" spans="2:7" x14ac:dyDescent="0.25">
      <c r="B28" s="77">
        <v>4915718</v>
      </c>
      <c r="C28" s="78" t="s">
        <v>170</v>
      </c>
      <c r="D28" s="77" t="s">
        <v>168</v>
      </c>
      <c r="E28" s="80">
        <v>2.2000000000000002</v>
      </c>
      <c r="F28" s="80">
        <v>2.5</v>
      </c>
      <c r="G28" s="80">
        <v>2.8</v>
      </c>
    </row>
    <row r="29" spans="2:7" x14ac:dyDescent="0.25">
      <c r="B29" s="77"/>
      <c r="C29" s="68" t="s">
        <v>171</v>
      </c>
      <c r="D29" s="77"/>
      <c r="E29" s="80"/>
      <c r="F29" s="80"/>
      <c r="G29" s="80"/>
    </row>
    <row r="30" spans="2:7" x14ac:dyDescent="0.25">
      <c r="B30" s="77">
        <v>5213440</v>
      </c>
      <c r="C30" s="78" t="s">
        <v>172</v>
      </c>
      <c r="D30" s="77" t="s">
        <v>142</v>
      </c>
      <c r="E30" s="80">
        <v>2</v>
      </c>
      <c r="F30" s="80">
        <v>2</v>
      </c>
      <c r="G30" s="80">
        <v>2</v>
      </c>
    </row>
    <row r="31" spans="2:7" x14ac:dyDescent="0.25">
      <c r="B31" s="77">
        <v>4915718</v>
      </c>
      <c r="C31" s="78" t="s">
        <v>173</v>
      </c>
      <c r="D31" s="77" t="s">
        <v>142</v>
      </c>
      <c r="E31" s="80">
        <v>30</v>
      </c>
      <c r="F31" s="80">
        <v>30</v>
      </c>
      <c r="G31" s="80">
        <v>30</v>
      </c>
    </row>
    <row r="32" spans="2:7" x14ac:dyDescent="0.25">
      <c r="B32" s="77"/>
      <c r="C32" s="68" t="s">
        <v>174</v>
      </c>
      <c r="D32" s="77"/>
      <c r="E32" s="80"/>
      <c r="F32" s="80"/>
      <c r="G32" s="80"/>
    </row>
    <row r="33" spans="2:8" x14ac:dyDescent="0.25">
      <c r="B33" s="77">
        <v>4915721</v>
      </c>
      <c r="C33" s="78" t="s">
        <v>175</v>
      </c>
      <c r="D33" s="77" t="s">
        <v>176</v>
      </c>
      <c r="E33" s="80">
        <v>30</v>
      </c>
      <c r="F33" s="80">
        <v>40</v>
      </c>
      <c r="G33" s="80">
        <v>50</v>
      </c>
      <c r="H33" s="82"/>
    </row>
    <row r="34" spans="2:8" x14ac:dyDescent="0.25">
      <c r="B34" s="77" t="s">
        <v>351</v>
      </c>
      <c r="C34" s="78" t="s">
        <v>177</v>
      </c>
      <c r="D34" s="77" t="s">
        <v>178</v>
      </c>
      <c r="E34" s="80">
        <v>0.2</v>
      </c>
      <c r="F34" s="80">
        <v>0.3</v>
      </c>
      <c r="G34" s="80">
        <v>0.4</v>
      </c>
    </row>
    <row r="35" spans="2:8" x14ac:dyDescent="0.25">
      <c r="B35" s="77">
        <v>3713823</v>
      </c>
      <c r="C35" s="78" t="s">
        <v>179</v>
      </c>
      <c r="D35" s="77" t="s">
        <v>176</v>
      </c>
      <c r="E35" s="80">
        <v>15</v>
      </c>
      <c r="F35" s="80">
        <v>25</v>
      </c>
      <c r="G35" s="80">
        <v>30</v>
      </c>
    </row>
    <row r="36" spans="2:8" x14ac:dyDescent="0.25">
      <c r="B36" s="83"/>
      <c r="C36" s="66" t="s">
        <v>180</v>
      </c>
      <c r="D36" s="61"/>
      <c r="E36" s="81"/>
      <c r="F36" s="81"/>
      <c r="G36" s="81"/>
    </row>
    <row r="37" spans="2:8" x14ac:dyDescent="0.25">
      <c r="B37" s="77"/>
      <c r="C37" s="68" t="s">
        <v>181</v>
      </c>
      <c r="D37" s="77"/>
      <c r="E37" s="80"/>
      <c r="F37" s="80"/>
      <c r="G37" s="80"/>
    </row>
    <row r="38" spans="2:8" x14ac:dyDescent="0.25">
      <c r="B38" s="77">
        <v>4816118</v>
      </c>
      <c r="C38" s="84" t="s">
        <v>182</v>
      </c>
      <c r="D38" s="77" t="s">
        <v>183</v>
      </c>
      <c r="E38" s="80">
        <v>0.02</v>
      </c>
      <c r="F38" s="80">
        <v>2.1999999999999999E-2</v>
      </c>
      <c r="G38" s="80">
        <v>2.4E-2</v>
      </c>
    </row>
    <row r="39" spans="2:8" x14ac:dyDescent="0.25">
      <c r="B39" s="77">
        <v>4915723</v>
      </c>
      <c r="C39" s="84" t="s">
        <v>184</v>
      </c>
      <c r="D39" s="77" t="s">
        <v>148</v>
      </c>
      <c r="E39" s="80">
        <v>1</v>
      </c>
      <c r="F39" s="80">
        <v>1.3</v>
      </c>
      <c r="G39" s="80">
        <v>1.3</v>
      </c>
    </row>
    <row r="40" spans="2:8" x14ac:dyDescent="0.25">
      <c r="B40" s="85">
        <v>4915672</v>
      </c>
      <c r="C40" s="84" t="s">
        <v>185</v>
      </c>
      <c r="D40" s="77" t="s">
        <v>183</v>
      </c>
      <c r="E40" s="80">
        <v>1</v>
      </c>
      <c r="F40" s="80">
        <v>1</v>
      </c>
      <c r="G40" s="80">
        <v>1</v>
      </c>
    </row>
    <row r="41" spans="2:8" x14ac:dyDescent="0.25">
      <c r="B41" s="83"/>
      <c r="C41" s="66" t="s">
        <v>186</v>
      </c>
      <c r="D41" s="61"/>
      <c r="E41" s="81"/>
      <c r="F41" s="81"/>
      <c r="G41" s="81"/>
    </row>
    <row r="42" spans="2:8" x14ac:dyDescent="0.25">
      <c r="B42" s="77"/>
      <c r="C42" s="68" t="s">
        <v>187</v>
      </c>
      <c r="D42" s="77"/>
      <c r="E42" s="80"/>
      <c r="F42" s="80"/>
      <c r="G42" s="80"/>
    </row>
    <row r="43" spans="2:8" x14ac:dyDescent="0.25">
      <c r="B43" s="77">
        <v>4915708</v>
      </c>
      <c r="C43" s="84" t="s">
        <v>188</v>
      </c>
      <c r="D43" s="77" t="s">
        <v>183</v>
      </c>
      <c r="E43" s="80">
        <v>2</v>
      </c>
      <c r="F43" s="80">
        <v>2.2000000000000002</v>
      </c>
      <c r="G43" s="80">
        <v>2.4</v>
      </c>
    </row>
    <row r="44" spans="2:8" x14ac:dyDescent="0.25">
      <c r="B44" s="77">
        <v>4915723</v>
      </c>
      <c r="C44" s="84" t="s">
        <v>189</v>
      </c>
      <c r="D44" s="77" t="s">
        <v>148</v>
      </c>
      <c r="E44" s="80">
        <v>0.5</v>
      </c>
      <c r="F44" s="80">
        <v>0.5</v>
      </c>
      <c r="G44" s="80">
        <v>0.5</v>
      </c>
    </row>
    <row r="45" spans="2:8" x14ac:dyDescent="0.25">
      <c r="B45" s="77">
        <v>4915710</v>
      </c>
      <c r="C45" s="84" t="s">
        <v>190</v>
      </c>
      <c r="D45" s="77" t="s">
        <v>183</v>
      </c>
      <c r="E45" s="80">
        <v>2</v>
      </c>
      <c r="F45" s="80">
        <v>2.2000000000000002</v>
      </c>
      <c r="G45" s="80">
        <v>2.4</v>
      </c>
    </row>
    <row r="46" spans="2:8" x14ac:dyDescent="0.25">
      <c r="B46" s="77">
        <v>4915712</v>
      </c>
      <c r="C46" s="84" t="s">
        <v>191</v>
      </c>
      <c r="D46" s="77" t="s">
        <v>192</v>
      </c>
      <c r="E46" s="80">
        <v>0.5</v>
      </c>
      <c r="F46" s="80">
        <v>0.6</v>
      </c>
      <c r="G46" s="80">
        <v>0.65</v>
      </c>
    </row>
    <row r="47" spans="2:8" x14ac:dyDescent="0.25">
      <c r="B47" s="77" t="s">
        <v>350</v>
      </c>
      <c r="C47" s="84" t="s">
        <v>193</v>
      </c>
      <c r="D47" s="77" t="s">
        <v>178</v>
      </c>
      <c r="E47" s="80">
        <v>0.2</v>
      </c>
      <c r="F47" s="80">
        <v>0.3</v>
      </c>
      <c r="G47" s="80">
        <v>0.4</v>
      </c>
    </row>
    <row r="48" spans="2:8" x14ac:dyDescent="0.25">
      <c r="B48" s="83"/>
      <c r="C48" s="66" t="s">
        <v>194</v>
      </c>
      <c r="D48" s="61"/>
      <c r="E48" s="81"/>
      <c r="F48" s="81"/>
      <c r="G48" s="81"/>
    </row>
    <row r="49" spans="2:7" x14ac:dyDescent="0.25">
      <c r="B49" s="77"/>
      <c r="C49" s="68" t="s">
        <v>195</v>
      </c>
      <c r="D49" s="77"/>
      <c r="E49" s="80"/>
      <c r="F49" s="80"/>
      <c r="G49" s="80"/>
    </row>
    <row r="50" spans="2:7" x14ac:dyDescent="0.25">
      <c r="B50" s="77">
        <v>4915733</v>
      </c>
      <c r="C50" s="84" t="s">
        <v>196</v>
      </c>
      <c r="D50" s="77" t="s">
        <v>197</v>
      </c>
      <c r="E50" s="80">
        <v>4</v>
      </c>
      <c r="F50" s="80">
        <v>5</v>
      </c>
      <c r="G50" s="80">
        <v>6</v>
      </c>
    </row>
    <row r="51" spans="2:7" x14ac:dyDescent="0.25">
      <c r="B51" s="77">
        <v>4915734</v>
      </c>
      <c r="C51" s="84" t="s">
        <v>198</v>
      </c>
      <c r="D51" s="77" t="s">
        <v>197</v>
      </c>
      <c r="E51" s="80">
        <v>4</v>
      </c>
      <c r="F51" s="80">
        <v>5</v>
      </c>
      <c r="G51" s="80">
        <v>6</v>
      </c>
    </row>
    <row r="52" spans="2:7" x14ac:dyDescent="0.25">
      <c r="B52" s="77">
        <v>4915774</v>
      </c>
      <c r="C52" s="84" t="s">
        <v>199</v>
      </c>
      <c r="D52" s="77" t="s">
        <v>197</v>
      </c>
      <c r="E52" s="80">
        <v>4</v>
      </c>
      <c r="F52" s="80">
        <v>5</v>
      </c>
      <c r="G52" s="80">
        <v>6</v>
      </c>
    </row>
    <row r="53" spans="2:7" x14ac:dyDescent="0.25">
      <c r="B53" s="83"/>
      <c r="C53" s="66" t="s">
        <v>200</v>
      </c>
      <c r="D53" s="61"/>
      <c r="E53" s="81"/>
      <c r="F53" s="81"/>
      <c r="G53" s="81"/>
    </row>
    <row r="54" spans="2:7" x14ac:dyDescent="0.25">
      <c r="B54" s="77"/>
      <c r="C54" s="68" t="s">
        <v>201</v>
      </c>
      <c r="D54" s="77"/>
      <c r="E54" s="80"/>
      <c r="F54" s="80"/>
      <c r="G54" s="80"/>
    </row>
    <row r="55" spans="2:7" x14ac:dyDescent="0.25">
      <c r="B55" s="77">
        <v>4915740</v>
      </c>
      <c r="C55" s="84" t="s">
        <v>202</v>
      </c>
      <c r="D55" s="77" t="s">
        <v>203</v>
      </c>
      <c r="E55" s="80">
        <v>4</v>
      </c>
      <c r="F55" s="80">
        <v>4</v>
      </c>
      <c r="G55" s="80">
        <v>4</v>
      </c>
    </row>
    <row r="56" spans="2:7" x14ac:dyDescent="0.25">
      <c r="B56" s="77">
        <v>4915742</v>
      </c>
      <c r="C56" s="84" t="s">
        <v>204</v>
      </c>
      <c r="D56" s="77" t="s">
        <v>203</v>
      </c>
      <c r="E56" s="80">
        <v>4</v>
      </c>
      <c r="F56" s="80">
        <v>4</v>
      </c>
      <c r="G56" s="80">
        <v>4</v>
      </c>
    </row>
    <row r="57" spans="2:7" x14ac:dyDescent="0.25">
      <c r="B57" s="77">
        <v>4915744</v>
      </c>
      <c r="C57" s="84" t="s">
        <v>205</v>
      </c>
      <c r="D57" s="77" t="s">
        <v>206</v>
      </c>
      <c r="E57" s="80">
        <v>3</v>
      </c>
      <c r="F57" s="80">
        <v>3</v>
      </c>
      <c r="G57" s="80">
        <v>3</v>
      </c>
    </row>
    <row r="58" spans="2:7" x14ac:dyDescent="0.25">
      <c r="B58" s="77">
        <v>4413905</v>
      </c>
      <c r="C58" s="84" t="s">
        <v>207</v>
      </c>
      <c r="D58" s="77" t="s">
        <v>206</v>
      </c>
      <c r="E58" s="80">
        <v>300</v>
      </c>
      <c r="F58" s="80">
        <v>400</v>
      </c>
      <c r="G58" s="80">
        <v>500</v>
      </c>
    </row>
    <row r="59" spans="2:7" x14ac:dyDescent="0.25">
      <c r="B59" s="77">
        <v>4915698</v>
      </c>
      <c r="C59" s="84" t="s">
        <v>208</v>
      </c>
      <c r="D59" s="77" t="s">
        <v>178</v>
      </c>
      <c r="E59" s="80">
        <v>15</v>
      </c>
      <c r="F59" s="80">
        <v>15</v>
      </c>
      <c r="G59" s="80">
        <v>15</v>
      </c>
    </row>
    <row r="60" spans="2:7" x14ac:dyDescent="0.25">
      <c r="B60" s="77">
        <v>4915725</v>
      </c>
      <c r="C60" s="84" t="s">
        <v>209</v>
      </c>
      <c r="D60" s="77" t="s">
        <v>176</v>
      </c>
      <c r="E60" s="80">
        <v>45</v>
      </c>
      <c r="F60" s="80">
        <v>55</v>
      </c>
      <c r="G60" s="80">
        <v>60</v>
      </c>
    </row>
    <row r="61" spans="2:7" x14ac:dyDescent="0.25">
      <c r="B61" s="83"/>
      <c r="C61" s="66" t="s">
        <v>210</v>
      </c>
      <c r="D61" s="61"/>
      <c r="E61" s="81"/>
      <c r="F61" s="81"/>
      <c r="G61" s="81"/>
    </row>
    <row r="62" spans="2:7" x14ac:dyDescent="0.25">
      <c r="B62" s="77"/>
      <c r="C62" s="68" t="s">
        <v>211</v>
      </c>
      <c r="D62" s="77"/>
      <c r="E62" s="80"/>
      <c r="F62" s="80"/>
      <c r="G62" s="80"/>
    </row>
    <row r="63" spans="2:7" x14ac:dyDescent="0.25">
      <c r="B63" s="77" t="s">
        <v>212</v>
      </c>
      <c r="C63" s="84" t="s">
        <v>213</v>
      </c>
      <c r="D63" s="77" t="s">
        <v>214</v>
      </c>
      <c r="E63" s="80">
        <v>1</v>
      </c>
      <c r="F63" s="80">
        <v>1</v>
      </c>
      <c r="G63" s="80">
        <v>1</v>
      </c>
    </row>
    <row r="64" spans="2:7" x14ac:dyDescent="0.25">
      <c r="B64" s="83"/>
      <c r="C64" s="66" t="s">
        <v>215</v>
      </c>
      <c r="D64" s="61"/>
      <c r="E64" s="81"/>
      <c r="F64" s="81"/>
      <c r="G64" s="81"/>
    </row>
    <row r="65" spans="2:7" x14ac:dyDescent="0.25">
      <c r="B65" s="77"/>
      <c r="C65" s="68" t="s">
        <v>216</v>
      </c>
      <c r="D65" s="77"/>
      <c r="E65" s="80"/>
      <c r="F65" s="80"/>
      <c r="G65" s="80"/>
    </row>
    <row r="66" spans="2:7" x14ac:dyDescent="0.25">
      <c r="B66" s="77" t="s">
        <v>217</v>
      </c>
      <c r="C66" s="84" t="s">
        <v>218</v>
      </c>
      <c r="D66" s="77" t="s">
        <v>214</v>
      </c>
      <c r="E66" s="80">
        <v>1</v>
      </c>
      <c r="F66" s="80">
        <v>1</v>
      </c>
      <c r="G66" s="80">
        <v>1</v>
      </c>
    </row>
    <row r="67" spans="2:7" ht="14.4" x14ac:dyDescent="0.3">
      <c r="E67" s="86"/>
      <c r="F67" s="86"/>
      <c r="G67" s="86"/>
    </row>
    <row r="69" spans="2:7" x14ac:dyDescent="0.25">
      <c r="E69" s="87"/>
    </row>
  </sheetData>
  <mergeCells count="1">
    <mergeCell ref="B5:C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BDI</vt:lpstr>
      <vt:lpstr>Cronograma</vt:lpstr>
      <vt:lpstr>MC Conservação Rotina</vt:lpstr>
      <vt:lpstr>Quantidades</vt:lpstr>
      <vt:lpstr>Preços Unitários</vt:lpstr>
      <vt:lpstr>Planilha SIPOM</vt:lpstr>
      <vt:lpstr>CPUs</vt:lpstr>
      <vt:lpstr>MS 112 Ext Equival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Jefersom Valeije de Almeida</cp:lastModifiedBy>
  <cp:lastPrinted>2022-07-29T19:05:29Z</cp:lastPrinted>
  <dcterms:created xsi:type="dcterms:W3CDTF">2021-08-03T16:38:36Z</dcterms:created>
  <dcterms:modified xsi:type="dcterms:W3CDTF">2022-07-29T19:11:10Z</dcterms:modified>
</cp:coreProperties>
</file>